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אתר\"/>
    </mc:Choice>
  </mc:AlternateContent>
  <bookViews>
    <workbookView xWindow="0" yWindow="120" windowWidth="9270" windowHeight="4530" firstSheet="1" activeTab="1"/>
  </bookViews>
  <sheets>
    <sheet name="2018-22 (2)" sheetId="29" state="hidden" r:id="rId1"/>
    <sheet name="2018-25" sheetId="33" r:id="rId2"/>
    <sheet name="2018-24" sheetId="31" r:id="rId3"/>
    <sheet name="2018-23" sheetId="30" r:id="rId4"/>
    <sheet name="2018-22" sheetId="28" r:id="rId5"/>
    <sheet name="2018-21" sheetId="27" r:id="rId6"/>
    <sheet name="2018-20" sheetId="26" r:id="rId7"/>
    <sheet name="2018-19" sheetId="25" r:id="rId8"/>
    <sheet name="2018-18" sheetId="22" r:id="rId9"/>
    <sheet name="2018-17" sheetId="21" r:id="rId10"/>
    <sheet name="2018-16" sheetId="20" r:id="rId11"/>
    <sheet name="2018-15" sheetId="19" r:id="rId12"/>
    <sheet name="2018-14" sheetId="18" r:id="rId13"/>
    <sheet name="2018-13" sheetId="17" r:id="rId14"/>
    <sheet name="2018-12" sheetId="15" r:id="rId15"/>
    <sheet name="2018-11" sheetId="14" r:id="rId16"/>
    <sheet name="2018-10 (2)" sheetId="16" state="hidden" r:id="rId17"/>
    <sheet name="2018-10" sheetId="13" r:id="rId18"/>
    <sheet name="2018-09" sheetId="11" r:id="rId19"/>
    <sheet name="2018-08" sheetId="10" r:id="rId20"/>
    <sheet name="2018-07" sheetId="9" r:id="rId21"/>
    <sheet name="2018-06" sheetId="8" r:id="rId22"/>
    <sheet name="2018-05" sheetId="7" r:id="rId23"/>
    <sheet name="2018-04" sheetId="5" r:id="rId24"/>
    <sheet name="2018-03" sheetId="4" r:id="rId25"/>
    <sheet name="2018-02" sheetId="3" r:id="rId26"/>
    <sheet name="2018-01" sheetId="2"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8" i="33" l="1"/>
  <c r="H58" i="33"/>
  <c r="H55" i="33" l="1"/>
  <c r="I49" i="33"/>
  <c r="I55" i="33" l="1"/>
  <c r="I52" i="33"/>
  <c r="H52" i="33"/>
  <c r="H49" i="33"/>
  <c r="I46" i="33"/>
  <c r="H46" i="33"/>
  <c r="I45" i="33"/>
  <c r="H45" i="33"/>
  <c r="I44" i="33"/>
  <c r="H44" i="33"/>
  <c r="I40" i="33" l="1"/>
  <c r="H40" i="33"/>
  <c r="I41" i="33"/>
  <c r="H41" i="33"/>
  <c r="I39" i="33"/>
  <c r="H39" i="33"/>
  <c r="I38" i="33"/>
  <c r="H38" i="33"/>
  <c r="H35" i="33" l="1"/>
  <c r="I35" i="33" s="1"/>
  <c r="H34" i="33"/>
  <c r="I34" i="33" s="1"/>
  <c r="H33" i="33"/>
  <c r="I33" i="33" s="1"/>
  <c r="H32" i="33"/>
  <c r="I32" i="33" s="1"/>
  <c r="H29" i="33" l="1"/>
  <c r="I29" i="33" s="1"/>
  <c r="I26" i="33" l="1"/>
  <c r="H26" i="33"/>
  <c r="I25" i="33"/>
  <c r="H25" i="33"/>
  <c r="I24" i="33"/>
  <c r="H24" i="33"/>
  <c r="I23" i="33"/>
  <c r="H23" i="33"/>
  <c r="I22" i="33"/>
  <c r="H22" i="33"/>
  <c r="I21" i="33"/>
  <c r="H21" i="33"/>
  <c r="I20" i="33"/>
  <c r="H20" i="33"/>
  <c r="I19" i="33"/>
  <c r="H19" i="33"/>
  <c r="I16" i="33" l="1"/>
  <c r="H16" i="33"/>
  <c r="I13" i="33" l="1"/>
  <c r="I12" i="33"/>
  <c r="I11" i="33"/>
  <c r="H8" i="33" l="1"/>
  <c r="I8" i="33" s="1"/>
  <c r="I23" i="31" l="1"/>
  <c r="H23" i="31"/>
  <c r="I22" i="31"/>
  <c r="H22" i="31"/>
  <c r="I21" i="31"/>
  <c r="H21" i="31"/>
  <c r="H14" i="31" l="1"/>
  <c r="I14" i="31"/>
  <c r="H15" i="31"/>
  <c r="I15" i="31"/>
  <c r="H18" i="31"/>
  <c r="I18" i="31" s="1"/>
  <c r="H8" i="31" l="1"/>
  <c r="I8" i="31" s="1"/>
  <c r="H9" i="31"/>
  <c r="I9" i="31" s="1"/>
  <c r="H10" i="31"/>
  <c r="I10" i="31" s="1"/>
  <c r="H11" i="31"/>
  <c r="I11" i="31" s="1"/>
  <c r="H42" i="28" l="1"/>
  <c r="I42" i="28" s="1"/>
  <c r="H41" i="28"/>
  <c r="I41" i="28" s="1"/>
  <c r="H40" i="28"/>
  <c r="I40" i="28" s="1"/>
  <c r="H39" i="28"/>
  <c r="I39" i="28" s="1"/>
  <c r="I57" i="26" l="1"/>
  <c r="I55" i="26"/>
  <c r="I56" i="26"/>
  <c r="I54" i="26"/>
  <c r="H27" i="28" l="1"/>
  <c r="I27" i="28" s="1"/>
  <c r="I27" i="30" l="1"/>
  <c r="I26" i="30"/>
  <c r="I25" i="30"/>
  <c r="I22" i="30"/>
  <c r="I21" i="30"/>
  <c r="I20" i="30"/>
  <c r="I17" i="30" l="1"/>
  <c r="I16" i="30"/>
  <c r="I15" i="30"/>
  <c r="I10" i="28"/>
  <c r="I12" i="30"/>
  <c r="H12" i="30"/>
  <c r="I11" i="30"/>
  <c r="H11" i="30"/>
  <c r="I10" i="30"/>
  <c r="H10" i="30"/>
  <c r="I9" i="30"/>
  <c r="H9" i="30"/>
  <c r="I8" i="30"/>
  <c r="H8" i="30"/>
  <c r="H36" i="28"/>
  <c r="H177" i="25"/>
  <c r="I177" i="25" s="1"/>
  <c r="H7" i="28" l="1"/>
  <c r="I7" i="28" s="1"/>
  <c r="I17" i="28" l="1"/>
  <c r="I16" i="28"/>
  <c r="I15" i="28"/>
  <c r="I12" i="28"/>
  <c r="I11" i="28"/>
  <c r="I14" i="22" l="1"/>
  <c r="I28" i="18"/>
  <c r="I46" i="29" l="1"/>
  <c r="H46" i="29"/>
  <c r="H43" i="29"/>
  <c r="I43" i="29" s="1"/>
  <c r="H37" i="29"/>
  <c r="I37" i="29" s="1"/>
  <c r="H34" i="29"/>
  <c r="I34" i="29" s="1"/>
  <c r="H33" i="29"/>
  <c r="I33" i="29" s="1"/>
  <c r="H32" i="29"/>
  <c r="I32" i="29" s="1"/>
  <c r="H31" i="29"/>
  <c r="I31" i="29" s="1"/>
  <c r="H30" i="29"/>
  <c r="I30" i="29" s="1"/>
  <c r="I27" i="29"/>
  <c r="I26" i="29"/>
  <c r="I25" i="29"/>
  <c r="I22" i="29"/>
  <c r="I21" i="29"/>
  <c r="I20" i="29"/>
  <c r="I17" i="29"/>
  <c r="I16" i="29"/>
  <c r="I15" i="29"/>
  <c r="I12" i="29"/>
  <c r="I11" i="29"/>
  <c r="I10" i="29"/>
  <c r="H7" i="29"/>
  <c r="I7" i="29" s="1"/>
  <c r="I36" i="28" l="1"/>
  <c r="H33" i="28"/>
  <c r="I33" i="28" s="1"/>
  <c r="I13" i="27" l="1"/>
  <c r="H24" i="28" l="1"/>
  <c r="I24" i="28" s="1"/>
  <c r="H23" i="28"/>
  <c r="I23" i="28" s="1"/>
  <c r="H22" i="28"/>
  <c r="I22" i="28" s="1"/>
  <c r="H21" i="28"/>
  <c r="I21" i="28" s="1"/>
  <c r="H20" i="28"/>
  <c r="I20" i="28" s="1"/>
  <c r="H39" i="27" l="1"/>
  <c r="H13" i="27" l="1"/>
  <c r="H11" i="21" l="1"/>
  <c r="I11" i="21" s="1"/>
  <c r="I34" i="27" l="1"/>
  <c r="I35" i="27"/>
  <c r="I36" i="27"/>
  <c r="H36" i="27"/>
  <c r="H35" i="27"/>
  <c r="H34" i="27"/>
  <c r="I43" i="27"/>
  <c r="H43" i="27"/>
  <c r="I42" i="27"/>
  <c r="H42" i="27"/>
  <c r="I41" i="27"/>
  <c r="H41" i="27"/>
  <c r="I40" i="27"/>
  <c r="H40" i="27"/>
  <c r="I39" i="27"/>
  <c r="I30" i="27"/>
  <c r="I31" i="27"/>
  <c r="H31" i="27"/>
  <c r="H30" i="27"/>
  <c r="H27" i="27"/>
  <c r="I27" i="27" s="1"/>
  <c r="H24" i="27"/>
  <c r="I24" i="27" s="1"/>
  <c r="H23" i="27"/>
  <c r="I23" i="27" s="1"/>
  <c r="H22" i="27"/>
  <c r="I22" i="27" s="1"/>
  <c r="H17" i="27" l="1"/>
  <c r="I17" i="27"/>
  <c r="I19" i="27"/>
  <c r="H19" i="27"/>
  <c r="I18" i="27"/>
  <c r="H18" i="27"/>
  <c r="I16" i="27"/>
  <c r="H16" i="27"/>
  <c r="H10" i="27" l="1"/>
  <c r="I10" i="27" s="1"/>
  <c r="H7" i="27"/>
  <c r="I7" i="27" s="1"/>
  <c r="I44" i="19" l="1"/>
  <c r="I8" i="19"/>
  <c r="H153" i="25" l="1"/>
  <c r="H154" i="25"/>
  <c r="I91" i="26" l="1"/>
  <c r="I92" i="26"/>
  <c r="I93" i="26"/>
  <c r="I94" i="26"/>
  <c r="H94" i="26"/>
  <c r="H93" i="26"/>
  <c r="H92" i="26"/>
  <c r="H91" i="26"/>
  <c r="I88" i="26"/>
  <c r="H88" i="26"/>
  <c r="I87" i="26"/>
  <c r="H87" i="26"/>
  <c r="I86" i="26"/>
  <c r="H86" i="26"/>
  <c r="I85" i="26"/>
  <c r="H85" i="26"/>
  <c r="H82" i="26"/>
  <c r="I82" i="26" s="1"/>
  <c r="H81" i="26"/>
  <c r="I81" i="26" s="1"/>
  <c r="H80" i="26"/>
  <c r="I80" i="26" s="1"/>
  <c r="H79" i="26"/>
  <c r="I79" i="26" s="1"/>
  <c r="H78" i="26"/>
  <c r="I78" i="26" s="1"/>
  <c r="H66" i="26" l="1"/>
  <c r="I66" i="26" s="1"/>
  <c r="H61" i="26" l="1"/>
  <c r="I61" i="26" s="1"/>
  <c r="H63" i="26"/>
  <c r="I63" i="26" s="1"/>
  <c r="H62" i="26"/>
  <c r="I62" i="26" s="1"/>
  <c r="H60" i="26"/>
  <c r="I60" i="26" s="1"/>
  <c r="H51" i="26" l="1"/>
  <c r="I51" i="26" s="1"/>
  <c r="I48" i="26"/>
  <c r="H48" i="26"/>
  <c r="H45" i="26"/>
  <c r="I45" i="26" s="1"/>
  <c r="H43" i="26"/>
  <c r="I43" i="26" s="1"/>
  <c r="H42" i="26"/>
  <c r="I42" i="26" s="1"/>
  <c r="H44" i="26"/>
  <c r="I44" i="26" s="1"/>
  <c r="H39" i="26"/>
  <c r="I39" i="26" s="1"/>
  <c r="H38" i="26"/>
  <c r="I38" i="26" s="1"/>
  <c r="H37" i="26"/>
  <c r="I37" i="26" s="1"/>
  <c r="I31" i="26"/>
  <c r="H31" i="26"/>
  <c r="I34" i="26"/>
  <c r="H34" i="26"/>
  <c r="I33" i="26"/>
  <c r="H33" i="26"/>
  <c r="I32" i="26"/>
  <c r="H32" i="26"/>
  <c r="H28" i="26"/>
  <c r="I28" i="26" s="1"/>
  <c r="H27" i="26"/>
  <c r="I27" i="26" s="1"/>
  <c r="H26" i="26"/>
  <c r="I26" i="26" s="1"/>
  <c r="H25" i="26"/>
  <c r="I25" i="26" s="1"/>
  <c r="I19" i="26"/>
  <c r="I20" i="26"/>
  <c r="I21" i="26"/>
  <c r="I22" i="26"/>
  <c r="H22" i="26"/>
  <c r="H21" i="26"/>
  <c r="H20" i="26"/>
  <c r="H19" i="26"/>
  <c r="I13" i="26"/>
  <c r="I14" i="26"/>
  <c r="I15" i="26"/>
  <c r="I16" i="26"/>
  <c r="H16" i="26"/>
  <c r="H15" i="26"/>
  <c r="H14" i="26"/>
  <c r="H13" i="26"/>
  <c r="H10" i="26"/>
  <c r="I10" i="26" s="1"/>
  <c r="H9" i="26"/>
  <c r="I9" i="26" s="1"/>
  <c r="H8" i="26"/>
  <c r="I8" i="26" s="1"/>
  <c r="H7" i="26"/>
  <c r="I7" i="26" s="1"/>
  <c r="H90" i="25" l="1"/>
  <c r="I90" i="25"/>
  <c r="I159" i="25" l="1"/>
  <c r="H159" i="25"/>
  <c r="H160" i="25"/>
  <c r="I160" i="25"/>
  <c r="H193" i="25" l="1"/>
  <c r="I193" i="25" s="1"/>
  <c r="H194" i="25"/>
  <c r="I194" i="25" s="1"/>
  <c r="H195" i="25"/>
  <c r="I195" i="25" s="1"/>
  <c r="H192" i="25"/>
  <c r="I192" i="25" s="1"/>
  <c r="I80" i="19" l="1"/>
  <c r="I36" i="18" l="1"/>
  <c r="I207" i="25" l="1"/>
  <c r="H207" i="25"/>
  <c r="I206" i="25"/>
  <c r="H206" i="25"/>
  <c r="I205" i="25"/>
  <c r="H205" i="25"/>
  <c r="I33" i="25"/>
  <c r="I198" i="25" l="1"/>
  <c r="I199" i="25"/>
  <c r="I200" i="25"/>
  <c r="I201" i="25"/>
  <c r="I202" i="25"/>
  <c r="H202" i="25"/>
  <c r="H201" i="25"/>
  <c r="H200" i="25"/>
  <c r="H199" i="25"/>
  <c r="H198" i="25"/>
  <c r="I69" i="25" l="1"/>
  <c r="I70" i="25"/>
  <c r="I71" i="25"/>
  <c r="H71" i="25"/>
  <c r="H70" i="25"/>
  <c r="H69" i="25"/>
  <c r="I189" i="25" l="1"/>
  <c r="H189" i="25"/>
  <c r="H180" i="25" l="1"/>
  <c r="I180" i="25" s="1"/>
  <c r="H179" i="25"/>
  <c r="I179" i="25" s="1"/>
  <c r="H178" i="25"/>
  <c r="I178" i="25" s="1"/>
  <c r="H172" i="25" l="1"/>
  <c r="I172" i="25" s="1"/>
  <c r="H174" i="25"/>
  <c r="I174" i="25" s="1"/>
  <c r="H173" i="25"/>
  <c r="I173" i="25" s="1"/>
  <c r="H171" i="25"/>
  <c r="I171" i="25" s="1"/>
  <c r="H10" i="25"/>
  <c r="I10" i="25" s="1"/>
  <c r="H9" i="25"/>
  <c r="I9" i="25" s="1"/>
  <c r="H8" i="25"/>
  <c r="I8" i="25" s="1"/>
  <c r="H7" i="25"/>
  <c r="I7" i="25" s="1"/>
  <c r="I165" i="25"/>
  <c r="I166" i="25"/>
  <c r="I167" i="25"/>
  <c r="I168" i="25"/>
  <c r="H168" i="25"/>
  <c r="H167" i="25"/>
  <c r="H166" i="25"/>
  <c r="H165" i="25"/>
  <c r="I161" i="25"/>
  <c r="I162" i="25"/>
  <c r="H162" i="25"/>
  <c r="H161" i="25"/>
  <c r="H156" i="25"/>
  <c r="I153" i="25"/>
  <c r="I154" i="25"/>
  <c r="I155" i="25"/>
  <c r="I156" i="25"/>
  <c r="H155" i="25"/>
  <c r="I147" i="25"/>
  <c r="I148" i="25"/>
  <c r="I149" i="25"/>
  <c r="I150" i="25"/>
  <c r="H150" i="25"/>
  <c r="H149" i="25"/>
  <c r="H148" i="25"/>
  <c r="H147" i="25"/>
  <c r="H138" i="25"/>
  <c r="I135" i="25"/>
  <c r="I136" i="25"/>
  <c r="I137" i="25"/>
  <c r="I138" i="25"/>
  <c r="H137" i="25"/>
  <c r="H136" i="25"/>
  <c r="H135" i="25"/>
  <c r="I144" i="25"/>
  <c r="H144" i="25"/>
  <c r="I143" i="25"/>
  <c r="H143" i="25"/>
  <c r="I142" i="25"/>
  <c r="H142" i="25"/>
  <c r="I141" i="25"/>
  <c r="H141" i="25"/>
  <c r="I129" i="25"/>
  <c r="I130" i="25"/>
  <c r="I131" i="25"/>
  <c r="I132" i="25"/>
  <c r="H132" i="25"/>
  <c r="H131" i="25"/>
  <c r="H130" i="25"/>
  <c r="H129" i="25"/>
  <c r="H125" i="25"/>
  <c r="I122" i="25"/>
  <c r="I123" i="25"/>
  <c r="I124" i="25"/>
  <c r="I125" i="25"/>
  <c r="I126" i="25"/>
  <c r="H126" i="25"/>
  <c r="H124" i="25"/>
  <c r="H123" i="25"/>
  <c r="H122" i="25"/>
  <c r="I115" i="25"/>
  <c r="I116" i="25"/>
  <c r="I117" i="25"/>
  <c r="I118" i="25"/>
  <c r="I119" i="25"/>
  <c r="H119" i="25"/>
  <c r="H118" i="25"/>
  <c r="H117" i="25"/>
  <c r="H116" i="25"/>
  <c r="H115" i="25"/>
  <c r="I108" i="25"/>
  <c r="I109" i="25"/>
  <c r="I110" i="25"/>
  <c r="I111" i="25"/>
  <c r="I112" i="25"/>
  <c r="H112" i="25"/>
  <c r="H111" i="25"/>
  <c r="H110" i="25"/>
  <c r="H109" i="25"/>
  <c r="H108" i="25"/>
  <c r="I101" i="25"/>
  <c r="I102" i="25"/>
  <c r="I103" i="25"/>
  <c r="I104" i="25"/>
  <c r="I105" i="25"/>
  <c r="H105" i="25"/>
  <c r="H104" i="25"/>
  <c r="H103" i="25"/>
  <c r="H102" i="25"/>
  <c r="H101" i="25"/>
  <c r="I95" i="25" l="1"/>
  <c r="I96" i="25"/>
  <c r="I97" i="25"/>
  <c r="I98" i="25"/>
  <c r="H98" i="25"/>
  <c r="H97" i="25"/>
  <c r="H96" i="25"/>
  <c r="H95" i="25"/>
  <c r="I89" i="25"/>
  <c r="I91" i="25"/>
  <c r="I92" i="25"/>
  <c r="H92" i="25"/>
  <c r="H91" i="25"/>
  <c r="H89" i="25"/>
  <c r="I83" i="25"/>
  <c r="I84" i="25"/>
  <c r="I85" i="25"/>
  <c r="I86" i="25"/>
  <c r="H86" i="25"/>
  <c r="H85" i="25"/>
  <c r="H84" i="25"/>
  <c r="H83" i="25"/>
  <c r="I77" i="25"/>
  <c r="I78" i="25"/>
  <c r="I79" i="25"/>
  <c r="I80" i="25"/>
  <c r="H80" i="25"/>
  <c r="H79" i="25"/>
  <c r="H78" i="25"/>
  <c r="H77" i="25"/>
  <c r="H25" i="22"/>
  <c r="I25" i="22" s="1"/>
  <c r="H27" i="22"/>
  <c r="I27" i="22" s="1"/>
  <c r="H26" i="22"/>
  <c r="I26" i="22" s="1"/>
  <c r="H24" i="22"/>
  <c r="I24" i="22" s="1"/>
  <c r="H23" i="22"/>
  <c r="I23" i="22" s="1"/>
  <c r="I74" i="25"/>
  <c r="H74" i="25"/>
  <c r="I60" i="25"/>
  <c r="I61" i="25"/>
  <c r="I62" i="25"/>
  <c r="I63" i="25"/>
  <c r="I64" i="25"/>
  <c r="I65" i="25"/>
  <c r="I66" i="25"/>
  <c r="H66" i="25"/>
  <c r="H65" i="25"/>
  <c r="H64" i="25"/>
  <c r="H63" i="25"/>
  <c r="H62" i="25"/>
  <c r="H61" i="25"/>
  <c r="H60" i="25"/>
  <c r="I51" i="25"/>
  <c r="I52" i="25"/>
  <c r="I53" i="25"/>
  <c r="I54" i="25"/>
  <c r="I55" i="25"/>
  <c r="I56" i="25"/>
  <c r="I57" i="25"/>
  <c r="H57" i="25"/>
  <c r="H56" i="25"/>
  <c r="H55" i="25"/>
  <c r="H54" i="25"/>
  <c r="H53" i="25"/>
  <c r="H52" i="25"/>
  <c r="H51" i="25"/>
  <c r="I42" i="25" l="1"/>
  <c r="I43" i="25"/>
  <c r="I44" i="25"/>
  <c r="I45" i="25"/>
  <c r="I46" i="25"/>
  <c r="I47" i="25"/>
  <c r="I48" i="25"/>
  <c r="H48" i="25"/>
  <c r="H47" i="25"/>
  <c r="H46" i="25"/>
  <c r="H45" i="25"/>
  <c r="H44" i="25"/>
  <c r="H43" i="25"/>
  <c r="H42" i="25"/>
  <c r="I34" i="25"/>
  <c r="I35" i="25"/>
  <c r="I36" i="25"/>
  <c r="I37" i="25"/>
  <c r="I38" i="25"/>
  <c r="I39" i="25"/>
  <c r="H39" i="25"/>
  <c r="H38" i="25"/>
  <c r="H37" i="25"/>
  <c r="H36" i="25"/>
  <c r="H35" i="25"/>
  <c r="H34" i="25"/>
  <c r="H33" i="25"/>
  <c r="I23" i="25"/>
  <c r="I24" i="25"/>
  <c r="I25" i="25"/>
  <c r="I26" i="25"/>
  <c r="I27" i="25"/>
  <c r="I28" i="25"/>
  <c r="I29" i="25"/>
  <c r="I30" i="25"/>
  <c r="H30" i="25"/>
  <c r="H29" i="25"/>
  <c r="H28" i="25"/>
  <c r="H27" i="25"/>
  <c r="H26" i="25"/>
  <c r="H25" i="25"/>
  <c r="H24" i="25"/>
  <c r="H23" i="25"/>
  <c r="I13" i="25"/>
  <c r="I14" i="25"/>
  <c r="I15" i="25"/>
  <c r="I16" i="25"/>
  <c r="I17" i="25"/>
  <c r="I18" i="25"/>
  <c r="I19" i="25"/>
  <c r="I20" i="25"/>
  <c r="H20" i="25"/>
  <c r="H19" i="25"/>
  <c r="H18" i="25"/>
  <c r="H17" i="25"/>
  <c r="H16" i="25"/>
  <c r="H15" i="25"/>
  <c r="H14" i="25"/>
  <c r="H13" i="25"/>
  <c r="H12" i="21" l="1"/>
  <c r="H19" i="15" l="1"/>
  <c r="H17" i="22"/>
  <c r="I17" i="22"/>
  <c r="I11" i="22" l="1"/>
  <c r="I10" i="22"/>
  <c r="I9" i="22"/>
  <c r="I79" i="10" l="1"/>
  <c r="I78" i="10"/>
  <c r="H31" i="21" l="1"/>
  <c r="I12" i="21" l="1"/>
  <c r="H65" i="21"/>
  <c r="I65" i="21" s="1"/>
  <c r="I62" i="21"/>
  <c r="H62" i="21"/>
  <c r="I55" i="21"/>
  <c r="I56" i="21"/>
  <c r="I57" i="21"/>
  <c r="I58" i="21"/>
  <c r="I59" i="21"/>
  <c r="H59" i="21"/>
  <c r="H58" i="21"/>
  <c r="H57" i="21"/>
  <c r="H56" i="21"/>
  <c r="H55" i="21"/>
  <c r="I52" i="21"/>
  <c r="H52" i="21"/>
  <c r="I46" i="21"/>
  <c r="H46" i="21"/>
  <c r="I49" i="21"/>
  <c r="H49" i="21"/>
  <c r="I43" i="21"/>
  <c r="H43" i="21"/>
  <c r="I37" i="21"/>
  <c r="I38" i="21"/>
  <c r="I39" i="21"/>
  <c r="I40" i="21"/>
  <c r="H40" i="21"/>
  <c r="H39" i="21"/>
  <c r="H38" i="21"/>
  <c r="H37" i="21"/>
  <c r="H34" i="21"/>
  <c r="I34" i="21" s="1"/>
  <c r="H33" i="21"/>
  <c r="I33" i="21" s="1"/>
  <c r="H32" i="21"/>
  <c r="I32" i="21" s="1"/>
  <c r="I31" i="21"/>
  <c r="H30" i="21"/>
  <c r="I30" i="21" s="1"/>
  <c r="I18" i="21" l="1"/>
  <c r="I19" i="21"/>
  <c r="I20" i="21"/>
  <c r="I21" i="21"/>
  <c r="H21" i="21"/>
  <c r="H20" i="21"/>
  <c r="H19" i="21"/>
  <c r="H18" i="21"/>
  <c r="H10" i="21"/>
  <c r="I10" i="21" s="1"/>
  <c r="H13" i="21"/>
  <c r="I13" i="21" s="1"/>
  <c r="H14" i="21"/>
  <c r="I14" i="21" s="1"/>
  <c r="H15" i="21"/>
  <c r="I15" i="21" s="1"/>
  <c r="I7" i="21" l="1"/>
  <c r="H7" i="21"/>
  <c r="I11" i="20" l="1"/>
  <c r="I10" i="20"/>
  <c r="I9" i="20"/>
  <c r="I8" i="20"/>
  <c r="I14" i="19" l="1"/>
  <c r="I28" i="19"/>
  <c r="I34" i="19"/>
  <c r="I46" i="19"/>
  <c r="I45" i="19"/>
  <c r="I43" i="19"/>
  <c r="I40" i="19"/>
  <c r="I39" i="19"/>
  <c r="I38" i="19"/>
  <c r="I37" i="19"/>
  <c r="I33" i="19"/>
  <c r="I32" i="19"/>
  <c r="I31" i="19"/>
  <c r="I25" i="19"/>
  <c r="I26" i="19"/>
  <c r="I27" i="19"/>
  <c r="I19" i="19"/>
  <c r="I16" i="19"/>
  <c r="I15" i="19"/>
  <c r="I13" i="19"/>
  <c r="I10" i="19"/>
  <c r="I9" i="19"/>
  <c r="I7" i="19"/>
  <c r="I108" i="19"/>
  <c r="I109" i="19"/>
  <c r="I110" i="19"/>
  <c r="I111" i="19"/>
  <c r="I112" i="19"/>
  <c r="H112" i="19"/>
  <c r="H111" i="19"/>
  <c r="H110" i="19"/>
  <c r="H109" i="19"/>
  <c r="H108" i="19"/>
  <c r="I101" i="19"/>
  <c r="I102" i="19"/>
  <c r="I103" i="19"/>
  <c r="I104" i="19"/>
  <c r="I105" i="19"/>
  <c r="H105" i="19"/>
  <c r="H104" i="19"/>
  <c r="H103" i="19"/>
  <c r="H102" i="19"/>
  <c r="H101" i="19"/>
  <c r="H96" i="19"/>
  <c r="I96" i="19" s="1"/>
  <c r="H97" i="19"/>
  <c r="I97" i="19" s="1"/>
  <c r="H98" i="19"/>
  <c r="I98" i="19" s="1"/>
  <c r="H95" i="19"/>
  <c r="I95" i="19" s="1"/>
  <c r="H49" i="19"/>
  <c r="I49" i="19" s="1"/>
  <c r="I83" i="19"/>
  <c r="I84" i="19"/>
  <c r="I85" i="19"/>
  <c r="I86" i="19"/>
  <c r="H86" i="19"/>
  <c r="H85" i="19"/>
  <c r="H84" i="19"/>
  <c r="H83" i="19"/>
  <c r="H73" i="19"/>
  <c r="I73" i="19" s="1"/>
  <c r="H77" i="19"/>
  <c r="I77" i="19" s="1"/>
  <c r="H76" i="19"/>
  <c r="I76" i="19" s="1"/>
  <c r="H75" i="19"/>
  <c r="I75" i="19" s="1"/>
  <c r="H74" i="19"/>
  <c r="I74" i="19" s="1"/>
  <c r="I64" i="19"/>
  <c r="I63" i="19"/>
  <c r="I62" i="19"/>
  <c r="I61" i="19"/>
  <c r="H67" i="19"/>
  <c r="I67" i="19" s="1"/>
  <c r="H70" i="19"/>
  <c r="I70" i="19"/>
  <c r="H58" i="19"/>
  <c r="I58" i="19" s="1"/>
  <c r="I52" i="19"/>
  <c r="I53" i="19"/>
  <c r="I54" i="19"/>
  <c r="I55" i="19"/>
  <c r="H55" i="19"/>
  <c r="H54" i="19"/>
  <c r="H53" i="19"/>
  <c r="H52" i="19"/>
  <c r="I20" i="19"/>
  <c r="I22" i="19"/>
  <c r="I21" i="19"/>
  <c r="H36" i="18"/>
  <c r="H7" i="18"/>
  <c r="I7" i="18"/>
  <c r="H8" i="18"/>
  <c r="I8" i="18"/>
  <c r="H9" i="18"/>
  <c r="I9" i="18"/>
  <c r="H10" i="18"/>
  <c r="I10" i="18"/>
  <c r="H13" i="18"/>
  <c r="I13" i="18"/>
  <c r="H14" i="18"/>
  <c r="I14" i="18"/>
  <c r="H15" i="18"/>
  <c r="I15" i="18"/>
  <c r="H16" i="18"/>
  <c r="I16" i="18"/>
  <c r="H17" i="18"/>
  <c r="I17" i="18"/>
  <c r="H18" i="18"/>
  <c r="I18" i="18"/>
  <c r="H19" i="18"/>
  <c r="I19" i="18"/>
  <c r="H22" i="18"/>
  <c r="I22" i="18"/>
  <c r="H23" i="18"/>
  <c r="I23" i="18"/>
  <c r="H24" i="18"/>
  <c r="I24" i="18"/>
  <c r="H25" i="18"/>
  <c r="I25" i="18"/>
  <c r="H28" i="18"/>
  <c r="H31" i="18"/>
  <c r="I31" i="18"/>
  <c r="H32" i="18"/>
  <c r="I32" i="18"/>
  <c r="H33" i="18"/>
  <c r="I33" i="18"/>
  <c r="H39" i="18"/>
  <c r="I39" i="18"/>
  <c r="H42" i="18"/>
  <c r="I42" i="18" s="1"/>
  <c r="G45" i="18"/>
  <c r="H45" i="18"/>
  <c r="I45" i="18"/>
  <c r="G46" i="18"/>
  <c r="H46" i="18"/>
  <c r="I46" i="18"/>
  <c r="G47" i="18"/>
  <c r="H47" i="18"/>
  <c r="I47" i="18"/>
  <c r="G48" i="18"/>
  <c r="H48" i="18"/>
  <c r="I48" i="18"/>
  <c r="G49" i="18"/>
  <c r="H49" i="18"/>
  <c r="I49" i="18"/>
  <c r="G50" i="18"/>
  <c r="H50" i="18"/>
  <c r="I50" i="18"/>
  <c r="G51" i="18"/>
  <c r="H51" i="18"/>
  <c r="I51" i="18"/>
  <c r="H54" i="18"/>
  <c r="I54" i="18" s="1"/>
  <c r="H55" i="18"/>
  <c r="I55" i="18" s="1"/>
  <c r="H56" i="18"/>
  <c r="I56" i="18" s="1"/>
  <c r="H57" i="18"/>
  <c r="I57" i="18" s="1"/>
  <c r="I60" i="18"/>
  <c r="I61" i="18"/>
  <c r="I62" i="18"/>
  <c r="I63" i="18"/>
  <c r="H66" i="18"/>
  <c r="I66" i="18"/>
  <c r="H67" i="18"/>
  <c r="I67" i="18"/>
  <c r="H68" i="18"/>
  <c r="I68" i="18"/>
  <c r="H69" i="18"/>
  <c r="I69" i="18"/>
  <c r="H72" i="18"/>
  <c r="I72" i="18"/>
  <c r="H73" i="18"/>
  <c r="I73" i="18"/>
  <c r="H74" i="18"/>
  <c r="I74" i="18"/>
  <c r="H75" i="18"/>
  <c r="I75" i="18"/>
  <c r="H78" i="18"/>
  <c r="I78" i="18"/>
  <c r="H79" i="18"/>
  <c r="I79" i="18"/>
  <c r="H80" i="18"/>
  <c r="I80" i="18"/>
  <c r="H81" i="18"/>
  <c r="I81" i="18"/>
  <c r="H82" i="18"/>
  <c r="I82" i="18"/>
  <c r="H85" i="18"/>
  <c r="I85" i="18"/>
  <c r="H86" i="18"/>
  <c r="I86" i="18"/>
  <c r="H87" i="18"/>
  <c r="I87" i="18"/>
  <c r="H88" i="18"/>
  <c r="I88" i="18"/>
  <c r="I73" i="13"/>
  <c r="H73" i="13"/>
  <c r="H25" i="17"/>
  <c r="I25" i="17" s="1"/>
  <c r="H27" i="17"/>
  <c r="I27" i="17" s="1"/>
  <c r="H26" i="17"/>
  <c r="I26" i="17"/>
  <c r="H24" i="17"/>
  <c r="I24" i="17" s="1"/>
  <c r="H23" i="17"/>
  <c r="I23" i="17" s="1"/>
  <c r="I17" i="17"/>
  <c r="I18" i="17"/>
  <c r="I19" i="17"/>
  <c r="I20" i="17"/>
  <c r="H17" i="17"/>
  <c r="H18" i="17"/>
  <c r="H19" i="17"/>
  <c r="H20" i="17"/>
  <c r="G20" i="17"/>
  <c r="G19" i="17"/>
  <c r="G18" i="17"/>
  <c r="G17" i="17"/>
  <c r="H14" i="17"/>
  <c r="I14" i="17" s="1"/>
  <c r="H11" i="17"/>
  <c r="I11" i="17" s="1"/>
  <c r="H10" i="17"/>
  <c r="I10" i="17" s="1"/>
  <c r="H9" i="17"/>
  <c r="I9" i="17" s="1"/>
  <c r="I7" i="16"/>
  <c r="I56" i="13"/>
  <c r="H10" i="15"/>
  <c r="I10" i="15" s="1"/>
  <c r="I7" i="15"/>
  <c r="H20" i="15"/>
  <c r="I20" i="15" s="1"/>
  <c r="H21" i="15"/>
  <c r="I21" i="15" s="1"/>
  <c r="H22" i="15"/>
  <c r="I22" i="15" s="1"/>
  <c r="I19" i="15"/>
  <c r="I13" i="15"/>
  <c r="I14" i="15"/>
  <c r="I15" i="15"/>
  <c r="I16" i="15"/>
  <c r="H16" i="15"/>
  <c r="H15" i="15"/>
  <c r="H14" i="15"/>
  <c r="H13" i="15"/>
  <c r="I40" i="14"/>
  <c r="I41" i="14"/>
  <c r="I42" i="14"/>
  <c r="I43" i="14"/>
  <c r="H43" i="14"/>
  <c r="H42" i="14"/>
  <c r="H41" i="14"/>
  <c r="H40" i="14"/>
  <c r="H37" i="14"/>
  <c r="I37" i="14" s="1"/>
  <c r="H34" i="14"/>
  <c r="I34" i="14" s="1"/>
  <c r="H33" i="14"/>
  <c r="I33" i="14"/>
  <c r="H32" i="14"/>
  <c r="I32" i="14" s="1"/>
  <c r="H31" i="14"/>
  <c r="I31" i="14" s="1"/>
  <c r="H28" i="14"/>
  <c r="I28" i="14" s="1"/>
  <c r="I22" i="14"/>
  <c r="I23" i="14"/>
  <c r="I24" i="14"/>
  <c r="I25" i="14"/>
  <c r="H25" i="14"/>
  <c r="H24" i="14"/>
  <c r="H23" i="14"/>
  <c r="H22" i="14"/>
  <c r="I19" i="14"/>
  <c r="H19" i="14"/>
  <c r="I18" i="14"/>
  <c r="H18" i="14"/>
  <c r="I17" i="14"/>
  <c r="H17" i="14"/>
  <c r="I16" i="14"/>
  <c r="H16" i="14"/>
  <c r="I15" i="14"/>
  <c r="H15" i="14"/>
  <c r="I14" i="14"/>
  <c r="H14" i="14"/>
  <c r="I11" i="14"/>
  <c r="I10" i="14"/>
  <c r="I9" i="14"/>
  <c r="I8" i="14"/>
  <c r="I7" i="14"/>
  <c r="H11" i="14"/>
  <c r="H10" i="14"/>
  <c r="H9" i="14"/>
  <c r="H8" i="14"/>
  <c r="H7" i="14"/>
  <c r="H7" i="13"/>
  <c r="I7" i="13"/>
  <c r="H8" i="13"/>
  <c r="I8" i="13"/>
  <c r="H9" i="13"/>
  <c r="I9" i="13"/>
  <c r="H10" i="13"/>
  <c r="I10" i="13"/>
  <c r="H13" i="13"/>
  <c r="I13" i="13"/>
  <c r="H14" i="13"/>
  <c r="I14" i="13"/>
  <c r="H15" i="13"/>
  <c r="I15" i="13"/>
  <c r="H16" i="13"/>
  <c r="I16" i="13"/>
  <c r="H19" i="13"/>
  <c r="I19" i="13"/>
  <c r="H20" i="13"/>
  <c r="I20" i="13"/>
  <c r="H21" i="13"/>
  <c r="I21" i="13"/>
  <c r="H22" i="13"/>
  <c r="I22" i="13"/>
  <c r="H25" i="13"/>
  <c r="I25" i="13" s="1"/>
  <c r="H26" i="13"/>
  <c r="I26" i="13" s="1"/>
  <c r="H27" i="13"/>
  <c r="I27" i="13" s="1"/>
  <c r="H28" i="13"/>
  <c r="I28" i="13" s="1"/>
  <c r="H31" i="13"/>
  <c r="I31" i="13" s="1"/>
  <c r="H32" i="13"/>
  <c r="I32" i="13" s="1"/>
  <c r="H33" i="13"/>
  <c r="I33" i="13" s="1"/>
  <c r="H34" i="13"/>
  <c r="I34" i="13" s="1"/>
  <c r="H37" i="13"/>
  <c r="I37" i="13"/>
  <c r="H38" i="13"/>
  <c r="I38" i="13"/>
  <c r="H39" i="13"/>
  <c r="I39" i="13"/>
  <c r="H40" i="13"/>
  <c r="I40" i="13"/>
  <c r="H41" i="13"/>
  <c r="I41" i="13"/>
  <c r="H42" i="13"/>
  <c r="I42" i="13"/>
  <c r="H43" i="13"/>
  <c r="I43" i="13"/>
  <c r="H46" i="13"/>
  <c r="I46" i="13"/>
  <c r="H49" i="13"/>
  <c r="I49" i="13" s="1"/>
  <c r="H50" i="13"/>
  <c r="I50" i="13" s="1"/>
  <c r="H51" i="13"/>
  <c r="I51" i="13" s="1"/>
  <c r="H52" i="13"/>
  <c r="I52" i="13" s="1"/>
  <c r="H53" i="13"/>
  <c r="I53" i="13" s="1"/>
  <c r="H59" i="13"/>
  <c r="I59" i="13" s="1"/>
  <c r="H62" i="13"/>
  <c r="I62" i="13" s="1"/>
  <c r="H65" i="13"/>
  <c r="I65" i="13" s="1"/>
  <c r="H68" i="13"/>
  <c r="I68" i="13" s="1"/>
  <c r="H69" i="13"/>
  <c r="I69" i="13" s="1"/>
  <c r="H70" i="13"/>
  <c r="I70" i="13" s="1"/>
  <c r="I82" i="13"/>
  <c r="H82" i="13"/>
  <c r="I81" i="13"/>
  <c r="H81" i="13"/>
  <c r="I80" i="13"/>
  <c r="H80" i="13"/>
  <c r="I79" i="13"/>
  <c r="H79" i="13"/>
  <c r="H28" i="5"/>
  <c r="I28" i="5" s="1"/>
  <c r="H120" i="10"/>
  <c r="I120" i="10" s="1"/>
  <c r="H121" i="10"/>
  <c r="I121" i="10" s="1"/>
  <c r="H122" i="10"/>
  <c r="I122" i="10" s="1"/>
  <c r="H119" i="10"/>
  <c r="I119" i="10" s="1"/>
  <c r="H8" i="11"/>
  <c r="I8" i="11"/>
  <c r="H9" i="11"/>
  <c r="I9" i="11"/>
  <c r="H10" i="11"/>
  <c r="I10" i="11"/>
  <c r="H11" i="11"/>
  <c r="I11" i="11"/>
  <c r="H14" i="11"/>
  <c r="I14" i="11"/>
  <c r="H15" i="11"/>
  <c r="I15" i="11"/>
  <c r="H16" i="11"/>
  <c r="I16" i="11"/>
  <c r="H17" i="11"/>
  <c r="I17" i="11"/>
  <c r="H20" i="11"/>
  <c r="I20" i="11" s="1"/>
  <c r="H21" i="11"/>
  <c r="I21" i="11" s="1"/>
  <c r="H28" i="11"/>
  <c r="I28" i="11" s="1"/>
  <c r="H31" i="11"/>
  <c r="I31" i="11" s="1"/>
  <c r="H30" i="11"/>
  <c r="I30" i="11" s="1"/>
  <c r="H29" i="11"/>
  <c r="I29" i="11" s="1"/>
  <c r="I27" i="11"/>
  <c r="H72" i="10"/>
  <c r="I72" i="10" s="1"/>
  <c r="H73" i="10"/>
  <c r="I73" i="10" s="1"/>
  <c r="H74" i="10"/>
  <c r="I74" i="10"/>
  <c r="H75" i="10"/>
  <c r="I75" i="10" s="1"/>
  <c r="H71" i="10"/>
  <c r="I71" i="10" s="1"/>
  <c r="I57" i="10"/>
  <c r="I58" i="10"/>
  <c r="H116" i="10"/>
  <c r="I116" i="10" s="1"/>
  <c r="H115" i="10"/>
  <c r="I115" i="10" s="1"/>
  <c r="H114" i="10"/>
  <c r="I114" i="10" s="1"/>
  <c r="I108" i="10"/>
  <c r="I109" i="10"/>
  <c r="I110" i="10"/>
  <c r="I111" i="10"/>
  <c r="H111" i="10"/>
  <c r="H110" i="10"/>
  <c r="H109" i="10"/>
  <c r="H108" i="10"/>
  <c r="I102" i="10"/>
  <c r="I103" i="10"/>
  <c r="I104" i="10"/>
  <c r="I105" i="10"/>
  <c r="H105" i="10"/>
  <c r="H104" i="10"/>
  <c r="H103" i="10"/>
  <c r="H102" i="10"/>
  <c r="I96" i="10"/>
  <c r="I97" i="10"/>
  <c r="I98" i="10"/>
  <c r="I99" i="10"/>
  <c r="H99" i="10"/>
  <c r="H98" i="10"/>
  <c r="H97" i="10"/>
  <c r="H96" i="10"/>
  <c r="I90" i="10"/>
  <c r="I91" i="10"/>
  <c r="I92" i="10"/>
  <c r="I93" i="10"/>
  <c r="H93" i="10"/>
  <c r="H92" i="10"/>
  <c r="H91" i="10"/>
  <c r="H90" i="10"/>
  <c r="I61" i="10"/>
  <c r="I60" i="10"/>
  <c r="I59" i="10"/>
  <c r="I81" i="10"/>
  <c r="I80" i="10"/>
  <c r="I64" i="10"/>
  <c r="I65" i="10"/>
  <c r="I66" i="10"/>
  <c r="I67" i="10"/>
  <c r="I68" i="10"/>
  <c r="H68" i="10"/>
  <c r="H67" i="10"/>
  <c r="H66" i="10"/>
  <c r="H65" i="10"/>
  <c r="H64" i="10"/>
  <c r="H87" i="10"/>
  <c r="I87" i="10" s="1"/>
  <c r="I84" i="10"/>
  <c r="H84" i="10"/>
  <c r="I50" i="10"/>
  <c r="I51" i="10"/>
  <c r="I52" i="10"/>
  <c r="I53" i="10"/>
  <c r="I54" i="10"/>
  <c r="H54" i="10"/>
  <c r="H53" i="10"/>
  <c r="H52" i="10"/>
  <c r="H51" i="10"/>
  <c r="H50" i="10"/>
  <c r="I47" i="10"/>
  <c r="H47" i="10"/>
  <c r="I46" i="10"/>
  <c r="H46" i="10"/>
  <c r="I45" i="10"/>
  <c r="H45" i="10"/>
  <c r="I44" i="10"/>
  <c r="H44" i="10"/>
  <c r="I38" i="10"/>
  <c r="I39" i="10"/>
  <c r="I40" i="10"/>
  <c r="I41" i="10"/>
  <c r="H41" i="10"/>
  <c r="H40" i="10"/>
  <c r="H39" i="10"/>
  <c r="H38" i="10"/>
  <c r="I29" i="10"/>
  <c r="I30" i="10"/>
  <c r="I31" i="10"/>
  <c r="I32" i="10"/>
  <c r="I33" i="10"/>
  <c r="I34" i="10"/>
  <c r="I35" i="10"/>
  <c r="H35" i="10"/>
  <c r="H34" i="10"/>
  <c r="H33" i="10"/>
  <c r="H32" i="10"/>
  <c r="H31" i="10"/>
  <c r="H30" i="10"/>
  <c r="H29" i="10"/>
  <c r="I26" i="10"/>
  <c r="H26" i="10"/>
  <c r="H23" i="10"/>
  <c r="I23" i="10"/>
  <c r="I22" i="10"/>
  <c r="H22" i="10"/>
  <c r="I21" i="10"/>
  <c r="H21" i="10"/>
  <c r="I20" i="10"/>
  <c r="H20" i="10"/>
  <c r="I17" i="10"/>
  <c r="H17" i="10"/>
  <c r="I16" i="10"/>
  <c r="H16" i="10"/>
  <c r="I15" i="10"/>
  <c r="H15" i="10"/>
  <c r="I14" i="10"/>
  <c r="H14" i="10"/>
  <c r="I11" i="10"/>
  <c r="H11" i="10"/>
  <c r="I10" i="10"/>
  <c r="H10" i="10"/>
  <c r="I9" i="10"/>
  <c r="H9" i="10"/>
  <c r="H8" i="10"/>
  <c r="I8" i="10"/>
  <c r="H31" i="5"/>
  <c r="I31" i="5" s="1"/>
  <c r="H37" i="9"/>
  <c r="H36" i="9"/>
  <c r="H55" i="9"/>
  <c r="I55" i="9"/>
  <c r="I49" i="9"/>
  <c r="I50" i="9"/>
  <c r="I51" i="9"/>
  <c r="I52" i="9"/>
  <c r="H52" i="9"/>
  <c r="H51" i="9"/>
  <c r="H50" i="9"/>
  <c r="H49" i="9"/>
  <c r="I43" i="9"/>
  <c r="I44" i="9"/>
  <c r="I45" i="9"/>
  <c r="I46" i="9"/>
  <c r="H46" i="9"/>
  <c r="H45" i="9"/>
  <c r="H44" i="9"/>
  <c r="H43" i="9"/>
  <c r="I36" i="9"/>
  <c r="I37" i="9"/>
  <c r="H38" i="9"/>
  <c r="I38" i="9"/>
  <c r="H39" i="9"/>
  <c r="I39" i="9"/>
  <c r="H40" i="9"/>
  <c r="I40" i="9"/>
  <c r="I30" i="9"/>
  <c r="I31" i="9"/>
  <c r="I32" i="9"/>
  <c r="I33" i="9"/>
  <c r="H30" i="9"/>
  <c r="H31" i="9"/>
  <c r="H32" i="9"/>
  <c r="H33" i="9"/>
  <c r="I24" i="9"/>
  <c r="I25" i="9"/>
  <c r="I26" i="9"/>
  <c r="I27" i="9"/>
  <c r="H27" i="9"/>
  <c r="H26" i="9"/>
  <c r="H25" i="9"/>
  <c r="H24" i="9"/>
  <c r="I18" i="9"/>
  <c r="I19" i="9"/>
  <c r="I20" i="9"/>
  <c r="I21" i="9"/>
  <c r="H20" i="9"/>
  <c r="H21" i="9"/>
  <c r="H19" i="9"/>
  <c r="H18" i="9"/>
  <c r="H15" i="9"/>
  <c r="H14" i="9"/>
  <c r="I8" i="9"/>
  <c r="I9" i="9"/>
  <c r="I10" i="9"/>
  <c r="I11" i="9"/>
  <c r="H8" i="9"/>
  <c r="H11" i="9"/>
  <c r="H10" i="9"/>
  <c r="H9" i="9"/>
  <c r="I22" i="8"/>
  <c r="H22" i="8"/>
  <c r="H66" i="8"/>
  <c r="I66" i="8" s="1"/>
  <c r="H67" i="8"/>
  <c r="I67" i="8" s="1"/>
  <c r="H68" i="8"/>
  <c r="I68" i="8" s="1"/>
  <c r="H65" i="8"/>
  <c r="I65" i="8" s="1"/>
  <c r="I71" i="8"/>
  <c r="H71" i="8"/>
  <c r="I62" i="8"/>
  <c r="I61" i="8"/>
  <c r="I60" i="8"/>
  <c r="I57" i="8"/>
  <c r="I56" i="8"/>
  <c r="I55" i="8"/>
  <c r="I52" i="8"/>
  <c r="I51" i="8"/>
  <c r="I50" i="8"/>
  <c r="I47" i="8"/>
  <c r="I46" i="8"/>
  <c r="I45" i="8"/>
  <c r="I42" i="8"/>
  <c r="I41" i="8"/>
  <c r="I40" i="8"/>
  <c r="I37" i="8"/>
  <c r="I36" i="8"/>
  <c r="I35" i="8"/>
  <c r="I32" i="8"/>
  <c r="I30" i="8"/>
  <c r="I31" i="8"/>
  <c r="I27" i="8"/>
  <c r="I26" i="8"/>
  <c r="I25" i="8"/>
  <c r="I19" i="8"/>
  <c r="H19" i="8"/>
  <c r="I16" i="8"/>
  <c r="H13" i="8"/>
  <c r="I13" i="8" s="1"/>
  <c r="H10" i="8"/>
  <c r="I10" i="8" s="1"/>
  <c r="H9" i="8"/>
  <c r="I9" i="8" s="1"/>
  <c r="H8" i="8"/>
  <c r="I8" i="8" s="1"/>
  <c r="I28" i="7"/>
  <c r="H36" i="7"/>
  <c r="I36" i="7"/>
  <c r="H35" i="7"/>
  <c r="I35" i="7" s="1"/>
  <c r="H34" i="7"/>
  <c r="I34" i="7" s="1"/>
  <c r="H33" i="7"/>
  <c r="I33" i="7" s="1"/>
  <c r="I30" i="7"/>
  <c r="I29" i="7"/>
  <c r="I27" i="7"/>
  <c r="H24" i="7"/>
  <c r="I24" i="7" s="1"/>
  <c r="H23" i="7"/>
  <c r="I23" i="7" s="1"/>
  <c r="H22" i="7"/>
  <c r="I22" i="7" s="1"/>
  <c r="H21" i="7"/>
  <c r="I21" i="7" s="1"/>
  <c r="H18" i="7"/>
  <c r="I18" i="7" s="1"/>
  <c r="H17" i="7"/>
  <c r="I17" i="7" s="1"/>
  <c r="H16" i="7"/>
  <c r="I16" i="7" s="1"/>
  <c r="H15" i="7"/>
  <c r="I15" i="7" s="1"/>
  <c r="H12" i="7"/>
  <c r="I12" i="7" s="1"/>
  <c r="H11" i="7"/>
  <c r="I11" i="7" s="1"/>
  <c r="H10" i="7"/>
  <c r="I10" i="7" s="1"/>
  <c r="H9" i="7"/>
  <c r="I9" i="7" s="1"/>
  <c r="H30" i="5"/>
  <c r="I30" i="5" s="1"/>
  <c r="H34" i="5"/>
  <c r="I34" i="5" s="1"/>
  <c r="H29" i="5"/>
  <c r="I29" i="5" s="1"/>
  <c r="H25" i="5"/>
  <c r="I25" i="5" s="1"/>
  <c r="H24" i="5"/>
  <c r="I24" i="5" s="1"/>
  <c r="H23" i="5"/>
  <c r="I23" i="5" s="1"/>
  <c r="H22" i="5"/>
  <c r="I22" i="5" s="1"/>
  <c r="H19" i="5"/>
  <c r="I19" i="5" s="1"/>
  <c r="H16" i="5"/>
  <c r="I16" i="5" s="1"/>
  <c r="I13" i="5"/>
  <c r="H13" i="5"/>
  <c r="I12" i="5"/>
  <c r="H12" i="5"/>
  <c r="I10" i="5"/>
  <c r="I11" i="5"/>
  <c r="H11" i="5"/>
  <c r="H10" i="5"/>
  <c r="I30" i="4"/>
  <c r="H30" i="4"/>
  <c r="H34" i="4"/>
  <c r="I34" i="4" s="1"/>
  <c r="H35" i="4"/>
  <c r="I35" i="4" s="1"/>
  <c r="H36" i="4"/>
  <c r="I36" i="4" s="1"/>
  <c r="H33" i="4"/>
  <c r="I33" i="4" s="1"/>
  <c r="I27" i="4"/>
  <c r="H27" i="4"/>
  <c r="I24" i="4"/>
  <c r="H24" i="4"/>
  <c r="I18" i="4"/>
  <c r="I19" i="4"/>
  <c r="I20" i="4"/>
  <c r="I21" i="4"/>
  <c r="H21" i="4"/>
  <c r="H20" i="4"/>
  <c r="H19" i="4"/>
  <c r="H18" i="4"/>
  <c r="I15" i="4"/>
  <c r="H15" i="4"/>
  <c r="H12" i="4"/>
  <c r="I12" i="4" s="1"/>
  <c r="H11" i="4"/>
  <c r="I11" i="4" s="1"/>
  <c r="H10" i="4"/>
  <c r="I10" i="4" s="1"/>
  <c r="H9" i="4"/>
  <c r="I9" i="4" s="1"/>
  <c r="H31" i="3"/>
  <c r="I31" i="3" s="1"/>
  <c r="H30" i="3"/>
  <c r="I30" i="3" s="1"/>
  <c r="H29" i="3"/>
  <c r="I29" i="3" s="1"/>
  <c r="H28" i="3"/>
  <c r="I28" i="3" s="1"/>
  <c r="I25" i="3"/>
  <c r="H25" i="3"/>
  <c r="I24" i="3"/>
  <c r="H24" i="3"/>
  <c r="I23" i="3"/>
  <c r="H23" i="3"/>
  <c r="I22" i="3"/>
  <c r="H22" i="3"/>
  <c r="H19" i="3"/>
  <c r="I19" i="3" s="1"/>
  <c r="H18" i="3"/>
  <c r="I18" i="3" s="1"/>
  <c r="H17" i="3"/>
  <c r="I17" i="3" s="1"/>
  <c r="I16" i="3"/>
  <c r="H13" i="3"/>
  <c r="I13" i="3" s="1"/>
  <c r="H12" i="3"/>
  <c r="I12" i="3" s="1"/>
  <c r="H11" i="3"/>
  <c r="I11" i="3" s="1"/>
  <c r="H10" i="3"/>
  <c r="I10" i="3" s="1"/>
  <c r="H9" i="3"/>
  <c r="I9" i="3" s="1"/>
  <c r="I8" i="2"/>
  <c r="H8" i="2"/>
</calcChain>
</file>

<file path=xl/sharedStrings.xml><?xml version="1.0" encoding="utf-8"?>
<sst xmlns="http://schemas.openxmlformats.org/spreadsheetml/2006/main" count="4880" uniqueCount="1441">
  <si>
    <t>הערות:</t>
  </si>
  <si>
    <t>נושאים נוספים על סדר היום</t>
  </si>
  <si>
    <t>שם הפרויקט/העבודה</t>
  </si>
  <si>
    <t>המזמין</t>
  </si>
  <si>
    <t>שם המציע</t>
  </si>
  <si>
    <t>ציון סופי</t>
  </si>
  <si>
    <t>חישוב שכ"ט לפי</t>
  </si>
  <si>
    <t>היקף התקשרות משוער</t>
  </si>
  <si>
    <t>סכום/אחוז שכ"ט    (כולל מע"מ)</t>
  </si>
  <si>
    <t>סה"כ שכ"ט    (כולל מע"מ)</t>
  </si>
  <si>
    <t>מאגר יועצים</t>
  </si>
  <si>
    <t>החלטת ועדה</t>
  </si>
  <si>
    <t>סטטוס טיפול</t>
  </si>
  <si>
    <t xml:space="preserve">סעיף תקציבי </t>
  </si>
  <si>
    <t>החלטה מס' 2017-25-01</t>
  </si>
  <si>
    <t>1. כלל הבקשות של אגף הנדסה עברו בדיקה ובקרה של יועץ התקשרויות.</t>
  </si>
  <si>
    <t>הגדלת התקשרות - הוצאת היתר בית עלמין פרדס חיים</t>
  </si>
  <si>
    <t>מהנדסת העיר</t>
  </si>
  <si>
    <t>סכום קבוע</t>
  </si>
  <si>
    <t>גולדנברג אדריכלים</t>
  </si>
  <si>
    <t>V</t>
  </si>
  <si>
    <t>אושרה לפי סעיף 3.21 לנוהל התקשרויות</t>
  </si>
  <si>
    <t xml:space="preserve">משתתפים: איתי צחר - משנה מנכ"לית, צבי אפרת- ס/גזבר, אילה זיו - נציגת היועמ"ש, מאיה בר לב- רכזת הוועדה </t>
  </si>
  <si>
    <t xml:space="preserve">1. נדרשת הגדלת התקשרות לצורך התייחסות יועץ אינסטלציה עבור קבלת אישור ממשרד הבריאות ולפיכך מדובר בהגדלת התקשרות קיימת לפי סעיף 3.21 לנוהל התקשרויות.                                                                                                       </t>
  </si>
  <si>
    <t>2. בקשה מס' 2018-02-03 אושרה בסבב מיילים מתאריך 09.01.18 לאור דחיפות הבקשה.</t>
  </si>
  <si>
    <t>החלטה מס' 2018-02-01</t>
  </si>
  <si>
    <t>יעוץ בתחום החשמל לאגף ההנדסה</t>
  </si>
  <si>
    <t>סגן מהנדסת העיר - יוסי לנדאו</t>
  </si>
  <si>
    <t>נעים בדרך</t>
  </si>
  <si>
    <t>לפי שעה</t>
  </si>
  <si>
    <t>100 שעות</t>
  </si>
  <si>
    <t>תב"ר תכנון כללי</t>
  </si>
  <si>
    <t>אריאל מלכה</t>
  </si>
  <si>
    <t>סמו הנדסת חשמל</t>
  </si>
  <si>
    <t>רמי אלוביץ - הנדסת חשמל</t>
  </si>
  <si>
    <t>ב.ס מהנדסים</t>
  </si>
  <si>
    <t>החלטה מס' 2018-02-02</t>
  </si>
  <si>
    <t>מנהל פרוייקטים - כללי</t>
  </si>
  <si>
    <t>משנה למנכ"לית העירייה</t>
  </si>
  <si>
    <t>ח.י הנדסה</t>
  </si>
  <si>
    <t>מתן</t>
  </si>
  <si>
    <t>aviv</t>
  </si>
  <si>
    <t>מרטנס הופמן</t>
  </si>
  <si>
    <t>החלטה מס' 2018-02-03</t>
  </si>
  <si>
    <t>ליווי משפטי מאבק בתחנת כוח צור נתן</t>
  </si>
  <si>
    <t>כהן, וילצ'ק ושות'</t>
  </si>
  <si>
    <t>אושרה ההצעה עם הציון המשוקלל הגבוה ביותר.</t>
  </si>
  <si>
    <t>נשיץ ברנדס אמיר ושות'</t>
  </si>
  <si>
    <t>AVZ &amp; CO</t>
  </si>
  <si>
    <t>ראב"ד, מגריזו, בנקל ושות'</t>
  </si>
  <si>
    <t>החלטה מס' 2018-02-04</t>
  </si>
  <si>
    <t>תכנון אדריכלי לעבודות שיפוץ ושדרוג מוסדות חינוך</t>
  </si>
  <si>
    <t>מנהל מח' תחזוקת מבנים - מיכאל זלדין</t>
  </si>
  <si>
    <t>שירי פרץ</t>
  </si>
  <si>
    <t>500 שעות</t>
  </si>
  <si>
    <t>מייזי חזקיה</t>
  </si>
  <si>
    <t>רבקה כרמי</t>
  </si>
  <si>
    <t>אורלי שרם</t>
  </si>
  <si>
    <t xml:space="preserve">פרוטוקול וועדת התקשרויות מס' 2018-02 תאריך: 17/01/2018 </t>
  </si>
  <si>
    <t xml:space="preserve">פרוטוקול וועדת התקשרויות מס' 2018-01 תאריך: 02/01/2018 </t>
  </si>
  <si>
    <t>החלטה מס' 2018-03-01</t>
  </si>
  <si>
    <t>החלטה מס' 2018-03-03</t>
  </si>
  <si>
    <t>שירותי ייעוץ מקצועי עבור הפארק</t>
  </si>
  <si>
    <t>מנהל הפארק - מוטי מורי</t>
  </si>
  <si>
    <t>דרור ניסן</t>
  </si>
  <si>
    <t>אדיר אלווס</t>
  </si>
  <si>
    <t>דני אלמליח</t>
  </si>
  <si>
    <t>יוסי מזרחי</t>
  </si>
  <si>
    <t>לפי חודש</t>
  </si>
  <si>
    <t>12 חודשים</t>
  </si>
  <si>
    <t>ליאב שלם</t>
  </si>
  <si>
    <t>עד 15,000 ₪</t>
  </si>
  <si>
    <t>הגדלת התקשרות - ליווי ופיקוח אקולוגי וניטור בריכת החורף</t>
  </si>
  <si>
    <t xml:space="preserve">1. נדרשת הגדלת התקשרות לפי סעיף 3.21 לנוהל התקשרויות. </t>
  </si>
  <si>
    <t>מנהל מח' ניקיון עיר - ראובן אביסף</t>
  </si>
  <si>
    <t>אקוסטאר</t>
  </si>
  <si>
    <t>Insite.e.u. LTD</t>
  </si>
  <si>
    <t>פורטל</t>
  </si>
  <si>
    <t>מ. בר לב</t>
  </si>
  <si>
    <t>החלטה מס' 2018-03-02</t>
  </si>
  <si>
    <t>החלטה מס' 2018-03-04</t>
  </si>
  <si>
    <t>החלטה מס' 2018-03-05</t>
  </si>
  <si>
    <t>השלמת חומרים כלכליים לתב"ע כיסופים</t>
  </si>
  <si>
    <t>מהנדסת העיר - ענת צ'רבינסקי</t>
  </si>
  <si>
    <t>עודד לנדאו</t>
  </si>
  <si>
    <t>אריאל גושן</t>
  </si>
  <si>
    <t>השלמת חומרים אדריכליים לתב"ע כיסופים</t>
  </si>
  <si>
    <t>החלטה מס' 2018-03-06</t>
  </si>
  <si>
    <t>הנגשת מוסדות חינוך - ליקויי ראייה</t>
  </si>
  <si>
    <t>אלכס ברגמן</t>
  </si>
  <si>
    <t>יועץ לכתיבת מכרז פומבי לפינוי אשפה וגזם</t>
  </si>
  <si>
    <t xml:space="preserve">רכזת נגישות - עדי אבירם </t>
  </si>
  <si>
    <t>החלטה מס' 2018-03-07</t>
  </si>
  <si>
    <t xml:space="preserve">תב"ר תכנון </t>
  </si>
  <si>
    <t xml:space="preserve">בר טכנולוגיות </t>
  </si>
  <si>
    <t>פורום שרת</t>
  </si>
  <si>
    <t>קומפלוט</t>
  </si>
  <si>
    <t>גאודע</t>
  </si>
  <si>
    <t>מתוך תקציב סגן מנהל מחלקה</t>
  </si>
  <si>
    <t>35 שעות*4 חודשים</t>
  </si>
  <si>
    <t>אושרה לפי סעיף 3.21 לנוהל התקשרויות.</t>
  </si>
  <si>
    <t>1. אושרה לפי סעיף 3.21 לנוהל התקשרויות. 2. יש  לנהל מו"מ עם המציע ולנסות להפחית את שכר הטרחה.</t>
  </si>
  <si>
    <t>1. אושרה ההצעה עם הציון המשוקלל הגבוה ביותר.</t>
  </si>
  <si>
    <t xml:space="preserve">פרוטוקול וועדת התקשרויות מס' 2018-03 תאריך: 30/01/2018 </t>
  </si>
  <si>
    <t>הדרכה בנושא תב"ע למח' תכנון עיר</t>
  </si>
  <si>
    <t>החלטה מס' 2018-04-01</t>
  </si>
  <si>
    <t>הכנת מכרז ניקיון מוסדות חינוך וציבור</t>
  </si>
  <si>
    <t xml:space="preserve">מנהל מח' ניקיון עיר - ראובן אביסף </t>
  </si>
  <si>
    <t>אקוסטאר אבשה</t>
  </si>
  <si>
    <t>פורטל ייעוץ</t>
  </si>
  <si>
    <t>עו"ד טל סומך</t>
  </si>
  <si>
    <t>רו"ח אמזלג</t>
  </si>
  <si>
    <t xml:space="preserve">משתתפים: איתי צחר - משנה מנכ"לית, צבי אפרת- ס/גזבר, מאיה בר לב- רכזת הוועדה </t>
  </si>
  <si>
    <t>1. בשל היעדרותה של עו"ד אילה זיו אושר ע"י יועמ"ש העיריה - עו"ד אלון בן זקן.</t>
  </si>
  <si>
    <t>החלטה מס' 2018-04-02</t>
  </si>
  <si>
    <t>החלטה מס' 2018-04-03</t>
  </si>
  <si>
    <t>החלטה מס' 2018-04-04</t>
  </si>
  <si>
    <t>הגדלת התקשרות - ייעוץ בנושא הסכמי שכר</t>
  </si>
  <si>
    <t>אגף משאבי אנוש - מירה טולדנו</t>
  </si>
  <si>
    <t xml:space="preserve">אגמון </t>
  </si>
  <si>
    <t>שחק</t>
  </si>
  <si>
    <t>הגדלת התקשרות - ייעוץ בנושא שכר מול משרדי ממשלה ובקרה על שכר עבור קבלנים</t>
  </si>
  <si>
    <t>יועץ לשדרוג מערך השירות הפנים ארגוני</t>
  </si>
  <si>
    <t>אגף שירות והסברה - ליאור גפן</t>
  </si>
  <si>
    <t>אמ"ן</t>
  </si>
  <si>
    <t>ארגו</t>
  </si>
  <si>
    <t>מרינה נאון</t>
  </si>
  <si>
    <t>7 אייז ייוץ בע"מ</t>
  </si>
  <si>
    <t>300 שעות</t>
  </si>
  <si>
    <t>החלטה מס' 2018-04-05</t>
  </si>
  <si>
    <t>החלטה מס' 2018-04-06</t>
  </si>
  <si>
    <t>יועץ לניהול וליווי פרוייקטים ותהליכים באגף ההנדסה</t>
  </si>
  <si>
    <t>תב"ר תכנון</t>
  </si>
  <si>
    <t>ייעוץ בנושא וועדת גבולות</t>
  </si>
  <si>
    <t>מנהלת אגף הכנסות - גלית שניידר מימרן</t>
  </si>
  <si>
    <t>רני פינצי</t>
  </si>
  <si>
    <t>עד 30 שעות</t>
  </si>
  <si>
    <t>1. לאור דחיפות הטיפול בנושא וועדת גבולות וניגוד עניינים של שאר החברות המוכרות לעירייה אשר מטפלות בנושא וועדת גבולות מבקשים אישור לפי סעיף 3.21 לנוהל התקשרויות.</t>
  </si>
  <si>
    <t>projrct point</t>
  </si>
  <si>
    <t xml:space="preserve">פרוטוקול וועדת התקשרויות מס' 2018-04 תאריך: 06/02/18 </t>
  </si>
  <si>
    <t>2. כלל הבקשות של אגף הנדסה עברו בדיקה ובקרה של יועץ התקשרויות.</t>
  </si>
  <si>
    <t>3. מפאת דחיפות הבקשות אושרו בסבב מיילים</t>
  </si>
  <si>
    <t xml:space="preserve">משתתפים: איתי צחר - משנה מנכ"לית, צבי אפרת- ס/גזבר, יועמ"ש העיריה - עו"ד אלון בן זקן, מאיה בר לב- רכזת הוועדה </t>
  </si>
  <si>
    <t>החלטה מס' 2018-05-01</t>
  </si>
  <si>
    <t>החלטה מס' 2018-05-02</t>
  </si>
  <si>
    <t>ניהול פרוייקט כיתות שמע</t>
  </si>
  <si>
    <t>רכזת נגישות - עדי אבירם</t>
  </si>
  <si>
    <t>א.ג.מ</t>
  </si>
  <si>
    <t>ב.ס. מהנדסים</t>
  </si>
  <si>
    <t>י.מ. קרייזל</t>
  </si>
  <si>
    <t>אלדור</t>
  </si>
  <si>
    <t>מחיר לכיתה</t>
  </si>
  <si>
    <t>25 כיתות</t>
  </si>
  <si>
    <t>יועץ אקוסטי להנגשת כיתות שמע</t>
  </si>
  <si>
    <t>החלטה מס' 2018-05-04</t>
  </si>
  <si>
    <t>החלטה מס' 2018-05-05</t>
  </si>
  <si>
    <t xml:space="preserve">עדוא יאיר </t>
  </si>
  <si>
    <t>לורבר</t>
  </si>
  <si>
    <t>מ.ג. יועצים</t>
  </si>
  <si>
    <t>ענת בן חורין</t>
  </si>
  <si>
    <t>תכנון אדריכלי להנגשת מבני ציבור</t>
  </si>
  <si>
    <t>דיאנה סטרק</t>
  </si>
  <si>
    <t>אדם בקר</t>
  </si>
  <si>
    <t>טלי זילבר</t>
  </si>
  <si>
    <t>40 שעות למבנה * 20 מבנים</t>
  </si>
  <si>
    <t>ניהול פרויקט להנגשת מבני ציבור</t>
  </si>
  <si>
    <t>מיקי קרייזלר</t>
  </si>
  <si>
    <t>אייל רוטברט</t>
  </si>
  <si>
    <t>ש.מ.מ</t>
  </si>
  <si>
    <t>ארד. ד. הנדסה</t>
  </si>
  <si>
    <t>לפי אחוז</t>
  </si>
  <si>
    <t>היקף פרוייקט 3,200,000</t>
  </si>
  <si>
    <t>היקף פרוייקט 3,200,001</t>
  </si>
  <si>
    <t>היקף פרוייקט 3,200,002</t>
  </si>
  <si>
    <t>היקף פרוייקט 3,200,003</t>
  </si>
  <si>
    <t>שדרוג חצרות מוסדות חינוך</t>
  </si>
  <si>
    <t>דפנה תמיר</t>
  </si>
  <si>
    <t>יעקב פוקס</t>
  </si>
  <si>
    <t>גדעון שריג</t>
  </si>
  <si>
    <t>אפרת שחר</t>
  </si>
  <si>
    <t>400 שעות</t>
  </si>
  <si>
    <t>תב"ר 2530092770 - שיפוץ מוסדות חינוך 2018</t>
  </si>
  <si>
    <t>1. אושרה ההצעה עם הציון המשוקלל הגבוה ביותר. 2. האישור מותנה בהרשמת היועץ למאגר היועצים של העירייה תחת ניהול פרוייקטים (מוסדות ציבור).</t>
  </si>
  <si>
    <t xml:space="preserve"> אושרה ההצעה עם הציון המשוקלל הגבוה ביותר.</t>
  </si>
  <si>
    <t>1. אושרה ההצעה עם הציון המשוקלל הגבוה ביותר. 2. האישור מותנה בהרשמת היועץ למאגר היועצים של העירייה תחת ייעוץ אקוסטי.</t>
  </si>
  <si>
    <t xml:space="preserve">פרוטוקול וועדת התקשרויות מס' 2018-05 תאריך: 13/02/18 </t>
  </si>
  <si>
    <t>1. אישור רו"ח אמזלג כיועץ בהמשך להחלטה מס' 2018-04-01 לפי סעיף 3.17 - מאושר.</t>
  </si>
  <si>
    <t>החלטה מס' 2018-05-03</t>
  </si>
  <si>
    <t xml:space="preserve">אדריכלית נוף </t>
  </si>
  <si>
    <t>מנהלת מח' תכנון - כנרת תירוש</t>
  </si>
  <si>
    <t>חגית ברגמן</t>
  </si>
  <si>
    <t>נעמה אשל צוברי</t>
  </si>
  <si>
    <t>ענת שדה</t>
  </si>
  <si>
    <t>100 שעות חודשיות * 12 חודשים</t>
  </si>
  <si>
    <t xml:space="preserve">המרה עם תקן לא מאוייש של אדריכלית הנוף </t>
  </si>
  <si>
    <t>החלטה מס' 2018-06-01</t>
  </si>
  <si>
    <t>החלטה מס' 2018-06-02</t>
  </si>
  <si>
    <t>התקשרות המשך - ייעוץ לניהול וליווי פרוייקטים</t>
  </si>
  <si>
    <t>מדובר בהתקשרות בהמשך להחלטה מס' 2018-04-05  לפי סעיף 3.21 לנוהל התקשרויות.</t>
  </si>
  <si>
    <t>החלטה מס' 2018-06-03</t>
  </si>
  <si>
    <t>ניהול ופיקוח  שדרוג מסלול האתלטיקה כצנלסון - גלילי</t>
  </si>
  <si>
    <t>סגן מהנדסת העיר (אגף הספורט באמצעות אגף הנדסה)</t>
  </si>
  <si>
    <t xml:space="preserve">לודן </t>
  </si>
  <si>
    <t>החלטה מס' 2018-06-04</t>
  </si>
  <si>
    <t>ייעוץ מקצועי לשדרוג מסלול האתלטיקה כצנלסון - גלילי</t>
  </si>
  <si>
    <t>שיאן ספורט</t>
  </si>
  <si>
    <t>תב"ר ספורט</t>
  </si>
  <si>
    <t>החלטה מס' 2018-06-05</t>
  </si>
  <si>
    <t>הגדלת התקשרות - תכנון תנועה ורמזור צומת אושירה</t>
  </si>
  <si>
    <t>דגש הנדסה</t>
  </si>
  <si>
    <t>מנהלת מח' תנועה - הילן דהרי</t>
  </si>
  <si>
    <t>תב"ר תכנון - 44005</t>
  </si>
  <si>
    <t>מדובר בהתקשרות המשך להחלטה מתאריך 24.11.2011  לפי סעיף 3.21 לנוהל התקשרויות.</t>
  </si>
  <si>
    <t>מדובר בהתקשרות המשך להחלטה מתאריך 26.01.2012  לפי סעיף 3.21 לנוהל התקשרויות.</t>
  </si>
  <si>
    <t>מדובר בהתקשרות המשך להחלטה מס' 2017-15-01  לפי סעיף 3.21 לנוהל התקשרויות.</t>
  </si>
  <si>
    <t>נעשתה פנייה ל-16 אדריכלי נוף הרשומים במאגר והתקבלו רק 3 הצעות מחיר, לפיכך מובא בפני הוועדה לפי סעיף 3.15 לנוהל התקשרויות.</t>
  </si>
  <si>
    <t>2. הועבר בסבב מיילים.</t>
  </si>
  <si>
    <t>החלטה מס' 2018-06-06</t>
  </si>
  <si>
    <t>יוסי לנדאו</t>
  </si>
  <si>
    <t>גוני הנדסה</t>
  </si>
  <si>
    <t xml:space="preserve">פים פרוייקטים </t>
  </si>
  <si>
    <t>רמי ישורון</t>
  </si>
  <si>
    <t>היקף פרוייקט משוער 2,000,000</t>
  </si>
  <si>
    <t>נעשתה פנייה ל-4 יועצים והתקבלו רק 3 הצעות מחיר, לפיכך מובא בפני הוועדה לפי סעיף 3.15 לנוהל התקשרויות.</t>
  </si>
  <si>
    <t>תקציב מת"ח - מרכבה 1001013479 (תכנון)</t>
  </si>
  <si>
    <t>החלטה מס' 2018-06-07</t>
  </si>
  <si>
    <t>החלטה מס' 2018-06-08</t>
  </si>
  <si>
    <t>החלטה מס' 2018-06-09</t>
  </si>
  <si>
    <t>החלטה מס' 2018-06-10</t>
  </si>
  <si>
    <t>ניהול פרוייקט רח' אנה פרנק - מפ"א</t>
  </si>
  <si>
    <t>היקף פרוייקט משוער 1,700,000</t>
  </si>
  <si>
    <t>ניהול ופיקוח גשר מעל רחוב הפועל</t>
  </si>
  <si>
    <t>היקף פרוייקט משוער 3,000,000</t>
  </si>
  <si>
    <t>היקף פרוייקט משוער 9,000,000</t>
  </si>
  <si>
    <t>החלטה מס' 2018-06-11</t>
  </si>
  <si>
    <t>החלטה מס' 2018-06-12</t>
  </si>
  <si>
    <t>ניהול ופיקוח - הרצל דרום</t>
  </si>
  <si>
    <t>היקף פרוייקט משוער 2,700,000</t>
  </si>
  <si>
    <t>ניהול ופיקוח - התע"ש</t>
  </si>
  <si>
    <t>ניהול ופיקוח - שביל אופניים - קריית החינוך</t>
  </si>
  <si>
    <t>ניהול ופיקוח רחוב הצבקים/תל אביב יפו</t>
  </si>
  <si>
    <t>ניהול ופיקוח רח' בן גוריון</t>
  </si>
  <si>
    <t>היקף פרוייקט משוער 6,000,000</t>
  </si>
  <si>
    <t>תקציב מת"ח - מרכבה 1001002493 (תכנון)</t>
  </si>
  <si>
    <t>תקציב מת"ח - מרכבה 1001049832 (תכנון)</t>
  </si>
  <si>
    <t>תקציב מת"ח - מרכבה 1001002490 (תכנון)</t>
  </si>
  <si>
    <t>תקציב מת"ח - מרכבה 1001002491 (תכנון)</t>
  </si>
  <si>
    <t>תקציב מת"ח - מרכבה 1001042898 (תכנון)</t>
  </si>
  <si>
    <t>החלטה מס' 2018-06-13</t>
  </si>
  <si>
    <t>ניהול ופיקוח מסוף תחבורה ציבורית (אזור תעשיה עתיר ידע)</t>
  </si>
  <si>
    <t>החלטה מס' 2018-06-14</t>
  </si>
  <si>
    <t>החלטה מס' 2018-06-15</t>
  </si>
  <si>
    <t>ניהול ופיקוח  - פרוייקט מהיר לעיר</t>
  </si>
  <si>
    <t>ארז רובינשטיין</t>
  </si>
  <si>
    <t>גוני הנדסה בע"מ</t>
  </si>
  <si>
    <t>נועם גת</t>
  </si>
  <si>
    <t>הכנת תב"ע לחילופי שטחים הר מירון ופינת הר תבור</t>
  </si>
  <si>
    <t>1. מדובר בהגדלת התקשרות קיימת, החלטה 2017-07-02 לפי סעיף 3.21 נוהל . 2. נדרשת הגדלה לאור שינוי סמכות התכנית ממקומית למחוזית.</t>
  </si>
  <si>
    <t>מנהלת מח' תכנון עיר- כנרת תירוש</t>
  </si>
  <si>
    <t>רויטל אגוזי</t>
  </si>
  <si>
    <t>50 שעות לחודש * 12 חודשים</t>
  </si>
  <si>
    <t>51 שעות לחודש * 12 חודשים</t>
  </si>
  <si>
    <t>52 שעות לחודש * 12 חודשים</t>
  </si>
  <si>
    <t>53 שעות לחודש * 12 חודשים</t>
  </si>
  <si>
    <t>לא מאושר -יש להגיש 4 הצעות מחיר</t>
  </si>
  <si>
    <t xml:space="preserve">פרוטוקול וועדת התקשרויות מס' 2018-06 תאריך: 27/02/18 </t>
  </si>
  <si>
    <t>תכנון מערכות הגברה, מולטימדיה, תאורה והנגשת שירותי מדיה באודיטוריום אילן רמון</t>
  </si>
  <si>
    <t>מנהלת מח' רכש</t>
  </si>
  <si>
    <t>אדוויס טק</t>
  </si>
  <si>
    <t>גבדין תקשורת בע"מ</t>
  </si>
  <si>
    <t>קולן אלקטרוניקה בע"מ</t>
  </si>
  <si>
    <t>טלרון טלמוניקציה בע"מ</t>
  </si>
  <si>
    <t>אודיטוריום חטיבת אילן רמון</t>
  </si>
  <si>
    <t xml:space="preserve">ייעוץ לועדת גבולות - ייעוץ אדריכלי </t>
  </si>
  <si>
    <t>אלי פירשט</t>
  </si>
  <si>
    <t>תכנון פיזי שביל אופניים רח' סוקולוב</t>
  </si>
  <si>
    <t>מנהלת מח' תשתיות - ניצה חן</t>
  </si>
  <si>
    <t>הראל</t>
  </si>
  <si>
    <t>יריב</t>
  </si>
  <si>
    <t>דאל</t>
  </si>
  <si>
    <t>דגש</t>
  </si>
  <si>
    <t>תחבורה</t>
  </si>
  <si>
    <t>תכנון פיזי שביל אופניים ששת הימים</t>
  </si>
  <si>
    <t>תכנון קונסטרקטיבי בפרוייקט הסדרת רחוב תל חי צפון בין בן יהודה לויצמן</t>
  </si>
  <si>
    <t xml:space="preserve">אהרון דניאל </t>
  </si>
  <si>
    <t>כהן צבי</t>
  </si>
  <si>
    <t>סטאר מהנדסים</t>
  </si>
  <si>
    <t>י. שני מהנדסים</t>
  </si>
  <si>
    <t>תכנון תאורה בפרוייקט הסדרת רחוב תל חי צפון בין בן יהודה לויצמן</t>
  </si>
  <si>
    <t>אי יו בי משה הנדסה</t>
  </si>
  <si>
    <t>אורי אברהמי</t>
  </si>
  <si>
    <t>סמו הנדסה</t>
  </si>
  <si>
    <t>אלוביץ'</t>
  </si>
  <si>
    <t>תכנון פיזי בפרוייקט הסדרת רחוב תל חי בין ויצמן לבן יהודה</t>
  </si>
  <si>
    <t>ב.נ. הנדסה</t>
  </si>
  <si>
    <t>עתיד מהנדסים</t>
  </si>
  <si>
    <t>טא.ס.ט. טליסמן הנדסה</t>
  </si>
  <si>
    <t>הראל מהנדסים</t>
  </si>
  <si>
    <t>ליווי אגרונימי לפרוייקט הסדרת רחוב תל חי בין ויצמן לבן יהודה</t>
  </si>
  <si>
    <t>פתילת המדבר</t>
  </si>
  <si>
    <t>מידות ומעשי נוף</t>
  </si>
  <si>
    <t>יעוץ ופיקוח ירוק</t>
  </si>
  <si>
    <t>אדיר - ייעוץ ופיקוח</t>
  </si>
  <si>
    <t>הגדלת התקשרות - ייעוץ ארגוני</t>
  </si>
  <si>
    <t>מנהלת אגף הכנסות</t>
  </si>
  <si>
    <t>ד"ר גלעד ארנון</t>
  </si>
  <si>
    <t>159 שעות;</t>
  </si>
  <si>
    <t>1. הצעת המחיר כוללת 80 שעות למתכנן מומחה (פרופ' אדר') ו80 שעות עבור 2 אדריכלים בכירים בעלי 10 שנות ניסיון. 2. מדובר באדריכל שהכין את תכנית המתאר ועל רקע זה הוא נדרש לייעץ וללוות אותנו בדיוני הוועדה הגאוגרפית, לכן עולה לאישור הועדה לפי סעיף 3.21.</t>
  </si>
  <si>
    <t xml:space="preserve">1. הבקשות של אגף הנדסה עברו בדיקה ובקרה של יועץ התקשרויות </t>
  </si>
  <si>
    <t>מדובר בהגדלת התקשרות שלישית לליווי תהליך שהחל בשנת 2016 וממשיך גם היום ולכן עולה לאישור הועדה לפי סעיף 3.21.</t>
  </si>
  <si>
    <t>2. אושר בסבב מיילים.</t>
  </si>
  <si>
    <t>החלטה מס' 2018-07-01</t>
  </si>
  <si>
    <t>החלטה מס' 2018-07-02</t>
  </si>
  <si>
    <t>החלטה מס' 2018-07-03</t>
  </si>
  <si>
    <t>החלטה מס' 2018-07-04</t>
  </si>
  <si>
    <t>החלטה מס' 2018-07-06</t>
  </si>
  <si>
    <t>החלטה מס' 2018-07-07</t>
  </si>
  <si>
    <t>החלטה מס' 2018-07-08</t>
  </si>
  <si>
    <t>החלטה מס' 2018-07-09</t>
  </si>
  <si>
    <t>החלטה מס' 2018-08-01</t>
  </si>
  <si>
    <t>החלטה מס' 2018-08-02</t>
  </si>
  <si>
    <t>החלטה מס' 2018-08-03</t>
  </si>
  <si>
    <t>החלטה מס' 2018-08-04</t>
  </si>
  <si>
    <t>החלטה מס' 2018-08-05</t>
  </si>
  <si>
    <t>החלטה מס' 2018-08-06</t>
  </si>
  <si>
    <t>החלטה מס' 2018-08-07</t>
  </si>
  <si>
    <t>החלטה מס' 2018-08-08</t>
  </si>
  <si>
    <t>החלטה מס' 2018-08-09</t>
  </si>
  <si>
    <t>החלטה מס' 2018-08-10</t>
  </si>
  <si>
    <t>החלטה מס' 2018-08-11</t>
  </si>
  <si>
    <t>החלטה מס' 2018-08-12</t>
  </si>
  <si>
    <t>החלטה מס' 2018-08-13</t>
  </si>
  <si>
    <t>החלטה מס' 2018-08-14</t>
  </si>
  <si>
    <t>תכנון אדריכלי כולל שכר ליועצים נוספים - תוספת 2 כיתות מחשבים (סגירת מרפסת) והרחבת חדר מורים (מנהלה) בתיכון הרצוג</t>
  </si>
  <si>
    <t>תכנון אדריכלי כולל שכר ליועצים נוספים - הקמת מזנון משותף לחטיבות שז"ר +שרת</t>
  </si>
  <si>
    <t>תכנון אדריכלי כולל שכר ליועצים נוספים - הרחבת מועדון הקשישים ויתקין בשכ' עליה</t>
  </si>
  <si>
    <t xml:space="preserve">תכנון אדריכלי כולל שכר ליועצים נוספים - הפיכת מקווה גברים קפלן למקווה נשים </t>
  </si>
  <si>
    <t>ברבר אדריכלים</t>
  </si>
  <si>
    <t>מדובר בעבודת המשך לפי סעיף 3.21 - האדריכל דרור ברבר הוא עורך הבקשה של הפרוייקט.</t>
  </si>
  <si>
    <t>בדיקת עמידות מבני בתי ספר בפני רעידות אדמה</t>
  </si>
  <si>
    <t>לריסה רובינשטיין</t>
  </si>
  <si>
    <t>מואב</t>
  </si>
  <si>
    <t>מצוק מהנדסים בע"מ</t>
  </si>
  <si>
    <t>א.ד. מהנדסים</t>
  </si>
  <si>
    <t>אידלס נחמן</t>
  </si>
  <si>
    <t xml:space="preserve">תכנון פיזי - שביל אופניים רח' נורדאו בין ויצמן ל-531 </t>
  </si>
  <si>
    <t>אמי מתום</t>
  </si>
  <si>
    <t>דאל הנדסה</t>
  </si>
  <si>
    <t>דיא הנדסה</t>
  </si>
  <si>
    <t>תחבורתי</t>
  </si>
  <si>
    <t>ארט אדריכלות נוף ועיצוב עירוני בע"מ</t>
  </si>
  <si>
    <t>עד - אדריכלי נוף בע"מ</t>
  </si>
  <si>
    <t>תכנון תאורה לאורך מדרכה מערבית - שביל אופניים תל חי דרום</t>
  </si>
  <si>
    <t>יאיר איתן מהנדסים</t>
  </si>
  <si>
    <t>רמאוי בע"מ</t>
  </si>
  <si>
    <t>ג.ב. מהנדסים</t>
  </si>
  <si>
    <t>סמו הנדסה חשמל בע"מ</t>
  </si>
  <si>
    <t>אינה נוסבאום</t>
  </si>
  <si>
    <t>ניהול תכנון וביצוע - רחוב הרצל דרום בין ויצמן ל-531</t>
  </si>
  <si>
    <t>פים פרוייקטים</t>
  </si>
  <si>
    <t>הגדלת התקשרות קיימת -ליווי מקסום הכנסות ממשרד החינוך</t>
  </si>
  <si>
    <t>אגף החינוך - דריה</t>
  </si>
  <si>
    <t>רו"ח רון פישמן</t>
  </si>
  <si>
    <t xml:space="preserve">ליווי ויישום התכנית האסטרטגית לחינוך </t>
  </si>
  <si>
    <t>מדובר בעבודת המשך לשנה נוכחית עד לסוף שנת הלימודים לפי סעיף 3.21 לנוהל התקשרויות. נערכים למכרז לשנת הלימודים הבאה.</t>
  </si>
  <si>
    <t>משאבי ידע - MYEDA</t>
  </si>
  <si>
    <t>8 שעות שבועיות * 12 חודשים - 416 שעות עבודה</t>
  </si>
  <si>
    <t>1. מדובר ביישום תכנית העבודה שנבנתה במהלך שנת 2017 ולפיכך עבודת המשך לפי סעיף 3.21 לנוהל התקשרויות.</t>
  </si>
  <si>
    <t>תכנון תנועתי ברח' תל חי בקטע ויצמן - בן יהודה</t>
  </si>
  <si>
    <t xml:space="preserve">מורן הנדסה </t>
  </si>
  <si>
    <t>ב.נ הנדסה</t>
  </si>
  <si>
    <t>אנדריא</t>
  </si>
  <si>
    <t>רשום - לא הגיש מסמכים כנדרש</t>
  </si>
  <si>
    <t>ייעוץ רמזורים</t>
  </si>
  <si>
    <t>תכנון כללי - 44005</t>
  </si>
  <si>
    <t>לוי שטראק זילברשטיין</t>
  </si>
  <si>
    <t>אמי מתום מהנדסים ויועצים בע"מ</t>
  </si>
  <si>
    <t>בז'רנו דוד - הנדסת תנועה ותחבורה בע"מ</t>
  </si>
  <si>
    <t>בר-טל הנדסה בע"מ</t>
  </si>
  <si>
    <t>200 שעות</t>
  </si>
  <si>
    <t>ב.ס מהנדסים בע"מ</t>
  </si>
  <si>
    <t>מריו גולדשטיין</t>
  </si>
  <si>
    <t>קרול וקסלר</t>
  </si>
  <si>
    <t>היקף פרוייקט 6,000,000</t>
  </si>
  <si>
    <t>4-6%</t>
  </si>
  <si>
    <t>5-8%</t>
  </si>
  <si>
    <t>3.5-4.4%</t>
  </si>
  <si>
    <t>ניהול ופיקוח - שיפוץ מוסדות חינוך 2018</t>
  </si>
  <si>
    <t>ליבי חיזוקים איתנים בע"מ</t>
  </si>
  <si>
    <t>היקף פרויקט משוער 2,800,000</t>
  </si>
  <si>
    <t>היקף פרויקט משוער 2,800,001</t>
  </si>
  <si>
    <t>היקף פרויקט משוער 2,800,002</t>
  </si>
  <si>
    <t>היקף פרויקט משוער 2,800,003</t>
  </si>
  <si>
    <t>נערכה פניה ל-7 מציעים, 4 שהגישו הצעות מחיר ומצויינים לעיל ו-3 נוספים שהעירייה לא התקשרה עימם ב-3 השנים האחרונות ולא הגישו הצעות מחיר.</t>
  </si>
  <si>
    <t>החלטה מס' 2018-08-15</t>
  </si>
  <si>
    <t>החלטה מס' 2018-08-16</t>
  </si>
  <si>
    <t>החלטה מס' 2018-08-17</t>
  </si>
  <si>
    <t>החלטה מס' 2018-08-18</t>
  </si>
  <si>
    <t>תכנית נושאית - הגדלת שטח חדר על הגג</t>
  </si>
  <si>
    <t>יעל שחר</t>
  </si>
  <si>
    <t>נגה ברג נשרי</t>
  </si>
  <si>
    <t>גולדברג אדריכלים בע"מ</t>
  </si>
  <si>
    <t xml:space="preserve">אבירם אדריכלים בע"מ </t>
  </si>
  <si>
    <t xml:space="preserve">תב"ר תב"עות </t>
  </si>
  <si>
    <t>תב"ע הגבהת גובה ומרתפים</t>
  </si>
  <si>
    <t>נוגה ברג נשרי</t>
  </si>
  <si>
    <t>שחר-רוזנפלד</t>
  </si>
  <si>
    <t>תכנית נושאית - חצרות משק בשכונת הדרים</t>
  </si>
  <si>
    <t>תכנית נושאית - שטחים עבור גלריות במסחר ותעשייה - סמכות מחוזית</t>
  </si>
  <si>
    <t>שחר רוזנפלד אדרכלים</t>
  </si>
  <si>
    <t>לא רשומה</t>
  </si>
  <si>
    <t>החלטה מס' 2018-08-19</t>
  </si>
  <si>
    <t xml:space="preserve">הדרכה וליווי של הטמעת מודולים שונים של חברת מיקרוסופט </t>
  </si>
  <si>
    <t>מנהל אגף מחשוב - מוטי סרודי</t>
  </si>
  <si>
    <t>Prodware Israel</t>
  </si>
  <si>
    <t>ELAD</t>
  </si>
  <si>
    <t>Biz Aid Israel</t>
  </si>
  <si>
    <t>800 שעות</t>
  </si>
  <si>
    <t>ישנן 5 חברות בארץ המוסמכות ע"י חברת MICROSOFT המציעות שירותים אלו, נערכה פנייה לכל 5 החברות, 3 מהן הגישו הצעות מחיר, 1 ויתרה על העבודה ו-1 לא שלחה מענה.</t>
  </si>
  <si>
    <t xml:space="preserve">פרוטוקול וועדת התקשרויות מס' 2018-08 תאריך: 22/04/18 </t>
  </si>
  <si>
    <t>לבקשת אגף חינוך ובתיאום עם אגף הנדסה הבקשה יורדת מסדר היום.</t>
  </si>
  <si>
    <t>לאחר בדיקת הנושא וקבלת תשובות ע"י סגן מהנדסת העיר- יוסי לנדאו אל מול הרב ששון תתקבל החלטה. כרגע לא מאושר.</t>
  </si>
  <si>
    <t>אדריכל נוף - שביל אופניים רח' נורדאו</t>
  </si>
  <si>
    <t xml:space="preserve">לא מאושר, יש להגיש הצעת מחיר קודמת והחלטת וועדת התקשרויות קודמת. כמו כן יש להסביר מדוע בעת קבלת הצעת המחיר לבניית התכנית לא ביקשתם גם לכלול את יישום התכנית. </t>
  </si>
  <si>
    <t>החלטה מס' 2018-08-20</t>
  </si>
  <si>
    <t>אגף הביטחון - שי זייד</t>
  </si>
  <si>
    <t>אושרה ההצעה עם הציון המשוקלל הגבוה ביותר</t>
  </si>
  <si>
    <r>
      <t xml:space="preserve">אושרה ההצעה עם הציון המשוקלל הגבוה ביותר. </t>
    </r>
    <r>
      <rPr>
        <sz val="11"/>
        <rFont val="Arial"/>
        <family val="2"/>
      </rPr>
      <t xml:space="preserve">הערה: לבקשת חברי הועדה נבדק מול שני חור והפרוייקט מופיע בתכנית העבודה של אגף הרווחה. </t>
    </r>
  </si>
  <si>
    <t>החלטה מס' 2018-09-01</t>
  </si>
  <si>
    <t>החלטה מס' 2018-09-02</t>
  </si>
  <si>
    <t xml:space="preserve">מנהל שיתוף ציבור ושטח "שכונת הדרים - אפס פסולת" </t>
  </si>
  <si>
    <t>מנהלת מח' קיימות - אלה דנון</t>
  </si>
  <si>
    <t>יניב בלייכר</t>
  </si>
  <si>
    <t>דו עת</t>
  </si>
  <si>
    <t>לוטם</t>
  </si>
  <si>
    <t>צפנת</t>
  </si>
  <si>
    <t>6 חודשים</t>
  </si>
  <si>
    <t>החלטה מס' 2018-09-04</t>
  </si>
  <si>
    <t>אהרון ברגר</t>
  </si>
  <si>
    <t>צביקה שטיין</t>
  </si>
  <si>
    <t>250 שעות</t>
  </si>
  <si>
    <t>מנהלת מח' תכנון</t>
  </si>
  <si>
    <t>אבירם אדריכלים בע"מ</t>
  </si>
  <si>
    <t>אלונים גורביץ' אדריכלים בוני ערים</t>
  </si>
  <si>
    <t>הפלטפורמה העירונית בע"מ</t>
  </si>
  <si>
    <t>גולדנברג אדריכלים בע"מ</t>
  </si>
  <si>
    <t>2. לאור דחיפות הבקשות מועברות בסבב מיילים</t>
  </si>
  <si>
    <t>יועץ לליווי ותכלול ותמ"ל + ועדת גבולות</t>
  </si>
  <si>
    <t>אורבניקס</t>
  </si>
  <si>
    <t>יששכר בן חיים</t>
  </si>
  <si>
    <t>אראל אבלין</t>
  </si>
  <si>
    <t>החלטה מס' 2018-09-03</t>
  </si>
  <si>
    <t>תב"ר תב"עות</t>
  </si>
  <si>
    <t>1. לאור דחיפות הטיפול בנושא הותמ"ל ומיעוט החברות/היועצים בעלי ניסיון רלוונטי בתחום מבקשים אישור לפי סעיף 3.21 לנוהל התקשרויות.</t>
  </si>
  <si>
    <t>אושרה ההצעה עם הציון המשוקלל הגבוה ביותר לפי סעיף 3.21 לנוהל התקשרויות.</t>
  </si>
  <si>
    <t xml:space="preserve">פרוטוקול וועדת התקשרויות מס' 2018-09 תאריך: 02/05/18 </t>
  </si>
  <si>
    <t>מנהל פרוייקטים עבור פרוייקטים שונים באגף איכות הסביבה ואגף ההנדסה</t>
  </si>
  <si>
    <t xml:space="preserve">משתתפים: איתי צחר - מנכ"ל העירייה, צבי אפרת- ס/גזבר, אילה זיו - נציגת היועמ"ש, מאיה בר לב- רכזת הוועדה </t>
  </si>
  <si>
    <t>החלטה מס' 2018-09-05</t>
  </si>
  <si>
    <t>מוטי סנסינו</t>
  </si>
  <si>
    <t>מנכ"ל העירייה - איתי צחר</t>
  </si>
  <si>
    <t>אירופלם</t>
  </si>
  <si>
    <t>ח.פ. פתרונות</t>
  </si>
  <si>
    <t>שמש פתרונות</t>
  </si>
  <si>
    <t>אוזיק</t>
  </si>
  <si>
    <t>50 שעות חודשיות *3  חודשים</t>
  </si>
  <si>
    <t>51 שעות חודשיות *3  חודשים</t>
  </si>
  <si>
    <t xml:space="preserve">אושרה ההצעה עם הציון המשוקלל הגבוה ביותר ל-3 חודשים בלבד. </t>
  </si>
  <si>
    <t>יעוץ ובקרה בתחום אספקה, התקנה ותחזוקה של ציוד כיבוי אש מערכות גילוי וכיבוי אש אוטומטיות</t>
  </si>
  <si>
    <t>ארז רובינשטיין ניהול פרוייקטי בע"מ</t>
  </si>
  <si>
    <t>תכנון חשמל להנגשת מבנה רווחה כרמל 43</t>
  </si>
  <si>
    <t>אופק א.ו.מ</t>
  </si>
  <si>
    <t>החלטה מס' 2018-10-01</t>
  </si>
  <si>
    <t>החלטה מס' 2018-10-02</t>
  </si>
  <si>
    <t>תכנון חשמל להנגשת חטיבת הביניים אלון</t>
  </si>
  <si>
    <t>החלטה מס' 2018-10-03</t>
  </si>
  <si>
    <t>החלטה מס' 2018-10-04</t>
  </si>
  <si>
    <t>החלטה מס' 2018-10-05</t>
  </si>
  <si>
    <t>החלטה מס' 2018-10-06</t>
  </si>
  <si>
    <t>תכנון חשמל למבנה שירותים חברתיים רח' דרך קדומים 17</t>
  </si>
  <si>
    <t>מתן ייעוץ שירותים הנדסאים בתחום החשמל</t>
  </si>
  <si>
    <t>איתן לוי (אופר)</t>
  </si>
  <si>
    <t>ג. ב מהנדסים</t>
  </si>
  <si>
    <t xml:space="preserve"> 350 שעות</t>
  </si>
  <si>
    <t xml:space="preserve">350 שעות </t>
  </si>
  <si>
    <t>יועץ בטיחות לעבודות</t>
  </si>
  <si>
    <t>א. מולר בטיחות</t>
  </si>
  <si>
    <t>אלון אפשטיין</t>
  </si>
  <si>
    <t>יוסי שחר</t>
  </si>
  <si>
    <t>התאמת מקלט ציבורי מס' 55 למרכז הפעלה עירוני</t>
  </si>
  <si>
    <t>מירון לוי</t>
  </si>
  <si>
    <t>רפי כרמי</t>
  </si>
  <si>
    <t>החלטה מס' 2018-10-07</t>
  </si>
  <si>
    <t>החלטה מס' 2018-10-08</t>
  </si>
  <si>
    <t>החלטה מס' 2018-10-09</t>
  </si>
  <si>
    <t>החלטה מס' 2018-10-10</t>
  </si>
  <si>
    <t>החלטה מס' 2018-10-11</t>
  </si>
  <si>
    <t>החלטה מס' 2018-10-12</t>
  </si>
  <si>
    <t>הגדלת היקף פרוייקט - תכנון תנועה רח' תל חי בקטע מחלף מגדיאל - בן גוריון</t>
  </si>
  <si>
    <t>תב"ר 23002 מרכבה 231894</t>
  </si>
  <si>
    <t>החלטה מס' 2018-10-13</t>
  </si>
  <si>
    <t>החלטה מס' 2018-10-14</t>
  </si>
  <si>
    <t>246007 248004, 253009</t>
  </si>
  <si>
    <t>245002 246007 248004 253009</t>
  </si>
  <si>
    <t>התקשרות המשך - הכנת דפי מידע/מידענית</t>
  </si>
  <si>
    <t>הזמנת עריכת תחשיבי עזר להיטלי סלילה תיעול ושצ"פ</t>
  </si>
  <si>
    <t>מנהלת מח' תכנון עיר - כנרת תירוש</t>
  </si>
  <si>
    <t>קובי רם</t>
  </si>
  <si>
    <t>אהוד חסון</t>
  </si>
  <si>
    <t>ראובן פרדס</t>
  </si>
  <si>
    <t xml:space="preserve">בהמשך להחלטה 2018-08-11 הילן מבקשת לאשר 2 יועצים כל אחד מהם 100 שעות </t>
  </si>
  <si>
    <t>הגדלת התקשרות - מנהל פרוייקטים לשדרוג מערך השירות הפנים ארגוני</t>
  </si>
  <si>
    <t>מנהלת אגף שירות והסברה</t>
  </si>
  <si>
    <t>הגדלת התקשרות - המשך פרוייקטים שיתופיים של אגף החינוך</t>
  </si>
  <si>
    <t>מנהלת מח' בתי ספר יסודיים - אורית לייבוביץ'</t>
  </si>
  <si>
    <t>אסתר בורמן</t>
  </si>
  <si>
    <t>205 שעות</t>
  </si>
  <si>
    <t>החלטה מס' 2018-10-15</t>
  </si>
  <si>
    <t>החלטה מס' 2018-10-16</t>
  </si>
  <si>
    <t>בדיקות וייעוץ מקצועי - אגרונום</t>
  </si>
  <si>
    <t>מנהלת מח' גנים ונוף</t>
  </si>
  <si>
    <t>בוצעה פנייה ל-4 מציעים, המציע ה-4 לא הגיש הצעת מחיר בשל נושא הביטוח</t>
  </si>
  <si>
    <t>יועץ אסטרטגיה וקריאייטיב - בפרוייקט "אפס פסולת"</t>
  </si>
  <si>
    <t>יעל שפילר + קריאייטיב ובניו</t>
  </si>
  <si>
    <t>blade</t>
  </si>
  <si>
    <t>blue cow</t>
  </si>
  <si>
    <t>הגדלת התקשרות לפי סעיף 3.21</t>
  </si>
  <si>
    <t xml:space="preserve">הגדלת התקשרות לפי סעיף 3.21 </t>
  </si>
  <si>
    <t>תכנון חלופי לרמפה 33 - סוקולוב</t>
  </si>
  <si>
    <t>קו הנדסת תנועה</t>
  </si>
  <si>
    <t xml:space="preserve">תכנון כללי </t>
  </si>
  <si>
    <t>מדובר בהכנת מצגת לתכנון שביצע היועץ בשנת 2012 ולכן רק הוא יכול להכין את החומרים  - עולה לאישור הועדה לפי סעיף 3.21</t>
  </si>
  <si>
    <t>25 שעות</t>
  </si>
  <si>
    <t>אושרו 2 ההצעות עם הציון המשוקלל הגבוה ביותר. יש לפנות לאמי מתום ולנסות להשוות את תעריף ההתקשרות לתעריף של לוי שטארק זילברשטיין.</t>
  </si>
  <si>
    <t>מאושרת התקשרות ל-3 חודשים נוספים לפי סעיף 3.21. לא תאושר הארכה נוספת ללא יציאה למכרז פומבי.</t>
  </si>
  <si>
    <t>אושרה התקשרות ל-3 חודשים נוספים לפי סעיף 3.21 לנוהל התקשרויות.</t>
  </si>
  <si>
    <t>אושרה התקשרות לפי סעיף 3.21 לנוהל התקשרויות.</t>
  </si>
  <si>
    <t>לא מאושר, יש להגיש 4 הצעות מחיר של יועצים הרשומים במאגר היועצים לפי הנוהל.</t>
  </si>
  <si>
    <t>מאושרת התקשרות עם 2 ההצעות עם הציון המשוקלל הגבוה ביותר לפי חלוקה של 200 שעות לאריאל מלכה ו-150 שעות לאורי אברהמי.</t>
  </si>
  <si>
    <t>מנהל אגף ביטחון/שי זייד+ אגף משאבי אנוש/טלי שלמה</t>
  </si>
  <si>
    <t>גוזו שלו</t>
  </si>
  <si>
    <t>יועץ ארגוני לתהליך פיתוח צוות אגף חירום ובטחון</t>
  </si>
  <si>
    <t>שרייבר</t>
  </si>
  <si>
    <t>אסתי כהן</t>
  </si>
  <si>
    <t>אבן דרך</t>
  </si>
  <si>
    <t xml:space="preserve">פרוטוקול וועדת התקשרויות מס' 2018-10 תאריך: 13/05/18 </t>
  </si>
  <si>
    <t xml:space="preserve">פרוטוקול וועדת התקשרויות מס' 2018-07 תאריך: 22/03/18 </t>
  </si>
  <si>
    <t>החלטה מס' 2018-11-01</t>
  </si>
  <si>
    <t>החלטה מס' 2018-11-03</t>
  </si>
  <si>
    <t>תכנון תאורה -שביל אופניים סוקולוב</t>
  </si>
  <si>
    <t>שאול מהנדסים</t>
  </si>
  <si>
    <t>שדרוג ועיצוב ספריה בתיכון כצנלסון</t>
  </si>
  <si>
    <t>יעל שחר רוזנפלד</t>
  </si>
  <si>
    <t>דיאנה סטארק</t>
  </si>
  <si>
    <t>רוני אביצור</t>
  </si>
  <si>
    <t>החלטה מס' 2018-11-04</t>
  </si>
  <si>
    <t>החלטה מס' 2018-11-05</t>
  </si>
  <si>
    <t>מנהל מחלקת בינוי ופיתוח מוסדות - מיכאל זלדין</t>
  </si>
  <si>
    <t>בדיקות מבניות של מהנדס מבנים במוסדות חינוך לפי חוזר מנכ"ל</t>
  </si>
  <si>
    <t>מואב מעידי</t>
  </si>
  <si>
    <t>מצוק מהנדסים</t>
  </si>
  <si>
    <t>שי פורמן</t>
  </si>
  <si>
    <t xml:space="preserve">הגדלת היקף פרוייקט - הנגשת מקום שאינו בניין </t>
  </si>
  <si>
    <t>ליבי חיזוקים</t>
  </si>
  <si>
    <t>100 אתרים</t>
  </si>
  <si>
    <t>סכום קבוע לאתר</t>
  </si>
  <si>
    <t>בדיקת בטיחות במוסדות חינוך</t>
  </si>
  <si>
    <t>מנהל אגף בטחון ושירותי חירום</t>
  </si>
  <si>
    <t>ח.פ. פתרונות הנדסה ובטיחות בע"מ</t>
  </si>
  <si>
    <t>לבטח הנדסה ובטיחות בע"מ</t>
  </si>
  <si>
    <t>בוב - בטיחות ובטחון  בע"מ</t>
  </si>
  <si>
    <t>סכום קבוע לבדיקה</t>
  </si>
  <si>
    <t>70 בדיקות</t>
  </si>
  <si>
    <t>המשך טיפול בתכנית כס/10//21/ד/1</t>
  </si>
  <si>
    <t>החלטה מס' 2018-11-02</t>
  </si>
  <si>
    <t>150 שעות</t>
  </si>
  <si>
    <t xml:space="preserve">יועץ לנושא הותמ"ל </t>
  </si>
  <si>
    <t>אייל קראוס - מהנדסי תנועה</t>
  </si>
  <si>
    <t>נתן תומר</t>
  </si>
  <si>
    <t>לוי שטרק זילברשטיין</t>
  </si>
  <si>
    <t>יועץ למימוש שבילי אופניים ברחבי העיר</t>
  </si>
  <si>
    <t>החלטה מס' 2018-11-07</t>
  </si>
  <si>
    <t>לא מאושר</t>
  </si>
  <si>
    <t>אושרה ההצעה לפי סעיף 3.21 לנוהל התקשרויות.</t>
  </si>
  <si>
    <t>1. לאור דחיפות הטיפול בנושא הותמ"ל ומיעוט החברות/היועצים בעלי ניסיון רלוונטי בתחום מבקשים  לאשר גם אתך היועץ אראל אבלין בהמשך להחלטה מס' 2019-09-03 ולפי סעיף 3.21 לנוהל התקשרויות.</t>
  </si>
  <si>
    <t>משתתפים: איתי צחר - מנכ"ל העירייה, צבי אפרת- ס/גזבר, אילה זיו - נציגת היועמ"ש, מאיה בר לב- רכזת הוועדה, סגן מהנדסת העיר - יוסי לנדאו</t>
  </si>
  <si>
    <t>25002 מס' מרכבה 521120</t>
  </si>
  <si>
    <t>1. הבקשות של אגף הנדסה עברו בדיקה ובקרה של יועץ התקשרויות</t>
  </si>
  <si>
    <t xml:space="preserve">פרוטוקול וועדת התקשרויות מס' 2018-11 תאריך: 27/05/18 </t>
  </si>
  <si>
    <t>החלטה מס' 2018-12-01</t>
  </si>
  <si>
    <t>התקשרות המשך - יועץ בנושאי איכות הסביבה ופרויקטים נוספים(למשך שנה)</t>
  </si>
  <si>
    <t>מאיר אלקיים</t>
  </si>
  <si>
    <t>החלטה מס' 2018-12-02</t>
  </si>
  <si>
    <t>החלטה מס' 2018-12-03</t>
  </si>
  <si>
    <t>ניהול פרוייקט מקווה קפלן</t>
  </si>
  <si>
    <t>רכזת נגישות -  עדי אבירם</t>
  </si>
  <si>
    <t>אגם</t>
  </si>
  <si>
    <t>טופ הנדסה</t>
  </si>
  <si>
    <t>ש.מ.מ מהנדסים</t>
  </si>
  <si>
    <t>בהמשך להחלטה 2017-21-04' הוכן מכרז שעתיד להסתיים בימים הקרובים - הבקשה הינה לחודשיים בלבד.</t>
  </si>
  <si>
    <t>יש לציין כי הוכן מכרז לתפקיד זה אשר עתיד להתפרסם בקרוב.</t>
  </si>
  <si>
    <t>יועץ התקשרויות לאגף ההנדסה</t>
  </si>
  <si>
    <t>הגדלת התקשרות יועץ תנועה שוטף לבדיקת היתרי בניה</t>
  </si>
  <si>
    <t>א.מ ניהול ובקרה בע"מ</t>
  </si>
  <si>
    <t>קישורים</t>
  </si>
  <si>
    <t>שיא התקשרויות</t>
  </si>
  <si>
    <t>שמחה יוחנוב</t>
  </si>
  <si>
    <t>החלטה מס' 2018-12-04</t>
  </si>
  <si>
    <t>120 שעות</t>
  </si>
  <si>
    <t>225 שעות</t>
  </si>
  <si>
    <t>3 חודשים</t>
  </si>
  <si>
    <t>מינוי שמאי מקרקעין להגנה בתביעה לפי ס' 197</t>
  </si>
  <si>
    <t>אסף לוי</t>
  </si>
  <si>
    <t>לאור הנימוקים המפורטים בבקשה, מועלה בפני הועדה לפי סע' 3.21 לנוהל התקשרויות.</t>
  </si>
  <si>
    <t>פרוטוקול וועדת התקשרויות מס' 2018-12 תאריך: 11/06/2018</t>
  </si>
  <si>
    <t>1. הבקשות של אגף הנדסה עברו בדיקה ובקרה של יועץ התקשרויות.</t>
  </si>
  <si>
    <t xml:space="preserve">1. אושרה ההצעה לפי סעיף 3.21 לנוהל התקשרויות. 2. ההתקשרות מאושרת עד לסיום השעות בפועל או עד לחתימת חוזה עם זכיין במכרז – לפי המוקדם מביניהם. </t>
  </si>
  <si>
    <t>1. אושרה ההצעה לפי סעיף 3.21 לנוהל התקשרויות. 2.  ההתקשרות מאושרת עד לתאריך 1.7.18 בלבד. 3. יש לנסות לנהל מו"מ עם המציע לתעריף המכרז (180 ₪ לשעה)</t>
  </si>
  <si>
    <t>החלטה מס' 2018-13-01</t>
  </si>
  <si>
    <t>החלטה מס' 2018-13-02</t>
  </si>
  <si>
    <t>בודק תכניות (תב"ע) למח' תכנון עיר</t>
  </si>
  <si>
    <t>יובל גולדנברג</t>
  </si>
  <si>
    <t>אדר סקר</t>
  </si>
  <si>
    <t>100 שעות חודשיות* 12 חודשים</t>
  </si>
  <si>
    <t>נרשם טרם אושר</t>
  </si>
  <si>
    <t>החלטה מס' 2018-13-03</t>
  </si>
  <si>
    <t>בוצעה פניה ל-2 חברות נוספות אך אין להם כרגע יועץ זמין שיכול לבצע את העבודה.</t>
  </si>
  <si>
    <t>החלטה מס' 2018-13-04</t>
  </si>
  <si>
    <t xml:space="preserve">יועץ להגשת תכנית מפורטת ליישום טיפול במניעת זיהומים באזורי תעסוקה </t>
  </si>
  <si>
    <t>70 שעות</t>
  </si>
  <si>
    <t>בהמשך להחלטה מס' 2017-18-05 אושרה חב' אורבניקס לבחינה השוואתית של סיווג עסקים של אזורי התעסוקה של כפ"ס אל מול ערים אחרות. כעת מבקשת הוועדה לגיבוש הצעה לאסטרטגיה לטיפול במניעת מזהמים מבקשת להציג מתווה ליישום המלצות הוועדה. לפיכך מבקשים הגדלת התקשרות קיימת לפי סעיף 3.21 לנוהל התקשרויות.</t>
  </si>
  <si>
    <t>MSI מדידות</t>
  </si>
  <si>
    <t>גבי שואף בע"מ</t>
  </si>
  <si>
    <t>כ.ר.ז בדיקות</t>
  </si>
  <si>
    <t>סקאן אין מעבדה</t>
  </si>
  <si>
    <r>
      <rPr>
        <b/>
        <u/>
        <sz val="10"/>
        <rFont val="Arial"/>
        <family val="2"/>
      </rPr>
      <t>הערות יועץ התקשרויות להצעה עם הציון המשוקלל הגבוה ביותר:</t>
    </r>
    <r>
      <rPr>
        <b/>
        <sz val="10"/>
        <rFont val="Arial"/>
        <family val="2"/>
      </rPr>
      <t xml:space="preserve"> 1. המחירים אינם כוללים הנחת כמות כמפורט בהצעה אלה כהערה שאם יוזמנו כל הכמויות תינתן הנחה נוספת של 6% כמפורט בהצעת גבי שואף  בסעיף 4.4
2. המחירים אינם כוללים תוספות כמפורט בהצעת גבי שואף בסעיף 4.2 
</t>
    </r>
  </si>
  <si>
    <t>מנהל מח' בינוי ופיתוח מוסדות - מיכאל זלדין</t>
  </si>
  <si>
    <t>דוברת העירייה - ענת בלזברג</t>
  </si>
  <si>
    <t>דור אלדר</t>
  </si>
  <si>
    <t>בן חורין אלכסנדרוביץ'</t>
  </si>
  <si>
    <t>אפרתי תקשורת</t>
  </si>
  <si>
    <t>שלמור תקשורת</t>
  </si>
  <si>
    <t>עינת אורן</t>
  </si>
  <si>
    <t>4 חודשים</t>
  </si>
  <si>
    <t>דוברות</t>
  </si>
  <si>
    <t xml:space="preserve">פעילות יחסי ציבור </t>
  </si>
  <si>
    <t>פרוטוקול וועדת התקשרויות מס' 2018-13 תאריך: 20/06/2018</t>
  </si>
  <si>
    <t>2. בשל היעדרות עו"ד אילה זיו הועבר להתייחסות יועמ"ש העירייה - עו"ד אלון בן זקן.</t>
  </si>
  <si>
    <t>3. בשל דחיפות הבקשות הועבר בסבב מיילים.</t>
  </si>
  <si>
    <t>יועץ קרקע וביסוס - סקר עמידות בתי ספר בפני רעידת אדמה</t>
  </si>
  <si>
    <t>מכטה גיאוטכניקה</t>
  </si>
  <si>
    <t>מוטי יוגר</t>
  </si>
  <si>
    <t>דורון אשל</t>
  </si>
  <si>
    <t>א. גיאוטכניקה</t>
  </si>
  <si>
    <t>החלטה מס' 2018-14-01</t>
  </si>
  <si>
    <t>החלטה מס' 2018-14-02</t>
  </si>
  <si>
    <t>החלטה מס' 2018-14-03</t>
  </si>
  <si>
    <t>החלטה מס' 2018-14-04</t>
  </si>
  <si>
    <t>החלטה מס' 2018-14-05</t>
  </si>
  <si>
    <t>החלטה מס' 2018-14-06</t>
  </si>
  <si>
    <t>החלטה מס' 2018-14-07</t>
  </si>
  <si>
    <t>החלטה מס' 2018-14-08</t>
  </si>
  <si>
    <t>החלטה מס' 2018-14-10</t>
  </si>
  <si>
    <t>החלטה מס' 2018-14-11</t>
  </si>
  <si>
    <t>מדידת 11 בתי ספר - סקר עמידות בתי ספר בפני רעידת אדמה</t>
  </si>
  <si>
    <t>חלוקי נחל פתרונות</t>
  </si>
  <si>
    <t>ג'יוסי עא מונעם</t>
  </si>
  <si>
    <t>משה פוגל</t>
  </si>
  <si>
    <t>שלסינגר מדידות</t>
  </si>
  <si>
    <t>תלאווי מדידות</t>
  </si>
  <si>
    <t>אורי חן ציון</t>
  </si>
  <si>
    <t>תוספת מחסן לאולם ספורט בי"ס דבורה עומר</t>
  </si>
  <si>
    <t>יהודה כהן</t>
  </si>
  <si>
    <t>בועז יגוז'ינסקי</t>
  </si>
  <si>
    <t>הגדלת התקשרות - הוצאת היתר ושדרוג בית ספר יצהר</t>
  </si>
  <si>
    <t>רם כרמי</t>
  </si>
  <si>
    <t>ניהול פרוייקט קידום תב"ע כס 50</t>
  </si>
  <si>
    <t>בוצעה פנייה ל-5 מציעים מתוכם רק 3 הגישו הצעת מחיר.</t>
  </si>
  <si>
    <t>א. אפשטיין ובניו בע"מ</t>
  </si>
  <si>
    <t>יובל וייצמן ייעוץ וניהול הנדסי בע"מ</t>
  </si>
  <si>
    <t>איציק פאריינתי ייזום וייעוץ בע"מ</t>
  </si>
  <si>
    <t>תב"ר תב"עות 2017</t>
  </si>
  <si>
    <t xml:space="preserve">ייעוץ והדרכה עבור מידענית חדשה - הגדלת התקשרות </t>
  </si>
  <si>
    <t>בר טכנולוגיות</t>
  </si>
  <si>
    <t>35 שעות בחודש * 4 חודשים</t>
  </si>
  <si>
    <t>1. מדובר ביישום תכנית העבודה שנבנתה במהלך שנת 2017 ולפיכך עבודת המשך לפי סעיף 3.21 לנוהל התקשרויות. 2. בהחלטה מס' 2018-08-14 הוחלט שלא מאושר, יש להגיש הצעת מחיר קודמת והחלטת וועדת התקשרויות קודמת. כמו כן יש להסביר מדוע בעת קבלת הצעת המחיר לבניית התכנית לא ביקשתם גם לכלול את יישום התכנית. 3. לפיכך מוגש פעם נוספת לוועדה כולל הצעת מחיר קודמת, הסכם, החלטה קודמת והסבר.</t>
  </si>
  <si>
    <t>מדידות כללי</t>
  </si>
  <si>
    <t>תילאוי</t>
  </si>
  <si>
    <t>אפלבאום</t>
  </si>
  <si>
    <t>קנה מידה</t>
  </si>
  <si>
    <t>טל-זיו</t>
  </si>
  <si>
    <t>סכום קבוע ל-2 ימי שדה + יום במשרד</t>
  </si>
  <si>
    <t>ייעוץ ניהול וליווי פרוייקטים באגף הביטחון</t>
  </si>
  <si>
    <t>מנהל אגף ביטחון - שי זייד</t>
  </si>
  <si>
    <t>project point</t>
  </si>
  <si>
    <t>י.דוידובסקי</t>
  </si>
  <si>
    <t xml:space="preserve">מ.ח. הנדסת מדידות בע"מ </t>
  </si>
  <si>
    <t>קבוצת דאטום</t>
  </si>
  <si>
    <t>בהמשך להחלטה 2017-14-01 מבקשים הגדלת התקשרות לפי סעיף 3.21 לנוהל התקשרויות.</t>
  </si>
  <si>
    <t>הגדלת התקשרות -הכנת מפת מדידה לתכנית כס 1/3/10/21</t>
  </si>
  <si>
    <t>מדובר בעדכון מדידה שבוצעה בעבר ע"י מר דוידובסקי (והכללת חלקה נוספת - 102,  בהתאם להחלטת הוועדה המחוזית). 
המדידה הנוכחית איננה עדכנית ולצורך עדכון התכנית (מתחם דר' לדרך 531), והעברתה להמשך טיפול במחוזית, הרי שיש צורך לעדכן המדידה ולכן מבקשים הגדלת התקשרות לפי סעיף 3.21.</t>
  </si>
  <si>
    <t>בהמשך להחלטה 2018-03-07 מבקשים הגדלת התקשרות לפי סעיף 3.21 לנוהל התקשרויות.</t>
  </si>
  <si>
    <t>קנה מידה מדידות</t>
  </si>
  <si>
    <t>החלטה מס' 2018-14-13</t>
  </si>
  <si>
    <t>החלטה מס' 2018-14-14</t>
  </si>
  <si>
    <t>החלטה מס' 2018-14-15</t>
  </si>
  <si>
    <t>תכנון מפורט - בן גוריון</t>
  </si>
  <si>
    <t>בז'רנו דוד</t>
  </si>
  <si>
    <t>סגן גזבר העירייה - צבי אפרת</t>
  </si>
  <si>
    <t>ק.נ.פ קידום וניהול פרוייקטים</t>
  </si>
  <si>
    <t>שני פרויקטים - אבי זהבי</t>
  </si>
  <si>
    <t>אראב בונוס</t>
  </si>
  <si>
    <t>עלא גנטוס</t>
  </si>
  <si>
    <t>0.8%-1%</t>
  </si>
  <si>
    <t>1.25%-1.5%</t>
  </si>
  <si>
    <t xml:space="preserve">לפי אחוז </t>
  </si>
  <si>
    <t>היקף פרוייקט 20 מיליון ₪</t>
  </si>
  <si>
    <t>תב"רים שונים</t>
  </si>
  <si>
    <t>נ.א.ש  הנדסה</t>
  </si>
  <si>
    <t>יורוברדג'</t>
  </si>
  <si>
    <t>תכנון מפורט - מפא"י - אנה פרנק</t>
  </si>
  <si>
    <t>ז.ה.ב הנדסה</t>
  </si>
  <si>
    <t>י.ט הנדסה</t>
  </si>
  <si>
    <t>בר טל</t>
  </si>
  <si>
    <t>ד.א.ל</t>
  </si>
  <si>
    <t>פרוייקט במימון משרד התחבורה</t>
  </si>
  <si>
    <t>תב"ר 23005 מרכבה 42898</t>
  </si>
  <si>
    <t>תב"ר 25005 מרכבה 49832</t>
  </si>
  <si>
    <t>פרוטוקול וועדת התקשרויות מס' 2018-14 תאריך: 2/7/18</t>
  </si>
  <si>
    <t>תכנון מפורט - רח' התע"ש</t>
  </si>
  <si>
    <t>תב"ר 25005 מרכבה 102490</t>
  </si>
  <si>
    <t>פרוייקט תחבורתי - תכנון פיזי רח' תל אביב-יפו בקטע בין מגדיאל לרוטשילד</t>
  </si>
  <si>
    <t>PGL</t>
  </si>
  <si>
    <t>אמן</t>
  </si>
  <si>
    <t>אושרו 2 היועצים עם הציון המשוקלל הגבוה ביותר -  חלוקת העבודה בין 2 היועצים תיקבע ע"י מנהל מח' בינוי ופיתוח מוסדות.</t>
  </si>
  <si>
    <t>בקשה לתכנון הכוללת את כל היועצים והוצאת ההיתר.</t>
  </si>
  <si>
    <t>הבקשה אושרה לפי סעיף 3.21 לנוהל התקשרויות. הסכום אינו מאושר ועל כן יש לנהל מו"מ לפי חישוב חשכ"ל + הנחה של 20%</t>
  </si>
  <si>
    <t>מבקשים לאשר 5 מודדים עם הציון המשוקלל הגבוה ביותר. העסקתם תהיה בהתמחרות לפי פרוייקט במשך 6 חודשים (עד לפרסום המכרז הנמצא כעת בהכנה).</t>
  </si>
  <si>
    <t>1. אושרה התקשרות עם 5 מודדים אשר קיבלו את הציון המשוקלל הגבוה ביותר עד לסכום התקשרות כולל של 200,000 +מע"מ לפי שיקול מנהלת מח' תשתיות. 2. יש לסיים את המכרז ב-6 חודשים הקרובים כמתוכנן.</t>
  </si>
  <si>
    <t>משתתפים: איתי צחר - מנכ"ל העירייה, צבי אפרת- ס/גזבר, אילה זיו - נציגת היועמ"ש, מאיה בר לב- רכזת הוועדה השתתפו חלקית: מנהלת מח' תנועה - הילן דהרי, מנהלת מח' תשתיות - ניצה חן, מנהל מח' בינוי ופיתוח מוסדות - מיכאל זלדין, מנהל מח' היטלים - דניאל פומרנץ.</t>
  </si>
  <si>
    <t>החלטה מס' 2018-14-09</t>
  </si>
  <si>
    <t>החלטה מס' 2018-14-12</t>
  </si>
  <si>
    <t>ליווי כלכלי ומקסום הכנסות ממשרדי ממשלה</t>
  </si>
  <si>
    <t>החלטה מס' 2018-15-01</t>
  </si>
  <si>
    <t>החלטה מס' 2018-15-02</t>
  </si>
  <si>
    <t>החלטה מס' 2018-15-03</t>
  </si>
  <si>
    <t>החלטה מס' 2018-15-04</t>
  </si>
  <si>
    <t>החלטה מס' 2018-15-05</t>
  </si>
  <si>
    <t>החלטה מס' 2018-15-06</t>
  </si>
  <si>
    <t>ניהול ופיקוח - בן גוריון</t>
  </si>
  <si>
    <t>פים הנדסה</t>
  </si>
  <si>
    <t>תב"ר 23005 מרכבה 102493</t>
  </si>
  <si>
    <t>תב"ר 23005 מרכבה 49832</t>
  </si>
  <si>
    <t>ניהול ופיקוח - צברים בקטע מגדיאל רוטשילד</t>
  </si>
  <si>
    <t>ניהול ופיקוח - שביל אופניים קריית חינוך צפוני</t>
  </si>
  <si>
    <t>היקף פרוייקט - 1,700,000</t>
  </si>
  <si>
    <t>סייפטי פוינט בע"מ</t>
  </si>
  <si>
    <t>תב"ר 25005</t>
  </si>
  <si>
    <t>ניהול ופיקוח - רח' התע"ש</t>
  </si>
  <si>
    <t>תב"ר 23005 מרכבה 182490</t>
  </si>
  <si>
    <t>החלטה מס' 2018-15-07</t>
  </si>
  <si>
    <t>החלטה מס' 2018-15-08</t>
  </si>
  <si>
    <t>ניהול ופיקוח אנה פרנק (מפא"י)</t>
  </si>
  <si>
    <t>ניהול ופיקוח מסוף לתח"צ - עתיר ידע</t>
  </si>
  <si>
    <t>תב"ר 23005 מרכבה 13479</t>
  </si>
  <si>
    <t>החלטה מס' 2018-15-09</t>
  </si>
  <si>
    <t>החלטה מס' 2018-15-10</t>
  </si>
  <si>
    <t>החלטה מס' 2018-15-11</t>
  </si>
  <si>
    <t>תכנון תאורה שביל אופניים ששת הימים</t>
  </si>
  <si>
    <t>ג.ב מהנדסים</t>
  </si>
  <si>
    <t>הערה: מצורפת לבקשה התייחסות מנהל מחלקת חשמל.</t>
  </si>
  <si>
    <t>90 שעות</t>
  </si>
  <si>
    <t>הגדלת התקשרות - מנהל פרוייקטים לשדרוג מערך השירות הפנים ארגוני עבור מחלקת גני ילדים</t>
  </si>
  <si>
    <t>הנגשת מוסדות חינוך - ניהול פרויקט</t>
  </si>
  <si>
    <t>א.כ ניהול פרוייקטים הנדסיים</t>
  </si>
  <si>
    <t>י.מ קרייזל</t>
  </si>
  <si>
    <t>אגמ ניהול</t>
  </si>
  <si>
    <t>היקף פרוייקט 1,200,000 לשנת 2018</t>
  </si>
  <si>
    <t>החלטה מס' 2018-15-12</t>
  </si>
  <si>
    <t>אגף משאבי אנוש- טלי שלמה</t>
  </si>
  <si>
    <t>הגדלת התקשרות - יועץ לליווי ותכלול הותמ"ל וועדת גבולות</t>
  </si>
  <si>
    <t xml:space="preserve">הגדלת התקשרות - הערכות מנהלים </t>
  </si>
  <si>
    <t>החלטה מס' 2018-15-13</t>
  </si>
  <si>
    <t>ארנה פרי</t>
  </si>
  <si>
    <t>בהמשך להחלטה מס' 2018-13-04 עולה פעם נוספת.</t>
  </si>
  <si>
    <t>בהמשך להחלטה מס' 2017-08-07 עולה פעם נוספת.</t>
  </si>
  <si>
    <t>הגדלת התקשרות - יעוץ אדריכלי למח' תכנון עיר</t>
  </si>
  <si>
    <t>מיכל צחור</t>
  </si>
  <si>
    <t>החלטה מס' 2018-15-14</t>
  </si>
  <si>
    <t>החלטה מס' 2018-15-15</t>
  </si>
  <si>
    <t>ניהול ותכלול - הנגשת מקום שאינו בניין</t>
  </si>
  <si>
    <t>סטודיו זיו</t>
  </si>
  <si>
    <t>אציכ</t>
  </si>
  <si>
    <t>א.כ. ניהול</t>
  </si>
  <si>
    <t>פלוק אדריכלים</t>
  </si>
  <si>
    <t>Lotem Sensing - לוטם אסטרטגיות לפיתוח</t>
  </si>
  <si>
    <t>החלטה מס' 2018-15-16</t>
  </si>
  <si>
    <t>החלטה מס' 2018-15-17</t>
  </si>
  <si>
    <t>יועץ העמקת גבייה היטלי פיתוח</t>
  </si>
  <si>
    <t>מנהל מחלקת היטלים -דניאל פומרנץ</t>
  </si>
  <si>
    <t>א.ר.א.ב בונוס</t>
  </si>
  <si>
    <t>עו"ד יוסי שקד</t>
  </si>
  <si>
    <t>רוזן בסיס משרד עו"ד</t>
  </si>
  <si>
    <t>מבקשים לאשר התקשרות עם כל 4 המציעים - 1-3 באופן מיידי ו-4 כעתודת המשך</t>
  </si>
  <si>
    <t>לפי אחוז מגבייה בפועל</t>
  </si>
  <si>
    <t>פרוגרמטור - ותמ"ל</t>
  </si>
  <si>
    <t>אמנון פרנקל</t>
  </si>
  <si>
    <t>בשל היותו של היועץ פרוגרמטור של תכנית המתאר הכוללנית של העיר כפר סבא, מבקשים לראות בהצעת היועץ כהתקשרות המשך לפי סעיף 3.21</t>
  </si>
  <si>
    <t>החלטה מס' 2018-15-18</t>
  </si>
  <si>
    <t>החלטה מס' 2018-15-19</t>
  </si>
  <si>
    <t>החלטה מס' 2018-15-20</t>
  </si>
  <si>
    <t>סגנית גזבר העירייה - אורית דנאי גנדל</t>
  </si>
  <si>
    <t>מידד הלוי</t>
  </si>
  <si>
    <t>פישמן משרד רו"ח</t>
  </si>
  <si>
    <t>ברניק</t>
  </si>
  <si>
    <t>שטיינר רוזנפלד, רו"ח</t>
  </si>
  <si>
    <t>שביל אופניים סוקולוב - ליווי אגרונום</t>
  </si>
  <si>
    <t>ד.ב.ש</t>
  </si>
  <si>
    <t>אדיר</t>
  </si>
  <si>
    <t>אלכס שפירא</t>
  </si>
  <si>
    <t xml:space="preserve">שביל אופניים ששת הימים - ליווי אגרונומי </t>
  </si>
  <si>
    <t>משתתפים: איתי צחר - מנכ"ל העירייה, צבי אפרת- ס/גזבר, אילה זיו - נציגת היועמ"ש, מאיה בר לב- רכזת הוועדה השתתפו חלקית: הילן דהרי - מנהלת מח' תנועה</t>
  </si>
  <si>
    <t>לא אושרה - יש להגיש 4 הצעות מחיר.</t>
  </si>
  <si>
    <t>אושרה ההצעה לפי סעיף 3.21 לנוהל התקשרויות עבור 6 חודשים נוספים בלבד.</t>
  </si>
  <si>
    <t>בדיקת עומק שנתית לעמותות</t>
  </si>
  <si>
    <t>פרוטוקול ועדת התקשרויות מס' 2018-15 תאריך: 15/7/18</t>
  </si>
  <si>
    <t>היקף פרוייקט לתכנון בלבד - 950,000</t>
  </si>
  <si>
    <t>היקף פרוייקט לתכנון בלבד - 600,000</t>
  </si>
  <si>
    <t>היקף פרוייקט  - 1,700,000</t>
  </si>
  <si>
    <t>היקף פרוייקט לתכנון בלבד - 500,000</t>
  </si>
  <si>
    <t>היקף פרוייקט לתכנון בלבד- 350,000</t>
  </si>
  <si>
    <t>היקף פרוייקט לתכנון בלבד - 450,000</t>
  </si>
  <si>
    <t>ניהול ופיקוח - דרך הפועל</t>
  </si>
  <si>
    <t>היקף פרוייקט לתכנון בלבד - 250,000</t>
  </si>
  <si>
    <t>1. אושר לחלק את הפרוייקטים בסעיפים 1-7 בין המציעים ארז רובינשטיין וגוני הנדסה לפי שיקול דעתה של מנהלת מח' תנועה. 2. מאושר לשלב התכנון בלבד. 3. יש לצאת למכרז לשלב הביצוע.</t>
  </si>
  <si>
    <t>אושרה התקשרות עם כל 4 המציעים כמבוקש</t>
  </si>
  <si>
    <t xml:space="preserve"> אושר לחלק את הפרוייקטים בסעיפים 1-7 בין המציעים ארז רובינשטיין וגוני הנדסה לפי שיקול דעתה של מנהלת מח' תנועה.</t>
  </si>
  <si>
    <t xml:space="preserve">ניהול פרויקט רח' תל חי צפון </t>
  </si>
  <si>
    <t>פים פרויקטים</t>
  </si>
  <si>
    <t>היקף פרוייקט 1,428,571</t>
  </si>
  <si>
    <t>משתתפים: איתי צחר - מנכ"ל העירייה, צבי אפרת- ס/גזבר, אילה זיו - נציגת היועמ"ש, מאיה בר לב- רכזת הוועדה</t>
  </si>
  <si>
    <t>2. בשל דחיפות הבקשות הועבר בסבב מיילים.</t>
  </si>
  <si>
    <t>פרוטוקול ועדת התקשרויות מס' 2018-16 תאריך: 24/7/18</t>
  </si>
  <si>
    <t>תב"ר 23005 מרכבה 740832</t>
  </si>
  <si>
    <t>החלטה מס' 2018-16-01</t>
  </si>
  <si>
    <t>מנהל אגף משאבי אנוש - צפריר רוזן</t>
  </si>
  <si>
    <t>הגדלת התקשרות - ניתוח ומיפוי תנאי העסקת הסייעות בעירייה</t>
  </si>
  <si>
    <t>אילן לוין - ניהול וייעוץ בע"מ</t>
  </si>
  <si>
    <t>החלטה מס' 2018-17-01</t>
  </si>
  <si>
    <t>החלטה מס' 2018-17-02</t>
  </si>
  <si>
    <t>החלטה מס' 2018-17-03</t>
  </si>
  <si>
    <t>החלטה מס' 2018-17-04</t>
  </si>
  <si>
    <t>החלטה מס' 2018-17-05</t>
  </si>
  <si>
    <t>החלטה מס' 2018-17-06</t>
  </si>
  <si>
    <t>ייעוץ וליווי טיפול במפגעי זיהום אוויר וריח בשכונות הירוקות בכפ"ס</t>
  </si>
  <si>
    <t>פיתוח סביבה וקיימות בע"מ</t>
  </si>
  <si>
    <t>ד"ר דורון פינקל - י.ל ניתוח מערכות בע"מ</t>
  </si>
  <si>
    <t>אתוס אדריכלות ותכנון סביבה בע"מ</t>
  </si>
  <si>
    <t>לשם-שפר איכות הסביבה בע"מ</t>
  </si>
  <si>
    <t xml:space="preserve">ד"ר יוסי ענבר </t>
  </si>
  <si>
    <t>א. מושל יעוץ סביבתי ואנליטי בע"מ</t>
  </si>
  <si>
    <t>עוזרת מנכ"ל העירייה - יפעת וגשל</t>
  </si>
  <si>
    <t xml:space="preserve">ייעוץ ושירותים הנדסיים </t>
  </si>
  <si>
    <t>רשגד - חברה להנדסה ובטיחות בע"מ</t>
  </si>
  <si>
    <t>גיא קדם בע"מ</t>
  </si>
  <si>
    <t>לבטח - הנדסה ובטיחות בע"מ</t>
  </si>
  <si>
    <t>מתן יעוץ לנגישות וועדות תנועה כפ"ס</t>
  </si>
  <si>
    <t>מנהלת מח' תנועה- הילן דהרי</t>
  </si>
  <si>
    <t>יועץ לעריכת מכרז - ביטוח בריאות לעובדים</t>
  </si>
  <si>
    <t>ועד עובדים</t>
  </si>
  <si>
    <t>מבטח סימון</t>
  </si>
  <si>
    <t>פרשקונספט</t>
  </si>
  <si>
    <t>מדנס</t>
  </si>
  <si>
    <t>MIC</t>
  </si>
  <si>
    <t>אייל בן צבי</t>
  </si>
  <si>
    <t>עינב קווה יאיר</t>
  </si>
  <si>
    <t>ענבר איתן</t>
  </si>
  <si>
    <t>אבי ורשבסקי</t>
  </si>
  <si>
    <t>יובל לוי</t>
  </si>
  <si>
    <t xml:space="preserve">מחיר לשעה </t>
  </si>
  <si>
    <t>40 שעות חודשיות*12 חודשים</t>
  </si>
  <si>
    <t>תב"ר הנגשת צמתים ותחנות אוטובוס 24002</t>
  </si>
  <si>
    <t>מאיר לוסקי</t>
  </si>
  <si>
    <t>איתן תכנון אינסטלציה</t>
  </si>
  <si>
    <t>אוסאמה פרח</t>
  </si>
  <si>
    <t>יצחק ברבי</t>
  </si>
  <si>
    <t>החלטה מס' 2018-17-07</t>
  </si>
  <si>
    <t>תכנון כללי (זמני)</t>
  </si>
  <si>
    <t>החלטה מס' 2018-17-08</t>
  </si>
  <si>
    <t>החלטה מס' 2018-17-09</t>
  </si>
  <si>
    <t>החלטה מס' 2018-17-10</t>
  </si>
  <si>
    <t>החלטה מס' 2018-17-11</t>
  </si>
  <si>
    <t>החלטה מס' 2018-17-12</t>
  </si>
  <si>
    <t>החלטה מס' 2018-17-13</t>
  </si>
  <si>
    <t>ורשבסקי נגישות בע"מ</t>
  </si>
  <si>
    <t>מתוך חוזה קיים</t>
  </si>
  <si>
    <t>מבנה שירותים חברתיים בהדרים תוספת קומה- מיזוג ואינסטלציה</t>
  </si>
  <si>
    <t>הולץ קרסנר מהנדסים</t>
  </si>
  <si>
    <t>מדובר בהגדלת התקשרות לפי סעיף 3.20 בהמשך להחלטה 2017-25-04</t>
  </si>
  <si>
    <t>הגדלת התקשרות מבנה שירותים חברתיים בהדרים תוספת קומה - מעליות</t>
  </si>
  <si>
    <t>הגדלת התקשרות מבנה שירותים חברתיים בהדרים תוספת קומה - חשמל</t>
  </si>
  <si>
    <t>הגדלת התקשרות מבנה שירותים חברתיים בהדרים תוספת קומה- נגישות</t>
  </si>
  <si>
    <t>הגדלת התקשרות מבנה שירותים חברתיים בהדרים תוספת קומה - תכנון אדריכלי</t>
  </si>
  <si>
    <t>מבנה שירותים חברתיים בהדרים תוספת קומה - בטיחות</t>
  </si>
  <si>
    <t>א. מולר</t>
  </si>
  <si>
    <t>סייפטי פוינט</t>
  </si>
  <si>
    <t>מבנה שירותים חברתיים בהדרים - קונסטרוקציה</t>
  </si>
  <si>
    <t>דניאל אהרון</t>
  </si>
  <si>
    <t>יועצת מנכ"ל לאזרח הותיק</t>
  </si>
  <si>
    <t>מנהלת אגף שירותים חברתיים - רוזי נוימן</t>
  </si>
  <si>
    <t>אילנה שרייבמן</t>
  </si>
  <si>
    <t>94.5 שעות חודשיות * 3 חודשים</t>
  </si>
  <si>
    <t>שירותי הנדסה ובטיחות - עבור תכנון מתחם לפינוי אוכלוסיה לאחר אסון טבע</t>
  </si>
  <si>
    <t>א.נ אלון בטיחות</t>
  </si>
  <si>
    <t>מפעל המים</t>
  </si>
  <si>
    <t xml:space="preserve">אושרה ההצעה לפי סעיף 3.21 לנוהל התקשרויות </t>
  </si>
  <si>
    <t>עד 50 שעות בחודש* 3 חודשים</t>
  </si>
  <si>
    <t>אושרה ההצעה עם הציון המשוקלל הגבוה ביותר עבור 3 חודשים.</t>
  </si>
  <si>
    <t>לאחר שהוסבר לועדה הפער במחירים והוצגה הבקשה המנומקת של הועד, אושרה ההצעה עם הציון המשוקלל הגבוה ביותר.</t>
  </si>
  <si>
    <t>מדובר בהגדל תהתקשרות לפי סעיף 3.21 לנוהל התקשרויות בהמשך להחלטה מס' 2017-19-01</t>
  </si>
  <si>
    <t>מדובר בהגדלת התקשרות לפי סעיף 3.21 בהמשך להחלטה 2017-25-07</t>
  </si>
  <si>
    <t xml:space="preserve">מדובר בהגדלת התקשרות לפי סעיף 3.21 </t>
  </si>
  <si>
    <t>מדובר בהגדלת התקשרות לפי סעיף 3.21 לנוהל בהמשך להחלטת וועדת התקשרויות מתאריך 5.4.2017</t>
  </si>
  <si>
    <t>משתתפים: איתי צחר - מנכ"ל העירייה, שגיא רוכל-גזבר, צבי אפרת- ס/גזבר, אילה זיו - נציגת היועמ"ש, מאיה בר לב- רכזת הוועדה, השתתפו חלקית: מנהל מח' ביטוחים- דודו דוידוביץ', מנהלת מח' תנועה-הילן דהרי, רכזת נגישות - עדי אבירם.</t>
  </si>
  <si>
    <t>שרותי ייעוץ של מיפוי קונסטרוקטיבי של מבנים במסגרת  פרוייקט בדיקת עמידות מבני בתי ספר בפני רעידות אדמה</t>
  </si>
  <si>
    <t>פרוטוקול ועדת התקשרויות מס' 2018-17 תאריך: 5/8/18</t>
  </si>
  <si>
    <t>הופץ</t>
  </si>
  <si>
    <t>מדובר בהמשך התקשרות לפי סעיף 3.21  - מדובר בעבודת המשך לעבודה שביצע היועץ בעבר (היה הקונסטרוקטור בעת הקמת המבנה).</t>
  </si>
  <si>
    <t>תב"ר 23005 מרכבה 1002491</t>
  </si>
  <si>
    <t>החלטה מס' 2018-18-01</t>
  </si>
  <si>
    <t>שחף יועצים</t>
  </si>
  <si>
    <t>arma - אריה מצליח</t>
  </si>
  <si>
    <t xml:space="preserve">150 שעות חודשיות ליועץ בכיר + 130 ליועץ זוטר (מיטל אלמוג) </t>
  </si>
  <si>
    <t xml:space="preserve">10,530 ליועץ בכיר + 15,057.9 ליועץ זוטר + 37,000 לשימוש במערכת לשנה </t>
  </si>
  <si>
    <t>231.66 ליועץ בכיר + 115.83 ליועץ זוטר</t>
  </si>
  <si>
    <t>234 ליועץ בכיר + 115.83 ליועץ זוטר</t>
  </si>
  <si>
    <t>376.74 ליועץ בכיר + 115.83 ליועץ זוטר</t>
  </si>
  <si>
    <t>בניית תכניות עבודה - עבור 7 חודשים</t>
  </si>
  <si>
    <t>מנהלת המח' לתכנון אסטרטגיה ושיתופיות - אופירה מור מזרחי</t>
  </si>
  <si>
    <t>בוצעה פנייה ל-5 יועצים, מתוכם 1 עדכן כי לא יוכל לקחת על עצמו את העבודה.</t>
  </si>
  <si>
    <t>החלטה מס' 2018-18-02</t>
  </si>
  <si>
    <t>1. הגדלת התקשרות לפי סעיף 3.21 2. יצויין שהמכרז בשלבי הכנה.</t>
  </si>
  <si>
    <t>25 שעות חודשיות ליועץ בכיר + 130 שעות  ליועץ זוטר (מיטל אלמוג) + 37,000 ₪ לשימוש במערכת לשנה</t>
  </si>
  <si>
    <t>גבי נימן - "מירקם"</t>
  </si>
  <si>
    <t>החלטה מס' 2018-18-03</t>
  </si>
  <si>
    <t>התקשרות המשך - סדנאות פיתוח מנהלים</t>
  </si>
  <si>
    <t>מנהלת רווחת הפרט - טלי שלמה</t>
  </si>
  <si>
    <t>Maze Global</t>
  </si>
  <si>
    <t>1. הגדלת התקשרות לפי סעיף 3.21</t>
  </si>
  <si>
    <t>החלטה מס' 2018-18-04</t>
  </si>
  <si>
    <t>התקשרות המשך - סקר דיגום זיהום אויר בכפר סבא (עמדות ניטור)</t>
  </si>
  <si>
    <t>אגף איכות הסביבה</t>
  </si>
  <si>
    <t>ראדגרין (אטיקט בע"מ)</t>
  </si>
  <si>
    <t>עבור סדנת המשך- למנהלי אגפים + סדנת המשך לסגני מנהלי אגפים</t>
  </si>
  <si>
    <t>אושרה ההצעה לפי סעיף 3.21 לנוהל התקשרויות</t>
  </si>
  <si>
    <t>פרוטוקול ועדת התקשרויות מס' 2018-18 תאריך: 12/8/18</t>
  </si>
  <si>
    <t>1. הגדלת התקשרות לפי סעיף 3.21. 2. המחיר אינו כולל התקנה של העמדות.</t>
  </si>
  <si>
    <t>החלטה מס' 2018-19-01</t>
  </si>
  <si>
    <t>דיאטנית לגני יול"א</t>
  </si>
  <si>
    <t>מנהלת מח' גנים - אביבה מורדוקוביץ'</t>
  </si>
  <si>
    <t>שרון דבוש</t>
  </si>
  <si>
    <t>איריס אינגבר-פסקין</t>
  </si>
  <si>
    <t>מיטל מינסטר</t>
  </si>
  <si>
    <t>מירב מור אופיר</t>
  </si>
  <si>
    <t>החלטה מס' 2018-19-02</t>
  </si>
  <si>
    <t>החלטה מס' 2018-19-03</t>
  </si>
  <si>
    <t>החלטה מס' 2018-19-04</t>
  </si>
  <si>
    <t>החלטה מס' 2018-19-05</t>
  </si>
  <si>
    <t>תכנון כבישים - רח' מפא"י</t>
  </si>
  <si>
    <t>יורוברידג'</t>
  </si>
  <si>
    <t>גבריאל לוטן</t>
  </si>
  <si>
    <t>פי. ג'י. אל</t>
  </si>
  <si>
    <t>אמאב</t>
  </si>
  <si>
    <t>רן בר טל</t>
  </si>
  <si>
    <t>מס' מרכבה 42898</t>
  </si>
  <si>
    <t>תכנון כבישים - רח' בן גוריון</t>
  </si>
  <si>
    <t>רן בר - טל</t>
  </si>
  <si>
    <t>מס' מרכבה 102493</t>
  </si>
  <si>
    <t>תכנון נוף - רח' מפא"י</t>
  </si>
  <si>
    <t>גדעון שריג - לב וקסמן</t>
  </si>
  <si>
    <t>ליאור וולף</t>
  </si>
  <si>
    <t>טל רוסמן</t>
  </si>
  <si>
    <t>מיכאל דואני</t>
  </si>
  <si>
    <t>יונה ליכט</t>
  </si>
  <si>
    <t>מרחבים</t>
  </si>
  <si>
    <t>תב"ר 23005 מס' מרכבה 42898</t>
  </si>
  <si>
    <t>תכנון נוף - רח' הצברים (תל אביב יפו)</t>
  </si>
  <si>
    <t>יונתן ליכט</t>
  </si>
  <si>
    <t xml:space="preserve">ליאור וולף </t>
  </si>
  <si>
    <t>תב"ר 23005 מס' מרכבה 49832</t>
  </si>
  <si>
    <t>החלטה מס' 2018-19-06</t>
  </si>
  <si>
    <t>תכנון נוף - רח' בן גוריון</t>
  </si>
  <si>
    <t>החלטה מס' 2018-19-07</t>
  </si>
  <si>
    <t>תכנון נוף - תל חי צפון</t>
  </si>
  <si>
    <t>החלטה מס' 2018-19-08</t>
  </si>
  <si>
    <t>תב"ר 23005 מס' מרכבה 102493</t>
  </si>
  <si>
    <t>תב"ר 23005 מס' מרכבה 740832</t>
  </si>
  <si>
    <t xml:space="preserve">מנהלת מח' תנועה - הילן דהרי </t>
  </si>
  <si>
    <t>החלטה מס' 2018-19-09</t>
  </si>
  <si>
    <t>החלטה מס' 2018-19-10</t>
  </si>
  <si>
    <t>החלטה מס' 2018-19-11</t>
  </si>
  <si>
    <t>תב"ר 230022752 מס' מרכבה 536832</t>
  </si>
  <si>
    <t>אור מהנדסים</t>
  </si>
  <si>
    <t xml:space="preserve">הגדלת התקשרות - תכנון מפורט של מעקה בטיחות לאורך בן יהודה </t>
  </si>
  <si>
    <t>החלטה מס' 2018-18-05</t>
  </si>
  <si>
    <t>החלטה מס' 2018-19-12</t>
  </si>
  <si>
    <t>החלטה מס' 2018-19-13</t>
  </si>
  <si>
    <t>החלטה מס' 2018-19-14</t>
  </si>
  <si>
    <t>החלטה מס' 2018-19-15</t>
  </si>
  <si>
    <t>החלטה מס' 2018-19-16</t>
  </si>
  <si>
    <t>גשר הפועל - תכנון תנועה, פיזי, ניקוז ותאום מערכות</t>
  </si>
  <si>
    <t>לוי שטרק</t>
  </si>
  <si>
    <t>גרונר ד.א.ל</t>
  </si>
  <si>
    <t>מס' מרכבה 102491 תב"ר 23005</t>
  </si>
  <si>
    <t>עתיר ידע - תכנון תנועה, פיזי, ניקוז ותאום מערכות</t>
  </si>
  <si>
    <t>מס' מרכבה 13479 תב"ר 23005</t>
  </si>
  <si>
    <t>שבילי אופניים דרך המוביל וקריית החינוך - תכנון תנועה, פיזי, ניקוז ותאום מערכות</t>
  </si>
  <si>
    <t>ציר התע"ש - תכנון תנועה, פיזי, ניקוז ותאום מערכות</t>
  </si>
  <si>
    <t>מס' מרכבה 102490 תב"ר 25005</t>
  </si>
  <si>
    <t>החלטה מס' 2018-19-17</t>
  </si>
  <si>
    <t>החלטה מס' 2018-19-18</t>
  </si>
  <si>
    <t>החלטה מס' 2018-19-19</t>
  </si>
  <si>
    <t>החלטה מס' 2018-19-20</t>
  </si>
  <si>
    <t>אבירם אדריכלים</t>
  </si>
  <si>
    <t>גשר הפועל - תכנון אדריכלי</t>
  </si>
  <si>
    <t>קנפו כלימור</t>
  </si>
  <si>
    <t>מילר בלום</t>
  </si>
  <si>
    <t>גורדון אדריכלים</t>
  </si>
  <si>
    <t>מסוף עתיר ידע - אדריכלות נוף</t>
  </si>
  <si>
    <t>שבילי אופניים דרך המוביל וקריית חינוך - אדריכלות נוף</t>
  </si>
  <si>
    <t>ציר התע"ש - אדריכלות נוף</t>
  </si>
  <si>
    <t>מס' מרכבה 102490 תב"ר 23005</t>
  </si>
  <si>
    <t>החלטה מס' 2018-19-21</t>
  </si>
  <si>
    <t>גשר הפועל - תכנון קונסטרוקציה</t>
  </si>
  <si>
    <t>י.שני</t>
  </si>
  <si>
    <t>רוקח אשכנזי</t>
  </si>
  <si>
    <t>החלטה מס' 2018-19-22</t>
  </si>
  <si>
    <t>החלטה מס' 2018-19-23</t>
  </si>
  <si>
    <t>החלטה מס' 2018-19-24</t>
  </si>
  <si>
    <t>מסוף עתיר ידע - תכנון חשמל</t>
  </si>
  <si>
    <t>טופז</t>
  </si>
  <si>
    <t>גשר הפועל- תכנון חשמל</t>
  </si>
  <si>
    <t>מרכבה 102491 תב"ר 23005</t>
  </si>
  <si>
    <t>מרכבה 13479 תב"ר 23005</t>
  </si>
  <si>
    <t>ציר התע"ש - תכנון חשמל</t>
  </si>
  <si>
    <t>מרכבה 102490 תב"ר 23005</t>
  </si>
  <si>
    <t>החלטה מס' 2018-19-25</t>
  </si>
  <si>
    <t>שבילי אופניים דרך המוביל וקריית החינוך- תכנון חשמל</t>
  </si>
  <si>
    <t xml:space="preserve">סגן מהנדסת העיר - יוסי לנדאו </t>
  </si>
  <si>
    <t>מדידות לתכנית אזה"ת כס 50</t>
  </si>
  <si>
    <t xml:space="preserve">חץ הצפון </t>
  </si>
  <si>
    <t>אלקא</t>
  </si>
  <si>
    <t>דטהאמפ</t>
  </si>
  <si>
    <t>הלפרין פלוס</t>
  </si>
  <si>
    <t>החלטה מס' 2018-19-26</t>
  </si>
  <si>
    <t>תב"ע בסמכות ועדה מחוזית</t>
  </si>
  <si>
    <t>אלונים-גורביץ' אדריכלים בוני ערים</t>
  </si>
  <si>
    <t>ארמון אדריכלים</t>
  </si>
  <si>
    <t>12 שעות שבועיות למשך שנה</t>
  </si>
  <si>
    <t>החלטה מס' 2018-19-27</t>
  </si>
  <si>
    <t>הדרכת בתי ספר מקדמי בריאות ע"י דיאטנית</t>
  </si>
  <si>
    <t>מנהלת המחלקה לקידום הבריאות ולחוסן עירוני - שרון ג'ורג'י</t>
  </si>
  <si>
    <t>גל כהן לס</t>
  </si>
  <si>
    <t>הדס חלימי</t>
  </si>
  <si>
    <t>החלטה מס' 2018-19-28</t>
  </si>
  <si>
    <t>בודק תכניות רישוי ובקשות להיתר</t>
  </si>
  <si>
    <t>מנהלת מח' רישוי בניה - שרית שיליאן</t>
  </si>
  <si>
    <t xml:space="preserve">פגי גרייס </t>
  </si>
  <si>
    <t>דרור נח</t>
  </si>
  <si>
    <t>16 שעות שבועיות למשך שנה</t>
  </si>
  <si>
    <t>החלטה מס' 2018-19-29</t>
  </si>
  <si>
    <t>הערכת עובדים ומנהלים</t>
  </si>
  <si>
    <t>אגף משאבי אנוש - טלי שלמה שי</t>
  </si>
  <si>
    <t>O.D. פיתוח ארגוני</t>
  </si>
  <si>
    <t>מכלול</t>
  </si>
  <si>
    <t>קבוצת נירם  גיתן</t>
  </si>
  <si>
    <t>Lotem Sensing</t>
  </si>
  <si>
    <t>השתלמויות 1616000521</t>
  </si>
  <si>
    <t>דן צור - ליאור וולף אדריכלי נוף בע"מ</t>
  </si>
  <si>
    <t>יעקב פוקס אדריכלי נוף בע"מ</t>
  </si>
  <si>
    <t>החלטה מס' 2018-19-30</t>
  </si>
  <si>
    <t xml:space="preserve">1. היועץ אושר לביצוע סקרי הנגישות לתכניות העבודה 2017-2018 וכעת מבקשים הגדלת התקשרות לפי סעיף 3.21 עבור השלמת הסקרים לפי תכנית העבודה 2018 וכחלק מהיערכות לביצוע תכנית העבודה 2019 עד לסיום השנה הקלנדרית. </t>
  </si>
  <si>
    <t xml:space="preserve">יועץ תחבורה להתמודדות עם תמ"ל 1088 </t>
  </si>
  <si>
    <t>גל תכנון</t>
  </si>
  <si>
    <t>אייל קראוס</t>
  </si>
  <si>
    <t>אמאב תחבורה בע"מ</t>
  </si>
  <si>
    <t>גשר הפועל יועץ קרקע</t>
  </si>
  <si>
    <t xml:space="preserve">דורון אשל </t>
  </si>
  <si>
    <t>גיאומכניקה</t>
  </si>
  <si>
    <t>יותם הנדסה</t>
  </si>
  <si>
    <t>בוצעה פניה ל-5 יועצים, הוגשו 3 הצעות מחיר בלבד.</t>
  </si>
  <si>
    <t>מנהלת מח' תנועה - הילן דהרי וצוות ההיגוי העירוני</t>
  </si>
  <si>
    <t>אילן מרכוס אופק הנדסה</t>
  </si>
  <si>
    <t>לוי שטרק מהנדסים</t>
  </si>
  <si>
    <t>פי. ג'י. אל הנדסה ותכנון</t>
  </si>
  <si>
    <t>אייל קראוס מהנדסי כבישים</t>
  </si>
  <si>
    <t>תכנון כללי</t>
  </si>
  <si>
    <t>הגדלת התקשרות -ביצוע סקרי נגישות למבני ציבור</t>
  </si>
  <si>
    <t>תכנון תנועה מתחם תקומה</t>
  </si>
  <si>
    <t>החלטה מס' 2018-19-31</t>
  </si>
  <si>
    <t>בהמשך להחלטה מס' 2018-14-01, היועץ הזוכה, מוטי יוגר, החליט שלא לחתום על חוזה עם העיריה לפיכך מועלה פעם נוספת בפני הועדה.</t>
  </si>
  <si>
    <t>אושרה ההצעה לפי סעיף 3.21 לנוהל התקשרויות. הועדה מבקשת להדגיש שלא תאושר הגדלה נוספת לפי סעיף 3.21.</t>
  </si>
  <si>
    <t>לא אושרה - יש להציג חומרים לגבי הפרויקט ונחיצותו למנכ"ל העיריה.</t>
  </si>
  <si>
    <t>120 שעות חודשיות X 6 חודשים</t>
  </si>
  <si>
    <t>פרוטוקול ועדת התקשרויות מס' 2018-19 תאריך: 26/8/18</t>
  </si>
  <si>
    <t xml:space="preserve">אושרה ההצעה לפי סעיף 3.21 לנוהל התקשרויות. </t>
  </si>
  <si>
    <t>אושרה - הוחלט לחלק את 3 הפרוייקטים בסעיפים 11-13 בין 2 היועצים שקיבלו את הציון המשוקלל הגבוה ביותר. זאת בכפוף להשוואת הצעת המחיר להצעה הזולה ביותר.</t>
  </si>
  <si>
    <t xml:space="preserve">אושרה ההצעה עם הציון המשוקלל הגבוה ביותר </t>
  </si>
  <si>
    <t>יועץ נגישות למח' רישוי עסקים</t>
  </si>
  <si>
    <t>שמר בטיחות והנדסה</t>
  </si>
  <si>
    <t>מוריס גוליאק</t>
  </si>
  <si>
    <t>לבטח</t>
  </si>
  <si>
    <t>לפי מחיר לבדיקת עסק/אירוע</t>
  </si>
  <si>
    <t>35 בדיקות בחודש*12 חודשים</t>
  </si>
  <si>
    <t>החלטה מס' 2018-20-01</t>
  </si>
  <si>
    <t>החלטה מס' 2018-20-02</t>
  </si>
  <si>
    <t>החלטה מס' 2018-20-03</t>
  </si>
  <si>
    <t>החלטה מס' 2018-20-04</t>
  </si>
  <si>
    <t>החלטה מס' 2018-20-05</t>
  </si>
  <si>
    <t>תכנון חניות מקבילות - רח' אלי הורוביץ</t>
  </si>
  <si>
    <t>י. מרגלית - תכנון</t>
  </si>
  <si>
    <t>מורן הנדסת דרכים</t>
  </si>
  <si>
    <t>רוכוולד עופר- הנדסה</t>
  </si>
  <si>
    <t>בועז גרוס -הנדסה</t>
  </si>
  <si>
    <t>מואב - הנדסה</t>
  </si>
  <si>
    <t>מורן הנסת דרכים</t>
  </si>
  <si>
    <t>תב"ר 23004</t>
  </si>
  <si>
    <t>ניהול פרויקט לשטחי הציבור בפרויקט תקומה</t>
  </si>
  <si>
    <t>אביב ניהול הנדסה בע"מ</t>
  </si>
  <si>
    <t>לודן תשתיות ובינוי בע"מ</t>
  </si>
  <si>
    <t>1. בהמשך להחלטה מס' 2018-08-06, מבקשים להעלות את הבקשה פעם נוספת.</t>
  </si>
  <si>
    <t>החלטה מס' 2018-20-06</t>
  </si>
  <si>
    <t>אהרון ברגר, אגרונום</t>
  </si>
  <si>
    <t>דני אלמליח, אגרונום</t>
  </si>
  <si>
    <t>רונן שמואלביץ' מדשאות</t>
  </si>
  <si>
    <t>סכום חודשי</t>
  </si>
  <si>
    <t>רשות הספורט - עופר פורטנוי</t>
  </si>
  <si>
    <t>החלטה מס' 2018-20-07</t>
  </si>
  <si>
    <t>החלטה מס' 2018-20-08</t>
  </si>
  <si>
    <t>החלטה מס' 2018-20-09</t>
  </si>
  <si>
    <t>מנהלת מח' גני ילדים - אביבה מורדוקוביץ'</t>
  </si>
  <si>
    <t>גלית קלקשטיין</t>
  </si>
  <si>
    <t>ליווי/ייעוץ לחינוך יסודי בנושא בתי ספר ייחודיים</t>
  </si>
  <si>
    <t>מנהלת מחלקת בתי ספר - אורית ליבוביץ</t>
  </si>
  <si>
    <t>ד"ר תמי זיטלני</t>
  </si>
  <si>
    <t>מדובר בהמשך תמיכה של משרד החינוך בפרויקט. המשרד מעסיק את היועצת ברוב השעות והרשות משלימה לפי צורך על מנת ליצור רצף פדגוגי/ארגוני. לפיכך מבקשים להעלות לאישור הועדה לפי סעיף 3.21 לנוהל התקשרויות.</t>
  </si>
  <si>
    <t>יוזמות חינוכיות 2550022759</t>
  </si>
  <si>
    <t>סגנית אגף הנדסה לרישוי ופיקוח - רעיה סבירסקי</t>
  </si>
  <si>
    <t>ארז רובינשטיין ניהול פרוייקטים בע"מ</t>
  </si>
  <si>
    <t xml:space="preserve">לפי שעה </t>
  </si>
  <si>
    <t>בהמשך להחלטה מס' 2018-02-01 מבקשים הגדלת התקשרות לפי סעיף 3.21 לנוהל התקשרויות.</t>
  </si>
  <si>
    <t>החלטה מס' 2018-20-10</t>
  </si>
  <si>
    <t xml:space="preserve">תוספת קומה להנגשת מבנה שירותים חברתיים </t>
  </si>
  <si>
    <t>א.כ.</t>
  </si>
  <si>
    <t>החלטה מס' 2018-20-11</t>
  </si>
  <si>
    <t>יועץ לוועדת השקעות, בקרת מנהלי תיקים וניהול הליך בחירת מנהלי תיקים</t>
  </si>
  <si>
    <t>ועדת השקעות ע"י סגן גזבר העיריה - צבי אפרת</t>
  </si>
  <si>
    <t>רונן שטרית</t>
  </si>
  <si>
    <t>עמירים</t>
  </si>
  <si>
    <t>דן דרין, פרובידנס</t>
  </si>
  <si>
    <t>מחיר לחודש</t>
  </si>
  <si>
    <t>24 חודשים</t>
  </si>
  <si>
    <t xml:space="preserve">  ע.טופ הנדסה הקמה וניהול בע"מ</t>
  </si>
  <si>
    <t>אייל רוטברט הנדסה וניהול בע"מ</t>
  </si>
  <si>
    <t>בוצעה פנייה טלפונית ל-4 יועצים ע"י המבקש. רק 3 הגישו הצעת מחיר.</t>
  </si>
  <si>
    <t>החלטה מס' 2018-20-12</t>
  </si>
  <si>
    <t>החלטה מס' 2018-20-13</t>
  </si>
  <si>
    <t>החלטה מס' 2018-20-14</t>
  </si>
  <si>
    <t>החלטה מס' 2018-20-15</t>
  </si>
  <si>
    <t>טל שר</t>
  </si>
  <si>
    <t>הגדלת התקשרות - מתן שירותי שמאות</t>
  </si>
  <si>
    <t>מנהל מח' היטלים - דניאל פומרנץ</t>
  </si>
  <si>
    <t>גיל סגל שמאות מקרקעין בע"מ</t>
  </si>
  <si>
    <t>אחיקם ביתן בע"מ</t>
  </si>
  <si>
    <t>קו מגוון שמאות מקרקעין ושירותי נדל"ן בע"מ</t>
  </si>
  <si>
    <t>בקשה להגדלת התקשרות לפי סעיף 3.21  עד לתאריך 30.6.2019 לאור מומחיותו בשמאות בנושא התחדשות עירונית ושמאות כללית ברחבי העיר.</t>
  </si>
  <si>
    <t>מדובר בשמאי המתמחה בכס 50/60/80.  לפיכך מבוקשת הגדלת התקשרות לפי סעיף 3.21 עד ליום 30.06.2019.</t>
  </si>
  <si>
    <t>מדובר בשמאי המתמחה באזורי התעשיה של כפר סבא כולל עתיר ידע, התע"ש ורחבי העיר.  לפיכך מבוקשת הגדלת התקשרות לפי סעיף 3.21 עד ליום 30.06.2019.</t>
  </si>
  <si>
    <t>טל בעלת ניסיון רב בכפר סבא והתמחות ייחודית בבדיקת חבות בהיטל השבחה והכנת שומות מקרקעין. לפיכך מבוקשת הגדלת התקשרות לפי סעיף 3.21 עד ליום 30.06.2019.</t>
  </si>
  <si>
    <t>סוכנות קלי</t>
  </si>
  <si>
    <t>החלטה מס' 2018-20-16</t>
  </si>
  <si>
    <t xml:space="preserve">יעוץ בתחום תשתיות, מים וביוב במוסדות העירייה הקיימים </t>
  </si>
  <si>
    <t>מנהל מח' בינוי ופיתוח של אגף הנדסה</t>
  </si>
  <si>
    <t xml:space="preserve">קשת מהנדסים תכנון פיקוח ייעוץ הנדסי וניהול פרויקטים </t>
  </si>
  <si>
    <t>יצחק ברבי מהנדסים ויועצים בע"מ</t>
  </si>
  <si>
    <t>איתן אלמסי - משרד לתכנון אינסטלציה</t>
  </si>
  <si>
    <t>ניסים שוקר מהנדסים ויועצים בע"מ</t>
  </si>
  <si>
    <t>אורהד בע"מ</t>
  </si>
  <si>
    <t>253009, 248004, 2460014</t>
  </si>
  <si>
    <t>בדיקות קונסטרוקטור ליציבות פרגולות/הצללות</t>
  </si>
  <si>
    <t>מנהלת מח' גנים ונוף - עירית מויאל</t>
  </si>
  <si>
    <t>אהרון דניאל</t>
  </si>
  <si>
    <t>י.שני מהנדסים</t>
  </si>
  <si>
    <t>ירון קרני</t>
  </si>
  <si>
    <t>החלטה מס' 2018-20-17</t>
  </si>
  <si>
    <t>החלטה מס' 2018-20-18</t>
  </si>
  <si>
    <t>גול טיים - עדכון תב"ע</t>
  </si>
  <si>
    <t>מנהלת מח' תכנון עיר</t>
  </si>
  <si>
    <t xml:space="preserve">רויטל אגוזי </t>
  </si>
  <si>
    <t>דניאל אגרד</t>
  </si>
  <si>
    <t xml:space="preserve">גולדשמידט ארדיטי בן נעים אדריכלים </t>
  </si>
  <si>
    <t>שבילי אופניים על חשבון הרשות</t>
  </si>
  <si>
    <t>1. אושרה ההצעה עם הציון המשוקלל הגבוה ביותר 2. יש לוודא שהצעת המחיר של היועץ כוללת את כל הנדרש.</t>
  </si>
  <si>
    <t>סקר מתקני אופניים במוסדות ציבור</t>
  </si>
  <si>
    <t>לא אושרה</t>
  </si>
  <si>
    <t>פרוטוקול ועדת התקשרויות מס' 2018-20 תאריך: 17/9/18</t>
  </si>
  <si>
    <t>יועץ תחזוקת דשא - אצטדיון כפר סבא ומגרשים נוספים</t>
  </si>
  <si>
    <t>12 שעות שבועיות למשך 4 חודשים</t>
  </si>
  <si>
    <t>1. אושרה ההצעה עם הציון המשוקלל הגבוה ביותר עבור 4 חודשים בלבד. 2. יש לצאת למכרז בזמן זה.</t>
  </si>
  <si>
    <t>1. אושרה ההצעה לפי סעיף 3.21 לנוהל התקשרויות לחודשיים בלבד. 2. יש לצאת למכרז בזמן זה.</t>
  </si>
  <si>
    <t>70 שעות * 2 חודשים</t>
  </si>
  <si>
    <t>לא אושרה - ניתן להעלות לועדה פעם נוספת בעוד 3 חודשים לאחר דיוני התקציב 2019.</t>
  </si>
  <si>
    <t>הגדלת התקשרות - ניהול פרוייקט כיתות שמע</t>
  </si>
  <si>
    <t>3 כיתות</t>
  </si>
  <si>
    <t>החלטה מס' 2018-21-01</t>
  </si>
  <si>
    <t>החלטה מס' 2018-21-02</t>
  </si>
  <si>
    <t>הגדלת התקשרות יועץ אקוסטי להנגשת כיתות שמע</t>
  </si>
  <si>
    <t>החלטה מס' 2018-21-03</t>
  </si>
  <si>
    <t>בהמשך להחלטה מס' 2018-05-01 מבקשים לאשר הגדלת התקשרות עבור 3 כיתות נוספות לפי סעיף 3.21 לנוהל התקשרויות.</t>
  </si>
  <si>
    <t>בהמשך להחלטה מס' 2018-05-02 מבקשים לאשר הגדלת התקשרות עבור 3 כיתות נוספות לפי סעיף 3.21 לנוהל התקשרויות.</t>
  </si>
  <si>
    <t>בקשה לעדכון החלטה -תב"ע הגבהת גובה ומרתפים</t>
  </si>
  <si>
    <t>בהמשך להחלטת ועדת התקשרויות 2018-08-16 בשל בעיות ועיכובים בעת תהליך חתימת החוזה (נספח ביטוחי) הוחלט שלא לבצע התקשרות עם אדר' נוגה ברג נשרי לפיכך הבקשה עולה פעם נוספת לאישור הועדה.</t>
  </si>
  <si>
    <t>החלטה מס' 2018-21-05</t>
  </si>
  <si>
    <t>יוניק</t>
  </si>
  <si>
    <t>סכום חודשי קבוע</t>
  </si>
  <si>
    <t>רונן צור</t>
  </si>
  <si>
    <t>תמי שינקמן ושות'</t>
  </si>
  <si>
    <t>בקשה לעדכון החלטה - יח"צ מאבק בתחנות הכוח</t>
  </si>
  <si>
    <t>בהמשך להחלטה מס' 2018-08-20, מבקשים הגדלת התקשרות עבור 8 חודשים נוספים.</t>
  </si>
  <si>
    <t>50 שעות חודשיות *8  חודשים</t>
  </si>
  <si>
    <t>הגדלת התקשרות - יעוץ ובקרה בתחום אספקה, התקנה ותחזוקה של ציוד כיבוי אש מערכות גילוי וכיבוי אש אוטומטיות</t>
  </si>
  <si>
    <t>החלטה מס' 2018-21-06</t>
  </si>
  <si>
    <t>חידון הקיימות העירוני</t>
  </si>
  <si>
    <t>קומיוניטי</t>
  </si>
  <si>
    <t>RE3</t>
  </si>
  <si>
    <t>אגף קיימות  וחדשנות - תמי קצברג נבנצל</t>
  </si>
  <si>
    <t>נערכה פנייה ל-5 מציעים בתחום, רק 2 הגישו הצעת מחיר, לפיכך מבקשים להעלות לפי סעיף 3.21 לנוהל התקשרויות.</t>
  </si>
  <si>
    <t>החלטה מס' 2018-21-08</t>
  </si>
  <si>
    <t>החלטה מס' 2018-21-09</t>
  </si>
  <si>
    <t>מס' מרכבה 13479 תב"ר 23006</t>
  </si>
  <si>
    <t>יועץ לביצוע סקר השקייה</t>
  </si>
  <si>
    <t>קובי בוטבול</t>
  </si>
  <si>
    <t>קובי מגל</t>
  </si>
  <si>
    <t>נתי זיו</t>
  </si>
  <si>
    <t>סכום קובע</t>
  </si>
  <si>
    <t>נרשמו וטרם אושרו</t>
  </si>
  <si>
    <t>נערכה פנייה ל-5 מציעים בתחום, רק 3 הגישו הצעת מחיר.</t>
  </si>
  <si>
    <t>בהמשך להחלטה 2018-19-15, צור וולף הודיעו כי הצעת המחיר שנתנו הייתה עבור כל ה-4 פרוייקטים יחד כמקשה אחת. משלא קיבלו את כל ארבעת הפרוייקטים הגישו הצעת מחיר חדשה.</t>
  </si>
  <si>
    <t>בקשה לעדכון החלטה - מסוף עתיר ידע - אדריכלות נוף</t>
  </si>
  <si>
    <t>הנגשת מבנה הנהלת אגף הרווחה - רח' הכרמל</t>
  </si>
  <si>
    <t xml:space="preserve">בהמשך להחלטה 2017-07-15 מבקשים לאשר הגדלת התקשרות לפי סעיף 3.21 עם אדריכלית הפרוייקט לאור הגדלת היקף (תוספת של 2 חדרים למבנה). </t>
  </si>
  <si>
    <t>החלטה מס' 2018-21-04</t>
  </si>
  <si>
    <t>החלטה מס' 2018-11-06</t>
  </si>
  <si>
    <t>1. אושרה ההצעה לפי סעיף 3.21 לנוהל התקשרויות עד לתאריך 28.2.19. 2. יש לצאת למכרז בזמן זה.</t>
  </si>
  <si>
    <t>פרוטוקול ועדת התקשרויות מס' 2018-21 תאריך: 10/10/2018</t>
  </si>
  <si>
    <t>כרגע לא מאושר. יש להעביר לועדה עלויות של החידון שבוצע בשנת 2017.</t>
  </si>
  <si>
    <t>התאגדות ראשי רשויות מקומיות - מאבק בתחנות הכוח</t>
  </si>
  <si>
    <t>1. הערת המזמין: עיריית כפר סבא תשלם 35% מסך ההתקשרות.  2. בהמשך להחלטה מס' 2017-25-19 ועל אף שהועדה אישרה התקשרות עם רונן צור, ראשי הרשויות המקומיות המשתתפות בתשלום פרוייקט זה החליטו פה אחד על העסקת תמי שינקמן ושות' ועל כן מבקשים לאשר את ההתקשרות עם היועצת לפי סעיף 3.21.</t>
  </si>
  <si>
    <t>כנרת תירוש</t>
  </si>
  <si>
    <t>משתתפים: איתי צחר - מנכ"ל העירייה, צבי אפרת- ס/גזבר, אילה זיו - נציגת היועמ"ש, מאיה בר לב- רכזת הוועדה, סגן מהנדס העיר - יוסי לנדאו</t>
  </si>
  <si>
    <t>משתתפים: איתי צחר - מנכ"ל העירייה, צבי אפרת- ס/גזבר, אילה זיו - נציגת היועמ"ש, מאיה בר לב- רכזת הוועדה גזבר העירייה - שגיא רוכל (באופן חלקי) סגן מהנדס העיר - יוסי לנדאו</t>
  </si>
  <si>
    <t>סדר יום ועדת התקשרויות מס' 2018-22 תאריך: 24/10/2018</t>
  </si>
  <si>
    <t>החלטה מס' 2018-22-01</t>
  </si>
  <si>
    <t>החלטה מס' 2018-22-02</t>
  </si>
  <si>
    <t>החלטה מס' 2018-22-03</t>
  </si>
  <si>
    <t>החלטה מס' 2018-22-04</t>
  </si>
  <si>
    <t>החלטה מס' 2018-22-05</t>
  </si>
  <si>
    <t>החלטה מס' 2018-22-06</t>
  </si>
  <si>
    <t>החלטה מס' 2018-22-07</t>
  </si>
  <si>
    <t>הגדלת התקשרות - יועץ התקשרויות לאגף הנדסה</t>
  </si>
  <si>
    <t>שעות</t>
  </si>
  <si>
    <t>מנהלת מדור מעקב בקרה ופרוייקטים אגף הנדסה - מאיה בר לב</t>
  </si>
  <si>
    <t>1. מדובר בבקשה להגדלה חד פעמית עבור עבודת היועץ לחודש יולי בלבד לאור גידול בהיקף העבודה ב-50% בחודש זה.</t>
  </si>
  <si>
    <t>ניהול תכנון ביצוע רח' נורדאו</t>
  </si>
  <si>
    <t>אחוז</t>
  </si>
  <si>
    <t>היקף פרוייקט 3,300,000</t>
  </si>
  <si>
    <t>מסוף עתיר ידע - תכן מבנה</t>
  </si>
  <si>
    <t>1. בוצעה פניה ל-4 יועצים רק 3 הגישו הציות מחיר.</t>
  </si>
  <si>
    <t>מ.נ.מ מהנדסים</t>
  </si>
  <si>
    <t>היקף פרוייקט 2,700,000</t>
  </si>
  <si>
    <t>ציר התע"ש - תכן מבנה</t>
  </si>
  <si>
    <t>היקף פרוייקט 4,000,000</t>
  </si>
  <si>
    <t>ניהול תכנון ביצוע רח' תל חי דרום (ויצמן-531)</t>
  </si>
  <si>
    <t>דורון פיירברג</t>
  </si>
  <si>
    <t xml:space="preserve">רמי ישורון </t>
  </si>
  <si>
    <t>2230022954/52950</t>
  </si>
  <si>
    <t xml:space="preserve">אדריכל נוף לתכנון ייעוץ לשיפוץ ושדרוג חצרות של מוסדות </t>
  </si>
  <si>
    <t xml:space="preserve">מנהל מח' בינוי ופיתוח מוסדות - מיכאל זלדין </t>
  </si>
  <si>
    <t>שגית קורן</t>
  </si>
  <si>
    <t>מירב רוזן</t>
  </si>
  <si>
    <t>דוד אלחנתי</t>
  </si>
  <si>
    <t>שי אלון</t>
  </si>
  <si>
    <t>דואני מיכאל - עד אדריכלי נוף</t>
  </si>
  <si>
    <t>נערכה פנייה  ל10 מציעים מתוכם 8 הגישו הצעות מחיר (הוגשו לועדה 5 הצעות המחיר הנמוכות ביותר היות וניתן ציון איכות זהה לכלל המציעים).</t>
  </si>
  <si>
    <t>טנדו</t>
  </si>
  <si>
    <t>חב' טנדו אושרה בתאריך 3.1.2017 להכנת מכרז לקבלת שירותי אספקה, התקנה, ותחזוקה של מערכות אבטחה במרחב מוניציפאלי ושדרוג מרכז שליטה ובקרה.</t>
  </si>
  <si>
    <t>הגדלת התקשרות בדיקות בטיחות למרכזי הקהילה והנוער בעיר</t>
  </si>
  <si>
    <t>מירב הלפמן</t>
  </si>
  <si>
    <t>החלטה מס' 2018-22-08</t>
  </si>
  <si>
    <t>החלטה מס' 2018-22-09</t>
  </si>
  <si>
    <t>1. בקשה לתיקון החלטה מס' 2018-17-10 - חלה טעות בסכום הרשום בפרוטוקול (40,950 כולל מע"מ). מדובר בהגדלת התקשרות לפי סעיף 3.21 בהמשך להחלטה 2017-25-07</t>
  </si>
  <si>
    <t>בקשה לתיקון החלטה 2018-17/10- הגדלת התקשרות מבנה שירותים חברתיים בהדרים תוספת קומה - תכנון אדריכלי</t>
  </si>
  <si>
    <t xml:space="preserve"> מדובר בהגדלת התקשרות לפי סעיף 3.21 בהמשך להחלטה 2018-11-05</t>
  </si>
  <si>
    <t>16 בדיקות</t>
  </si>
  <si>
    <t>תב"ר נוער - 2950012750</t>
  </si>
  <si>
    <t>180 שעות</t>
  </si>
  <si>
    <t>התקשרות המשך - פיקוח עליון ביישום מערכות אבטחה ומיגון בעיר בהתאם לתכנון שבוצע.</t>
  </si>
  <si>
    <t>החלטה מס' 2018-22-10</t>
  </si>
  <si>
    <t>הגדלת התקשרות - שביל אופניים רח' תל חי בקאע ויצמן-בן גוריון</t>
  </si>
  <si>
    <t xml:space="preserve">סכום קבוע </t>
  </si>
  <si>
    <t>מרכבה 1008217</t>
  </si>
  <si>
    <t xml:space="preserve"> מדובר בהגדלת התקשרות לפי סעיף 3.21 בהמשך להחלטה 2018-08-10</t>
  </si>
  <si>
    <t>היקף פרוייקט 3,500,000</t>
  </si>
  <si>
    <t>א.מ. ניהול ובקרה בע"מ</t>
  </si>
  <si>
    <t>בהמשך להחלטה מס' 2017-25-16 שבה זכתה חב' פים פרוייקטים, הודיעה החברה שהיא מבקשת לוותר על העבודה מטעמים שלה לפיכך הנושא מועלה פעם נוספת.</t>
  </si>
  <si>
    <t>בהמשך להחלטה מס' 2017-25-14 שבה זכתה חב' פים פרוייקטים, הודיעה החברה שהיא מבקשת לוותר על העבודה מטעמים שלה לפיכך הנושא מועלה פעם נוספת.</t>
  </si>
  <si>
    <t>החלטה מס' 2018-22-8</t>
  </si>
  <si>
    <t>הגדלת התקשרות - שביל אופניים רח' תל חי בקטע ויצמן-בן גוריון</t>
  </si>
  <si>
    <t>אושרה ההצעה עם הציון המשוקלל הגבוה ביותר לשלב התכנון בלבד (סעיף 1 בנספח ב' לחוזה).</t>
  </si>
  <si>
    <t>היקף פרוייקט  3,300,000</t>
  </si>
  <si>
    <t xml:space="preserve">1. בקשה לתיקון החלטה מס' 2018-17-10 -  בתאריך 26/12/17 אושרה העבודה "תכנון אדריכלי - הנגשת מבנה שירותים חברתיים שכונת הדרים" ע"ס 40,950 ₪ כולל מע"מ. בתאריך 5/8/18 אושרה "הגדלת התקשרות מבנה שירותים חברתיים בהדרים תוספת קומה - תכנון אדריכלי" ע"ס 40,950 ש"ח כאשר הסכום צהמבוקש היה 70,200 כולל מע"מ. כעת מבקשים מהועדה לתקן טעות זו ולאשר תוספת של 70,200 כולל מע"מ.  </t>
  </si>
  <si>
    <t>כרגע לא מאושר. יש להעביר לחברי הועדה את הנתונים הר"מ: (1) כל  פרטי התקשרויות עם שי מורן בנושא שבילי אופניים. (2) בנק התוכניות של שבילי אופניים בעיר. (3) כל ההגדלות של שבילי אופניים תל-חי דרום, תל-חי צפון.</t>
  </si>
  <si>
    <t>פרוטוקול ועדת התקשרויות מס' 2018-22 תאריך: 29/10/2018</t>
  </si>
  <si>
    <t>20 שעות</t>
  </si>
  <si>
    <t>1. מדובר בבקשה להגדלה חד פעמית עבור עבודת היועץ לחודש יולי בלבד לאור גידול בהיקף העבודה בחודש זה.</t>
  </si>
  <si>
    <t>פריזר עופר</t>
  </si>
  <si>
    <t>דן רביד</t>
  </si>
  <si>
    <t>יוסי רוזנצוויג</t>
  </si>
  <si>
    <t>ישראל שאולי</t>
  </si>
  <si>
    <t>שבילי אופניים- תכן מבנה</t>
  </si>
  <si>
    <t>מנהלת מחלקת תחבורה- הילן דהרי</t>
  </si>
  <si>
    <t>היקף פרויקט 2,000,000 ₪</t>
  </si>
  <si>
    <t>החלטה מס' 2018-23-01</t>
  </si>
  <si>
    <t>החלטה מס' 2018-23-02</t>
  </si>
  <si>
    <t>בוצעה פניה ל-4 מציעים, רק 3 הגישו הצעות מחיר</t>
  </si>
  <si>
    <t>החלטה מס' 2018-23-03</t>
  </si>
  <si>
    <t>החלטה מס' 2018-23-04</t>
  </si>
  <si>
    <t>מסוף עתיר ידע- תכן מבנה</t>
  </si>
  <si>
    <t>היקף פרויקט 2,350,000 ₪</t>
  </si>
  <si>
    <t>תב"ר 25005, מס' מרכבה: 13479</t>
  </si>
  <si>
    <t>ציר התע"ש- תכן מבנה</t>
  </si>
  <si>
    <t>היקף פרויקט 4,500,000 ₪</t>
  </si>
  <si>
    <t>תב"ר 2230022956, מס' מרכבה: 102490</t>
  </si>
  <si>
    <t>טופהאוס - יובל גרינוולד</t>
  </si>
  <si>
    <t>2. לאור דחיפות הבקשות מועבר בסבב מיילים.</t>
  </si>
  <si>
    <t>פרוטוקול ועדת התקשרויות מס' 2018-23 תאריך: 4/11/2018</t>
  </si>
  <si>
    <t>משתתפים: איתי צחר - מנכ"ל העירייה, צבי אפרת- ס/גזבר, אילה זיו - נציגת היועמ"ש, מאיה בר לב- רכזת הוועדה, רעות סימונס -מ"מ רכזת הוועדה, סגן מהנדס העיר - יוסי לנדאו</t>
  </si>
  <si>
    <t>החלטה מס' 2018-21-07</t>
  </si>
  <si>
    <t>החלטה מס' 2018-24-02</t>
  </si>
  <si>
    <t>החלטה מס' 2018-24-01</t>
  </si>
  <si>
    <t>1. נערכה פנייה ל-5 מציעים בתחום, רק 2 הגישו הצעת מחיר, לפיכך מבקשים להעלות לפי סעיף 3.21 לנוהל התקשרויות. 2. שנה שעברה אושר בהחלטה 2017-17-09, הסכום: 64,350 כולל מע"מ. מצורף דף השוואה והסבר לפערים במחירים.</t>
  </si>
  <si>
    <t>החלטה מס' 2018-24-03</t>
  </si>
  <si>
    <t>בקשה להגדלת התקשרות יעוץ שמאי</t>
  </si>
  <si>
    <t>מנהלת אגף הכנסות וסגנית גזבר- גלית שנייידר מימרן</t>
  </si>
  <si>
    <t>70 שעות חודשיות * 6 חודשים</t>
  </si>
  <si>
    <t>יעוץ אדריכלי במוסדות חינוך</t>
  </si>
  <si>
    <t>מנהל מח' בינוי ופיתוח מוסדות- מיכאל זלדין</t>
  </si>
  <si>
    <t>בועז יגוזינסקי</t>
  </si>
  <si>
    <t>ענת סמסונובוב</t>
  </si>
  <si>
    <t>אגף הביטחון מבקש להעסיק את ח.פ. פתרונות בנוסף לחב' אירופלם שכבר אושרה בועדה (החלטה 2018-21-06). היועצים לא יועסקו מעבר למסגרת התקציבית והעבודה תחולק בין שניהם לפי שיקול דעתו של מנהל אגף הביטחון. ח.פ. פתרונות הורידו את המחיר ל-220 ₪ לשעה אך לא השוו להצעת המחיר של אירופלם ולכן עולה לאישור הועדה.</t>
  </si>
  <si>
    <t>אושרה ההצעה לפי סעיף 3.21 לנוהל התקשרויות בכפוף לר"מ: (1) וידוא שהנ"ל לא נכלל בהצעת המחיר המקורית. (2) היקף ההתקשרות לא יחרוג מעבר ל180 שעות לפי דיווח בפועל ולא יהיה ניתן לבצע הגדלה נוספת.</t>
  </si>
  <si>
    <t>אגף ההכנסות הכין קול קורא, אולם לאחר מכן הוחלט לבטל את הקול קורא ולצאת למכרז חדש. המרכז כעת בשלבי הכנה.</t>
  </si>
  <si>
    <t>2. לאור ביטול הועדה הקרובה ויציאתה של עו"ד אילה זיו לחופשה הנ"ל מועלה בסבב מיילים</t>
  </si>
  <si>
    <t xml:space="preserve">היקף הפרוייקט (70% ביצוע עב' קבלניות בלבד) 2,153,846 </t>
  </si>
  <si>
    <t>אושרה ההצעה עם הציון המשוקלל השני גבוה ביותר (לאור העובדה שאירופלם אשר קיבלו את הציון המשוקלל הגבוה ביותר כבר אושרו בועדה מס '2018-21)</t>
  </si>
  <si>
    <t>פרוטוקול ועדת התקשרויות מס' 2018-24 תאריך: 8/11/18</t>
  </si>
  <si>
    <t>בוצעה פניה ל-10 משרדים, התקבלו 4 הצעות.</t>
  </si>
  <si>
    <t>אושרה ההצעה עם הציון המשוקלל הגבוה ביותר וכן  לפי סעיף 3.21 לנוהל התקשרויות.</t>
  </si>
  <si>
    <t>יזמות ירוקה</t>
  </si>
  <si>
    <t>אמפיביו</t>
  </si>
  <si>
    <t>גרינברג מהנדסים</t>
  </si>
  <si>
    <t>בוצעה פניה ל-4 מציעים, רק 3 הגישו הצעות מחיר. כמו כן, מבקשים לאשר לפי סעיף 3.21 התקשרות עם יועץ שאינו כלול במאגר היועצים היות ומדובר בעבודה חד"פ.</t>
  </si>
  <si>
    <t>ליווי סביבתי- מאבק בתחנות הכוח</t>
  </si>
  <si>
    <t>בדיקת חשבון סופי (שנוי במחלוקת) של פרוייקט מועדון נחשון</t>
  </si>
  <si>
    <t>בקשה להגדלת התקשרות עם יועץ לאגף איכות הסביבה- ליווי תהליך טיפול במפגעי ריח שכ' ירוקה</t>
  </si>
  <si>
    <t>סגנית מנהלת אגף הנדסה לרישוי ופיקוח- רעיה סבירסקי</t>
  </si>
  <si>
    <t>10 שעות</t>
  </si>
  <si>
    <t>ניהול תכנון פרויקט שבילי אופניים- רחוב עתיר ידע</t>
  </si>
  <si>
    <t>אורהד</t>
  </si>
  <si>
    <t>בוצעה פניה ל-7 מציעים, רק 3 הגישו הצעות מחיר.</t>
  </si>
  <si>
    <t>היקף פרויקט 3,300,000 ₪</t>
  </si>
  <si>
    <t>מס' מרכבה: 10001129767</t>
  </si>
  <si>
    <t>החלטה מס' 2018-25-01</t>
  </si>
  <si>
    <t>החלטה מס' 2018-25-02</t>
  </si>
  <si>
    <t>החלטה מס' 2018-25-03</t>
  </si>
  <si>
    <t>החלטה מס' 2018-25-04</t>
  </si>
  <si>
    <t>תוספת מטבח במרכז קהילתי בית אברהם</t>
  </si>
  <si>
    <t>ענת סמסונוב</t>
  </si>
  <si>
    <t>החלטה מס' 2018-25-05</t>
  </si>
  <si>
    <t>הגדלת התקשרות - ליווי חשבונאי בבתי הספר</t>
  </si>
  <si>
    <t>חשבת אגף החינוך- דריה אלקינד</t>
  </si>
  <si>
    <t>ברזיק פתרונות ניהול בע"מ</t>
  </si>
  <si>
    <t>החלטה מס' 2018-25-06</t>
  </si>
  <si>
    <t xml:space="preserve">מדובר בהגדלת התקשרות לפי סעיף 3.21 בהמשך התקשרות מפרוטוקול  מיום 4.8.15. מדובר בעתירת בית משפט נגד מפעל בראון, על מנת להגיש תגובה לעתירה, נחוצה נוכחות של אבי מושל, יועץ שליווה את הנושא. </t>
  </si>
  <si>
    <t>מדובר בהגדלת התקשרות לפי סעיף 3.21  בהמשך להחלטה  2017-12-08  בה אושר תשלום שעתי ע"ס 163 שח כולל מע"מ לתקופה של 600 שעות שנתי עבור מנהלת חשבונות זמנית בחטיבת שרת, מבקשים להגדיל את ההתקשרות עד סוף השנה עד ליציאה לועדה התקשרות חדשה.</t>
  </si>
  <si>
    <t>בהמשך להחלטת ועדת התקשרויות 2018-20-04 בה נקבע כי ניתן להעלות לועדה פעם נוספת בעוד 3 חודשים לאחר דיוני התקציב 2019. מבקשים להעלות את ההצעה בשנית</t>
  </si>
  <si>
    <t>החלטה מס' 2018-25-07</t>
  </si>
  <si>
    <t>חוות דעת הנדסית לביסוס שומת מקרקעין במשולש כפר סבא</t>
  </si>
  <si>
    <t>אגף הכנסות- מנהל מחלקת היטלים- דניאל פומרנץ</t>
  </si>
  <si>
    <t>החלטה מס' 2018-25-08</t>
  </si>
  <si>
    <t>החלטה מס' 2018-25-09</t>
  </si>
  <si>
    <t>הגדלת התקשרות - הכנת תיקי מידע</t>
  </si>
  <si>
    <t>החלטה מס' 2018-25-10</t>
  </si>
  <si>
    <t>בהמשך להחלטת ועדת התקשרויות מיום 2018-14-07, מדובר בעדכון מדידה שבוצעה בעבר ע"י מר דוידובסקי (והכללת חלקה נוספת - 102,  בהתאם להחלטת הוועדה המחוזית). 
ולכן מבקשים הגדלת התקשרות לפי סעיף 3.21.</t>
  </si>
  <si>
    <t>החלטה מס' 2018-25-11</t>
  </si>
  <si>
    <t>הגדלת התקשרות - בודק תוכניות תב"ע</t>
  </si>
  <si>
    <t>30 שעות לתקופה של 12 חודשים</t>
  </si>
  <si>
    <t>בהמשך להחלטת ועדת התקשרויות 2018-08-14 אושרה התקשרות עם נגה ברג. אך בשל בעיות בהתקשרות הופסקה ההתקשרות ומבקשים להעלות את הנושא בשנית. גולדברג השוו את המחיר למחיר שניתן ע"י נגה ברג.</t>
  </si>
  <si>
    <t>מדובר בהגדלת התקשרות לפי סעיף 3.21  בהמשך להחלטה  2018-18-02  בה אושרה ההתקשרות עד לסיום הכנת המכרז. פורסם מכרז, הוגשה הצעה והיא תידון בוועדת המכרזים שתתקיים לאחר שמועצת העיר תמנה ועדת מכרזים. מבוקשת התקשרות לחודים 12/18-1/19.</t>
  </si>
  <si>
    <t>84 שעות לתקופה של חודשיים</t>
  </si>
  <si>
    <t>מדובר בהגדלת התקשרות לפי סעיף 3.21  בהמשך להחלטה 2018-13-01. הואיל ובודקת התוכניות האחרת, גב' שרה קסטן מחב' בר טכנולוגיות בע"מ תפסיק לעבוד ב- 30/12/18.</t>
  </si>
  <si>
    <t>החלטה מס' 2018-25-12</t>
  </si>
  <si>
    <t>הגדלת התקשרות - ייעוץ אדריכלי</t>
  </si>
  <si>
    <t>גושן אדריכלים</t>
  </si>
  <si>
    <t>50 שעות לתקופה של 12 חודשים</t>
  </si>
  <si>
    <t>מותנה תקציב תכנון 2019</t>
  </si>
  <si>
    <t xml:space="preserve">תב"ר תב"עות משביחות </t>
  </si>
  <si>
    <t>תכנון מותנה תקציב 2019</t>
  </si>
  <si>
    <t>תב"ר תב"ע דרומית ל-531</t>
  </si>
  <si>
    <t>בהמשך להחלטה מס' 2017-25-27 מבקשים הגדלת התקשרות לפי סעיף 3.21 לנוהל התקשרויות.</t>
  </si>
  <si>
    <t>משתתפים: איתי צחר - מנכ"ל העירייה, צבי אפרת- ס/גזבר, אילה זיו - נציגת היועמ"ש, רעות סימונס -מ"מ רכזת הוועדה, סגן מהנדס העיר - יוסי לנדאו</t>
  </si>
  <si>
    <t>כרגע לא מאושר. יש להעביר בקשה מחודשת הכוללת ניהול תכנון+ ביצוע  (הנ"ל לכל התקשרות מסוג זה), יש לשריין תקציבים אך ורק לשלב התכנון וכן להכניס סעיף בחוזה אשר מתנה את העבודה אך ורק לשלב התכנוני.</t>
  </si>
  <si>
    <t xml:space="preserve">כרגע לא מאושר. באחריות יוסי לבדוק את הנושא ולהעביר לחברי הועדה עלויות מדויקות וכן את תכולת הפרויקט. </t>
  </si>
  <si>
    <t>לא מאושר. על המבקש יש להגיע להצגת והבהרת הנושא בועדה הקרובה.</t>
  </si>
  <si>
    <t>כרגע לא מאושר. יש להעביר בסבב מיליים קורות חיים של המציעים השונים.</t>
  </si>
  <si>
    <t>אושרה ההצעה לפי סעיף 3.21 לנוהל התקשרויות לכפוף להעברת תנאי הסף של המכרז לחברי הועדה.</t>
  </si>
  <si>
    <r>
      <t>פרוטוקול התקשרויות מס' 2018-25</t>
    </r>
    <r>
      <rPr>
        <b/>
        <sz val="16"/>
        <color theme="1"/>
        <rFont val="Arial"/>
        <family val="2"/>
      </rPr>
      <t xml:space="preserve"> תאריך: 11/12/18</t>
    </r>
  </si>
  <si>
    <t>ארז רובינשטיין ניהול פרויקטים בע"מ</t>
  </si>
  <si>
    <t>תשתיות מידע וטכנולוגיות בע"מ</t>
  </si>
  <si>
    <t>אדם בקר אדריכלות ועיצוב פנים</t>
  </si>
  <si>
    <t>חזקיה אדריכלות פיננסית בע"מ</t>
  </si>
  <si>
    <t>מירון לוי אדריכלים</t>
  </si>
  <si>
    <t>שירי פרץ אדריכלות</t>
  </si>
  <si>
    <t>א. אפשטיין ובניו (1995) בע"מ</t>
  </si>
  <si>
    <t>אביב ניהול הנדסה ומערכות מידע בע"מ</t>
  </si>
  <si>
    <t>לודן תשתיות ובינוי (1993) בע"מ</t>
  </si>
  <si>
    <t>איתנים הנדסה ובטיחות</t>
  </si>
  <si>
    <t>י.שני מהנדסים הנדסת בניין בע"מ</t>
  </si>
  <si>
    <t>פורמן שי תכנון מבנים ויעוץ הנדסי</t>
  </si>
  <si>
    <t>שחר רוזנפלד אדריכלים</t>
  </si>
  <si>
    <t>בהמשך להחלטה מס' 2018-08-10 מבקשים הגדלת התקשרות לפי סעיף 3.21 לנוהל התקשרויות.</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</si>
</sst>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quot;\ * #,##0.00_ ;_ &quot;₪&quot;\ * \-#,##0.00_ ;_ &quot;₪&quot;\ * &quot;-&quot;??_ ;_ @_ "/>
    <numFmt numFmtId="164" formatCode="&quot;₪&quot;\ #,##0"/>
    <numFmt numFmtId="165" formatCode="&quot;₪&quot;\ #,##0.00"/>
    <numFmt numFmtId="166" formatCode="&quot;₪&quot;\ #,##0.0"/>
    <numFmt numFmtId="167" formatCode="#,##0.0"/>
  </numFmts>
  <fonts count="26" x14ac:knownFonts="1">
    <font>
      <sz val="11"/>
      <color theme="1"/>
      <name val="Arial"/>
      <family val="2"/>
      <charset val="177"/>
      <scheme val="minor"/>
    </font>
    <font>
      <sz val="11"/>
      <color rgb="FF006100"/>
      <name val="Arial"/>
      <family val="2"/>
      <charset val="177"/>
      <scheme val="minor"/>
    </font>
    <font>
      <b/>
      <sz val="16"/>
      <name val="Arial"/>
      <family val="2"/>
    </font>
    <font>
      <b/>
      <sz val="10"/>
      <name val="Arial"/>
      <family val="2"/>
    </font>
    <font>
      <b/>
      <sz val="12"/>
      <name val="Arial"/>
      <family val="2"/>
    </font>
    <font>
      <sz val="10"/>
      <name val="Arial"/>
      <family val="2"/>
    </font>
    <font>
      <sz val="10"/>
      <color theme="1"/>
      <name val="Arial"/>
      <family val="2"/>
      <scheme val="minor"/>
    </font>
    <font>
      <sz val="12"/>
      <name val="Arial"/>
      <family val="2"/>
      <scheme val="minor"/>
    </font>
    <font>
      <sz val="11"/>
      <color rgb="FF9C0006"/>
      <name val="Arial"/>
      <family val="2"/>
      <charset val="177"/>
      <scheme val="minor"/>
    </font>
    <font>
      <sz val="10"/>
      <name val="Arial"/>
      <family val="2"/>
      <charset val="177"/>
      <scheme val="minor"/>
    </font>
    <font>
      <b/>
      <sz val="10"/>
      <color rgb="FFFF0000"/>
      <name val="Arial"/>
      <family val="2"/>
    </font>
    <font>
      <sz val="10"/>
      <color rgb="FF9C0006"/>
      <name val="Arial"/>
      <family val="2"/>
      <charset val="177"/>
      <scheme val="minor"/>
    </font>
    <font>
      <sz val="11"/>
      <name val="Arial"/>
      <family val="2"/>
    </font>
    <font>
      <b/>
      <u/>
      <sz val="10"/>
      <name val="Arial"/>
      <family val="2"/>
    </font>
    <font>
      <sz val="10"/>
      <name val="Arial"/>
      <family val="2"/>
      <charset val="177"/>
    </font>
    <font>
      <b/>
      <sz val="10"/>
      <color theme="1"/>
      <name val="Arial"/>
      <family val="2"/>
      <scheme val="minor"/>
    </font>
    <font>
      <sz val="10"/>
      <color rgb="FFFF0000"/>
      <name val="Arial"/>
      <family val="2"/>
    </font>
    <font>
      <sz val="10"/>
      <color theme="1"/>
      <name val="Arial"/>
      <family val="2"/>
      <charset val="177"/>
      <scheme val="minor"/>
    </font>
    <font>
      <sz val="10"/>
      <color theme="1"/>
      <name val="Arial"/>
      <family val="2"/>
      <charset val="177"/>
    </font>
    <font>
      <sz val="9"/>
      <name val="Arial"/>
      <family val="2"/>
    </font>
    <font>
      <sz val="11"/>
      <color rgb="FF00B050"/>
      <name val="Arial"/>
      <family val="2"/>
      <charset val="177"/>
      <scheme val="minor"/>
    </font>
    <font>
      <sz val="11"/>
      <color rgb="FF008000"/>
      <name val="Arial"/>
      <family val="2"/>
      <charset val="177"/>
      <scheme val="minor"/>
    </font>
    <font>
      <sz val="11"/>
      <color theme="1"/>
      <name val="Arial"/>
      <family val="2"/>
      <charset val="177"/>
      <scheme val="minor"/>
    </font>
    <font>
      <b/>
      <sz val="16"/>
      <color theme="1"/>
      <name val="Arial"/>
      <family val="2"/>
    </font>
    <font>
      <sz val="8"/>
      <color rgb="FF9C0006"/>
      <name val="Arial"/>
      <family val="2"/>
      <charset val="177"/>
      <scheme val="minor"/>
    </font>
    <font>
      <sz val="9"/>
      <name val="Arial"/>
      <family val="2"/>
      <charset val="177"/>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rgb="FFFFC7CE"/>
      </patternFill>
    </fill>
    <fill>
      <patternFill patternType="solid">
        <fgColor theme="0"/>
        <bgColor indexed="64"/>
      </patternFill>
    </fill>
    <fill>
      <patternFill patternType="solid">
        <fgColor rgb="FFFF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8" fillId="6" borderId="0" applyNumberFormat="0" applyBorder="0" applyAlignment="0" applyProtection="0"/>
    <xf numFmtId="9" fontId="22" fillId="0" borderId="0" applyFont="0" applyFill="0" applyBorder="0" applyAlignment="0" applyProtection="0"/>
  </cellStyleXfs>
  <cellXfs count="360">
    <xf numFmtId="0" fontId="0" fillId="0" borderId="0" xfId="0"/>
    <xf numFmtId="0" fontId="4" fillId="0" borderId="1" xfId="0" applyFont="1" applyFill="1" applyBorder="1" applyAlignment="1">
      <alignment horizontal="center" vertical="center" readingOrder="2"/>
    </xf>
    <xf numFmtId="0" fontId="4" fillId="0" borderId="1" xfId="0" applyFont="1" applyBorder="1" applyAlignment="1">
      <alignment horizontal="center" vertical="center" readingOrder="2"/>
    </xf>
    <xf numFmtId="0" fontId="4" fillId="0" borderId="1" xfId="0" applyFont="1" applyBorder="1" applyAlignment="1">
      <alignment horizontal="center" vertical="center" wrapText="1" readingOrder="2"/>
    </xf>
    <xf numFmtId="164" fontId="4" fillId="0" borderId="1" xfId="0" applyNumberFormat="1" applyFont="1" applyBorder="1" applyAlignment="1">
      <alignment vertical="center" wrapText="1" readingOrder="2"/>
    </xf>
    <xf numFmtId="164" fontId="4" fillId="0" borderId="1" xfId="0" applyNumberFormat="1" applyFont="1" applyBorder="1" applyAlignment="1">
      <alignment horizontal="right" vertical="center" wrapText="1" readingOrder="2"/>
    </xf>
    <xf numFmtId="0" fontId="4" fillId="0" borderId="1" xfId="0" applyFont="1" applyFill="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0" fillId="0" borderId="0" xfId="0" applyFill="1"/>
    <xf numFmtId="0" fontId="0" fillId="0" borderId="0" xfId="0" applyAlignment="1">
      <alignment readingOrder="2"/>
    </xf>
    <xf numFmtId="164" fontId="0" fillId="0" borderId="0" xfId="0" applyNumberFormat="1" applyAlignment="1">
      <alignment readingOrder="2"/>
    </xf>
    <xf numFmtId="0" fontId="7" fillId="0" borderId="0" xfId="0" applyFont="1" applyAlignment="1">
      <alignment readingOrder="2"/>
    </xf>
    <xf numFmtId="0" fontId="7" fillId="0" borderId="0" xfId="0" applyFont="1" applyFill="1"/>
    <xf numFmtId="0" fontId="6" fillId="0" borderId="0" xfId="0" applyFont="1" applyAlignment="1">
      <alignment horizontal="center" vertical="center"/>
    </xf>
    <xf numFmtId="44" fontId="1" fillId="0" borderId="5" xfId="1" applyNumberFormat="1" applyFill="1" applyBorder="1" applyAlignment="1">
      <alignment horizontal="center" vertical="center" wrapText="1"/>
    </xf>
    <xf numFmtId="0" fontId="6"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5" borderId="1" xfId="0" applyFont="1" applyFill="1" applyBorder="1" applyAlignment="1">
      <alignment horizontal="center" vertical="center" wrapText="1" readingOrder="2"/>
    </xf>
    <xf numFmtId="3" fontId="5" fillId="5" borderId="1" xfId="0" applyNumberFormat="1" applyFont="1" applyFill="1" applyBorder="1" applyAlignment="1">
      <alignment horizontal="center" vertical="center" wrapText="1" readingOrder="2"/>
    </xf>
    <xf numFmtId="165" fontId="5" fillId="5" borderId="1" xfId="0" applyNumberFormat="1" applyFont="1" applyFill="1" applyBorder="1" applyAlignment="1">
      <alignment horizontal="center" vertical="center" wrapText="1" readingOrder="2"/>
    </xf>
    <xf numFmtId="3" fontId="5" fillId="0" borderId="1" xfId="0" applyNumberFormat="1" applyFont="1" applyFill="1" applyBorder="1" applyAlignment="1">
      <alignment horizontal="center" vertical="center" wrapText="1" readingOrder="2"/>
    </xf>
    <xf numFmtId="165" fontId="5" fillId="0" borderId="1" xfId="0"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10" fontId="5" fillId="0" borderId="1" xfId="0" applyNumberFormat="1"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10" fontId="5" fillId="5" borderId="1" xfId="0" applyNumberFormat="1"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166" fontId="5" fillId="5" borderId="1" xfId="0"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9" fillId="5" borderId="1" xfId="2" applyFont="1" applyFill="1" applyBorder="1" applyAlignment="1">
      <alignment horizontal="center" vertical="center" wrapText="1" readingOrder="2"/>
    </xf>
    <xf numFmtId="3" fontId="9" fillId="5" borderId="1" xfId="2" applyNumberFormat="1" applyFont="1" applyFill="1" applyBorder="1" applyAlignment="1">
      <alignment horizontal="center" vertical="center" wrapText="1" readingOrder="2"/>
    </xf>
    <xf numFmtId="165" fontId="9" fillId="5" borderId="1" xfId="2" applyNumberFormat="1" applyFont="1" applyFill="1" applyBorder="1" applyAlignment="1">
      <alignment horizontal="center" vertical="center" wrapText="1" readingOrder="2"/>
    </xf>
    <xf numFmtId="0" fontId="8" fillId="6" borderId="1" xfId="2" applyBorder="1" applyAlignment="1">
      <alignment horizontal="center" vertical="center" wrapText="1" readingOrder="2"/>
    </xf>
    <xf numFmtId="3" fontId="8" fillId="6" borderId="1" xfId="2" applyNumberFormat="1" applyBorder="1" applyAlignment="1">
      <alignment horizontal="center" vertical="center" wrapText="1" readingOrder="2"/>
    </xf>
    <xf numFmtId="165" fontId="8" fillId="6" borderId="1" xfId="2" applyNumberFormat="1" applyBorder="1" applyAlignment="1">
      <alignment horizontal="center" vertical="center" wrapText="1" readingOrder="2"/>
    </xf>
    <xf numFmtId="10" fontId="8" fillId="6" borderId="1" xfId="2" applyNumberFormat="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10" fillId="0" borderId="1" xfId="0" applyFont="1" applyFill="1" applyBorder="1" applyAlignment="1">
      <alignment horizontal="center" vertical="center" wrapText="1" readingOrder="2"/>
    </xf>
    <xf numFmtId="0" fontId="11" fillId="6" borderId="1" xfId="2" applyFont="1" applyBorder="1" applyAlignment="1">
      <alignment horizontal="center" vertical="center" wrapText="1" readingOrder="2"/>
    </xf>
    <xf numFmtId="3" fontId="11" fillId="6" borderId="1" xfId="2" applyNumberFormat="1" applyFont="1" applyBorder="1" applyAlignment="1">
      <alignment horizontal="center" vertical="center" wrapText="1" readingOrder="2"/>
    </xf>
    <xf numFmtId="165" fontId="11" fillId="6" borderId="1" xfId="2" applyNumberFormat="1" applyFont="1" applyBorder="1" applyAlignment="1">
      <alignment horizontal="center" vertical="center" wrapText="1" readingOrder="2"/>
    </xf>
    <xf numFmtId="0" fontId="10" fillId="5" borderId="1"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49" fontId="5" fillId="0" borderId="1" xfId="0" applyNumberFormat="1" applyFont="1" applyFill="1" applyBorder="1" applyAlignment="1">
      <alignment horizontal="center" vertical="center" wrapText="1" readingOrder="2"/>
    </xf>
    <xf numFmtId="49" fontId="5" fillId="5" borderId="1" xfId="0" applyNumberFormat="1"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4"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5"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9" fontId="5" fillId="0" borderId="1" xfId="0"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4"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5" fillId="0" borderId="1" xfId="0" applyNumberFormat="1" applyFont="1" applyFill="1" applyBorder="1" applyAlignment="1">
      <alignment horizontal="center" vertical="center" wrapText="1" readingOrder="2"/>
    </xf>
    <xf numFmtId="0" fontId="5" fillId="0" borderId="5" xfId="0" applyFont="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1" fillId="0" borderId="1" xfId="1" applyFill="1" applyBorder="1" applyAlignment="1">
      <alignment horizontal="center" vertical="center" wrapText="1"/>
    </xf>
    <xf numFmtId="0" fontId="5" fillId="5" borderId="1" xfId="0" applyNumberFormat="1" applyFont="1" applyFill="1" applyBorder="1" applyAlignment="1">
      <alignment horizontal="center" vertical="center" wrapText="1" readingOrder="2"/>
    </xf>
    <xf numFmtId="164" fontId="5" fillId="5" borderId="1" xfId="0" applyNumberFormat="1" applyFont="1" applyFill="1" applyBorder="1" applyAlignment="1">
      <alignment horizontal="center" vertical="center" wrapText="1" readingOrder="2"/>
    </xf>
    <xf numFmtId="0" fontId="14" fillId="0" borderId="1" xfId="0" applyFont="1" applyFill="1" applyBorder="1" applyAlignment="1">
      <alignment horizontal="center" vertical="center" wrapText="1" readingOrder="2"/>
    </xf>
    <xf numFmtId="3" fontId="14" fillId="0" borderId="1" xfId="0" applyNumberFormat="1" applyFont="1" applyFill="1" applyBorder="1" applyAlignment="1">
      <alignment horizontal="center" vertical="center" wrapText="1" readingOrder="2"/>
    </xf>
    <xf numFmtId="165" fontId="14" fillId="0" borderId="1" xfId="0" applyNumberFormat="1"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4" fillId="0" borderId="1" xfId="0" applyFont="1" applyFill="1" applyBorder="1" applyAlignment="1">
      <alignment horizontal="center" vertical="center"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164" fontId="5" fillId="0" borderId="1" xfId="0" applyNumberFormat="1" applyFont="1" applyFill="1" applyBorder="1" applyAlignment="1">
      <alignment horizontal="center" vertical="center" wrapText="1" readingOrder="2"/>
    </xf>
    <xf numFmtId="0" fontId="16" fillId="0" borderId="1"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5" fillId="0" borderId="6" xfId="0" applyFont="1" applyFill="1" applyBorder="1" applyAlignment="1">
      <alignment horizontal="center" vertical="center" wrapText="1" readingOrder="2"/>
    </xf>
    <xf numFmtId="0" fontId="4" fillId="0" borderId="6" xfId="0" applyFont="1" applyFill="1" applyBorder="1" applyAlignment="1">
      <alignment horizontal="center" vertical="center" wrapText="1" readingOrder="2"/>
    </xf>
    <xf numFmtId="44" fontId="1" fillId="0" borderId="6" xfId="1" applyNumberFormat="1" applyFill="1" applyBorder="1" applyAlignment="1">
      <alignment horizontal="center" vertical="center" wrapText="1"/>
    </xf>
    <xf numFmtId="0" fontId="6" fillId="0" borderId="6" xfId="0" applyFont="1" applyFill="1" applyBorder="1" applyAlignment="1">
      <alignment horizontal="center" vertical="center" wrapText="1" readingOrder="2"/>
    </xf>
    <xf numFmtId="4" fontId="5" fillId="0" borderId="1" xfId="0" applyNumberFormat="1" applyFont="1" applyFill="1" applyBorder="1" applyAlignment="1">
      <alignment horizontal="center" vertical="center" wrapText="1" readingOrder="2"/>
    </xf>
    <xf numFmtId="0" fontId="5" fillId="0" borderId="6" xfId="0" applyFont="1" applyFill="1" applyBorder="1" applyAlignment="1">
      <alignment horizontal="center" vertical="center" wrapText="1" readingOrder="2"/>
    </xf>
    <xf numFmtId="0" fontId="4" fillId="0" borderId="6" xfId="0" applyFont="1" applyFill="1" applyBorder="1" applyAlignment="1">
      <alignment horizontal="center" vertical="center" wrapText="1" readingOrder="2"/>
    </xf>
    <xf numFmtId="44" fontId="1" fillId="0" borderId="6" xfId="1" applyNumberFormat="1" applyFill="1" applyBorder="1" applyAlignment="1">
      <alignment horizontal="center" vertical="center" wrapText="1"/>
    </xf>
    <xf numFmtId="0" fontId="6" fillId="0" borderId="6" xfId="0" applyFont="1" applyFill="1" applyBorder="1" applyAlignment="1">
      <alignment horizontal="center" vertical="center" wrapText="1" readingOrder="2"/>
    </xf>
    <xf numFmtId="4" fontId="11" fillId="6" borderId="1" xfId="2" applyNumberFormat="1" applyFont="1" applyBorder="1" applyAlignment="1">
      <alignment horizontal="center" vertical="center" wrapText="1" readingOrder="2"/>
    </xf>
    <xf numFmtId="4" fontId="5" fillId="5" borderId="1" xfId="0" applyNumberFormat="1" applyFont="1" applyFill="1" applyBorder="1" applyAlignment="1">
      <alignment horizontal="center" vertical="center" wrapText="1" readingOrder="2"/>
    </xf>
    <xf numFmtId="3" fontId="17" fillId="0" borderId="1" xfId="2" applyNumberFormat="1" applyFont="1" applyFill="1" applyBorder="1" applyAlignment="1">
      <alignment horizontal="center" vertical="center" wrapText="1" readingOrder="2"/>
    </xf>
    <xf numFmtId="165" fontId="17" fillId="0" borderId="1" xfId="2" applyNumberFormat="1" applyFont="1" applyFill="1" applyBorder="1" applyAlignment="1">
      <alignment horizontal="center" vertical="center" wrapText="1" readingOrder="2"/>
    </xf>
    <xf numFmtId="0" fontId="18" fillId="0" borderId="1" xfId="0" applyFont="1" applyFill="1" applyBorder="1" applyAlignment="1">
      <alignment horizontal="center" vertical="center" wrapText="1" readingOrder="2"/>
    </xf>
    <xf numFmtId="165" fontId="17" fillId="5" borderId="1" xfId="2" applyNumberFormat="1" applyFont="1" applyFill="1" applyBorder="1" applyAlignment="1">
      <alignment horizontal="center" vertical="center" wrapText="1" readingOrder="2"/>
    </xf>
    <xf numFmtId="0" fontId="17" fillId="5" borderId="1" xfId="2" applyFont="1" applyFill="1" applyBorder="1" applyAlignment="1">
      <alignment horizontal="center" vertical="center" wrapText="1" readingOrder="2"/>
    </xf>
    <xf numFmtId="3" fontId="17" fillId="5" borderId="1" xfId="2" applyNumberFormat="1" applyFont="1" applyFill="1" applyBorder="1" applyAlignment="1">
      <alignment horizontal="center" vertical="center" wrapText="1" readingOrder="2"/>
    </xf>
    <xf numFmtId="0" fontId="17" fillId="0" borderId="1" xfId="2" applyFont="1" applyFill="1" applyBorder="1" applyAlignment="1">
      <alignment horizontal="center" vertical="center" wrapText="1" readingOrder="2"/>
    </xf>
    <xf numFmtId="4" fontId="17" fillId="0" borderId="1" xfId="2"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19" fillId="0" borderId="1" xfId="0" applyFont="1" applyFill="1" applyBorder="1" applyAlignment="1">
      <alignment horizontal="center" vertical="center" wrapText="1" readingOrder="2"/>
    </xf>
    <xf numFmtId="49" fontId="5" fillId="5" borderId="1" xfId="0" applyNumberFormat="1" applyFont="1" applyFill="1" applyBorder="1" applyAlignment="1">
      <alignment horizontal="right" vertical="center" wrapText="1" readingOrder="2"/>
    </xf>
    <xf numFmtId="0" fontId="19" fillId="5" borderId="1" xfId="0" applyFont="1" applyFill="1" applyBorder="1" applyAlignment="1">
      <alignment horizontal="center" vertical="center" wrapText="1" readingOrder="2"/>
    </xf>
    <xf numFmtId="0" fontId="17" fillId="5" borderId="1" xfId="1" applyFont="1" applyFill="1" applyBorder="1" applyAlignment="1">
      <alignment horizontal="center" vertical="center" wrapText="1" readingOrder="2"/>
    </xf>
    <xf numFmtId="3" fontId="17" fillId="5" borderId="1" xfId="1" applyNumberFormat="1" applyFont="1" applyFill="1" applyBorder="1" applyAlignment="1">
      <alignment horizontal="center" vertical="center" wrapText="1" readingOrder="2"/>
    </xf>
    <xf numFmtId="165" fontId="17" fillId="5" borderId="1" xfId="1" applyNumberFormat="1" applyFont="1" applyFill="1" applyBorder="1" applyAlignment="1">
      <alignment horizontal="center" vertical="center" wrapText="1" readingOrder="2"/>
    </xf>
    <xf numFmtId="4" fontId="17" fillId="5" borderId="1" xfId="1" applyNumberFormat="1" applyFont="1" applyFill="1" applyBorder="1" applyAlignment="1">
      <alignment horizontal="center" vertical="center" wrapText="1" readingOrder="2"/>
    </xf>
    <xf numFmtId="3" fontId="18" fillId="0" borderId="1" xfId="0" applyNumberFormat="1" applyFont="1" applyFill="1" applyBorder="1" applyAlignment="1">
      <alignment horizontal="center" vertical="center" wrapText="1" readingOrder="2"/>
    </xf>
    <xf numFmtId="165" fontId="18" fillId="0" borderId="1" xfId="0" applyNumberFormat="1" applyFont="1" applyFill="1" applyBorder="1" applyAlignment="1">
      <alignment horizontal="center" vertical="center" wrapText="1" readingOrder="2"/>
    </xf>
    <xf numFmtId="4" fontId="18" fillId="0" borderId="1" xfId="0"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6" fillId="0" borderId="5"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0" fontId="0" fillId="0" borderId="0" xfId="0"/>
    <xf numFmtId="0" fontId="5" fillId="7" borderId="1" xfId="0" applyFont="1" applyFill="1" applyBorder="1" applyAlignment="1">
      <alignment horizontal="center" vertical="center" wrapText="1" readingOrder="2"/>
    </xf>
    <xf numFmtId="3" fontId="5" fillId="7" borderId="1" xfId="0" applyNumberFormat="1" applyFont="1" applyFill="1" applyBorder="1" applyAlignment="1">
      <alignment horizontal="center" vertical="center" wrapText="1" readingOrder="2"/>
    </xf>
    <xf numFmtId="166" fontId="5" fillId="7" borderId="1" xfId="0" applyNumberFormat="1" applyFont="1" applyFill="1" applyBorder="1" applyAlignment="1">
      <alignment horizontal="center" vertical="center" wrapText="1" readingOrder="2"/>
    </xf>
    <xf numFmtId="0" fontId="5" fillId="0" borderId="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5" fillId="5" borderId="1" xfId="0" applyFont="1" applyFill="1" applyBorder="1" applyAlignment="1">
      <alignment horizontal="center" vertical="center" wrapText="1"/>
    </xf>
    <xf numFmtId="44" fontId="1" fillId="0" borderId="5" xfId="1" applyNumberFormat="1" applyFill="1" applyBorder="1" applyAlignment="1">
      <alignment horizontal="center" vertical="center" wrapText="1"/>
    </xf>
    <xf numFmtId="0" fontId="0" fillId="0" borderId="0" xfId="0" applyFont="1"/>
    <xf numFmtId="0" fontId="4" fillId="0" borderId="1" xfId="0" applyFont="1" applyFill="1" applyBorder="1" applyAlignment="1">
      <alignment horizontal="center" vertical="center" readingOrder="2"/>
    </xf>
    <xf numFmtId="0" fontId="0" fillId="0" borderId="0" xfId="0"/>
    <xf numFmtId="0" fontId="4"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21" fillId="0" borderId="0" xfId="0" applyFont="1" applyAlignment="1">
      <alignment horizontal="center" vertical="center"/>
    </xf>
    <xf numFmtId="0" fontId="6"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0" fillId="0" borderId="0" xfId="0"/>
    <xf numFmtId="44" fontId="1" fillId="0" borderId="5" xfId="1" applyNumberFormat="1" applyFill="1" applyBorder="1" applyAlignment="1">
      <alignment horizontal="center" vertical="center" wrapText="1"/>
    </xf>
    <xf numFmtId="0" fontId="19" fillId="0" borderId="5" xfId="0" applyFont="1" applyFill="1" applyBorder="1" applyAlignment="1">
      <alignment horizontal="center" vertical="center" wrapText="1" readingOrder="2"/>
    </xf>
    <xf numFmtId="167" fontId="5" fillId="0" borderId="1" xfId="0" applyNumberFormat="1" applyFont="1" applyFill="1" applyBorder="1" applyAlignment="1">
      <alignment horizontal="center" vertical="center" wrapText="1" readingOrder="2"/>
    </xf>
    <xf numFmtId="1" fontId="5" fillId="0" borderId="1" xfId="0"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5" fillId="8" borderId="1" xfId="0" applyFont="1" applyFill="1" applyBorder="1" applyAlignment="1">
      <alignment horizontal="center" vertical="center" wrapText="1" readingOrder="2"/>
    </xf>
    <xf numFmtId="3" fontId="5" fillId="8" borderId="1" xfId="0" applyNumberFormat="1" applyFont="1" applyFill="1" applyBorder="1" applyAlignment="1">
      <alignment horizontal="center" vertical="center" wrapText="1" readingOrder="2"/>
    </xf>
    <xf numFmtId="165" fontId="5" fillId="8" borderId="1" xfId="0" applyNumberFormat="1" applyFont="1" applyFill="1" applyBorder="1" applyAlignment="1">
      <alignment horizontal="center" vertical="center" wrapText="1" readingOrder="2"/>
    </xf>
    <xf numFmtId="1" fontId="5" fillId="8" borderId="1" xfId="0" applyNumberFormat="1" applyFont="1" applyFill="1" applyBorder="1" applyAlignment="1">
      <alignment horizontal="center" vertical="center" wrapText="1" readingOrder="2"/>
    </xf>
    <xf numFmtId="10" fontId="5" fillId="8" borderId="1" xfId="0" applyNumberFormat="1"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21" fillId="0" borderId="0" xfId="0" applyFont="1" applyAlignment="1">
      <alignment horizontal="center" vertical="center"/>
    </xf>
    <xf numFmtId="0" fontId="0" fillId="0" borderId="0" xfId="0"/>
    <xf numFmtId="0" fontId="4" fillId="0" borderId="1" xfId="0" applyFont="1" applyFill="1" applyBorder="1" applyAlignment="1">
      <alignment horizontal="center" vertical="center" readingOrder="2"/>
    </xf>
    <xf numFmtId="44" fontId="1" fillId="0" borderId="5" xfId="1" applyNumberFormat="1" applyFill="1" applyBorder="1" applyAlignment="1">
      <alignment horizontal="center" vertical="center" wrapText="1"/>
    </xf>
    <xf numFmtId="0" fontId="4" fillId="0" borderId="0" xfId="0" applyFont="1" applyFill="1"/>
    <xf numFmtId="165" fontId="16" fillId="8" borderId="1" xfId="0" applyNumberFormat="1" applyFont="1" applyFill="1" applyBorder="1" applyAlignment="1">
      <alignment horizontal="center" vertical="center" wrapText="1" readingOrder="2"/>
    </xf>
    <xf numFmtId="165" fontId="16" fillId="0" borderId="1" xfId="0" applyNumberFormat="1"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0" fillId="0" borderId="0" xfId="0"/>
    <xf numFmtId="0" fontId="4" fillId="0" borderId="1" xfId="0" applyFont="1" applyFill="1" applyBorder="1" applyAlignment="1">
      <alignment horizontal="center" vertical="center" readingOrder="2"/>
    </xf>
    <xf numFmtId="0" fontId="0" fillId="0" borderId="0" xfId="0"/>
    <xf numFmtId="165" fontId="19" fillId="7" borderId="1" xfId="0" applyNumberFormat="1" applyFont="1" applyFill="1" applyBorder="1" applyAlignment="1">
      <alignment horizontal="center" vertical="center" wrapText="1" readingOrder="2"/>
    </xf>
    <xf numFmtId="165" fontId="5" fillId="7" borderId="1" xfId="0"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0" fillId="0" borderId="0" xfId="0"/>
    <xf numFmtId="0" fontId="4" fillId="0" borderId="1" xfId="0" applyFont="1" applyFill="1" applyBorder="1" applyAlignment="1">
      <alignment horizontal="center" vertical="center" readingOrder="2"/>
    </xf>
    <xf numFmtId="44" fontId="1" fillId="0" borderId="5" xfId="1" applyNumberFormat="1" applyFill="1" applyBorder="1" applyAlignment="1">
      <alignment horizontal="center" vertical="center" wrapText="1"/>
    </xf>
    <xf numFmtId="0" fontId="0" fillId="0" borderId="0" xfId="0"/>
    <xf numFmtId="0" fontId="21" fillId="0" borderId="0" xfId="0" applyFont="1" applyAlignment="1">
      <alignment horizontal="center" vertical="center"/>
    </xf>
    <xf numFmtId="0" fontId="5"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0" fillId="0" borderId="0" xfId="0"/>
    <xf numFmtId="0" fontId="4" fillId="0" borderId="1" xfId="0" applyFont="1" applyFill="1" applyBorder="1" applyAlignment="1">
      <alignment horizontal="center" vertical="center" readingOrder="2"/>
    </xf>
    <xf numFmtId="44" fontId="1" fillId="0" borderId="5" xfId="1" applyNumberFormat="1" applyFill="1" applyBorder="1" applyAlignment="1">
      <alignment horizontal="center" vertical="center" wrapText="1"/>
    </xf>
    <xf numFmtId="10" fontId="5" fillId="5" borderId="1" xfId="3"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0" fillId="0" borderId="0" xfId="0"/>
    <xf numFmtId="0" fontId="9" fillId="0" borderId="1" xfId="2" applyFont="1" applyFill="1" applyBorder="1" applyAlignment="1">
      <alignment horizontal="center" vertical="center" wrapText="1" readingOrder="2"/>
    </xf>
    <xf numFmtId="3" fontId="9" fillId="0" borderId="1" xfId="2" applyNumberFormat="1" applyFont="1" applyFill="1" applyBorder="1" applyAlignment="1">
      <alignment horizontal="center" vertical="center" wrapText="1" readingOrder="2"/>
    </xf>
    <xf numFmtId="165" fontId="9" fillId="0" borderId="1" xfId="2" applyNumberFormat="1" applyFont="1" applyFill="1" applyBorder="1" applyAlignment="1">
      <alignment horizontal="center" vertical="center" wrapText="1" readingOrder="2"/>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0" fillId="0" borderId="0" xfId="0"/>
    <xf numFmtId="44" fontId="1" fillId="0" borderId="5" xfId="1" applyNumberFormat="1" applyFill="1" applyBorder="1" applyAlignment="1">
      <alignment horizontal="center" vertical="center" wrapText="1"/>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0" fontId="0" fillId="0" borderId="0" xfId="0"/>
    <xf numFmtId="44" fontId="1" fillId="0" borderId="5" xfId="1" applyNumberFormat="1" applyFill="1" applyBorder="1" applyAlignment="1">
      <alignment horizontal="center" vertical="center" wrapText="1"/>
    </xf>
    <xf numFmtId="0" fontId="5" fillId="0" borderId="5"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6" fillId="0" borderId="5" xfId="0" applyFont="1" applyFill="1" applyBorder="1" applyAlignment="1">
      <alignment horizontal="center" vertical="center" wrapText="1" readingOrder="2"/>
    </xf>
    <xf numFmtId="44" fontId="1" fillId="0" borderId="5" xfId="1" applyNumberFormat="1" applyFill="1" applyBorder="1" applyAlignment="1">
      <alignment horizontal="center" vertical="center" wrapText="1"/>
    </xf>
    <xf numFmtId="0" fontId="4" fillId="0" borderId="5" xfId="0" applyFont="1" applyFill="1" applyBorder="1" applyAlignment="1">
      <alignment horizontal="center" vertical="center" wrapText="1" readingOrder="2"/>
    </xf>
    <xf numFmtId="0" fontId="24" fillId="6" borderId="1" xfId="2" applyFont="1" applyBorder="1" applyAlignment="1">
      <alignment horizontal="center" vertical="center" wrapText="1" readingOrder="2"/>
    </xf>
    <xf numFmtId="0" fontId="25" fillId="0" borderId="1" xfId="2" applyFont="1" applyFill="1" applyBorder="1" applyAlignment="1">
      <alignment horizontal="center" vertical="center" wrapText="1" readingOrder="2"/>
    </xf>
    <xf numFmtId="49" fontId="4" fillId="4" borderId="2" xfId="0" applyNumberFormat="1" applyFont="1" applyFill="1" applyBorder="1" applyAlignment="1">
      <alignment horizontal="center" vertical="center" readingOrder="2"/>
    </xf>
    <xf numFmtId="49" fontId="4" fillId="4" borderId="3" xfId="0" applyNumberFormat="1" applyFont="1" applyFill="1" applyBorder="1" applyAlignment="1">
      <alignment horizontal="center" vertical="center" readingOrder="2"/>
    </xf>
    <xf numFmtId="49" fontId="4" fillId="4" borderId="4" xfId="0" applyNumberFormat="1" applyFont="1" applyFill="1" applyBorder="1" applyAlignment="1">
      <alignment horizontal="center" vertical="center" readingOrder="2"/>
    </xf>
    <xf numFmtId="0" fontId="4" fillId="0" borderId="5" xfId="0" applyFont="1" applyFill="1" applyBorder="1" applyAlignment="1">
      <alignment horizontal="center" vertical="center" readingOrder="2"/>
    </xf>
    <xf numFmtId="0" fontId="4" fillId="0" borderId="7" xfId="0" applyFont="1" applyFill="1" applyBorder="1" applyAlignment="1">
      <alignment horizontal="center" vertical="center" readingOrder="2"/>
    </xf>
    <xf numFmtId="0" fontId="3" fillId="0" borderId="2" xfId="0" applyFont="1" applyFill="1" applyBorder="1" applyAlignment="1">
      <alignment horizontal="right" vertical="center" wrapText="1" readingOrder="2"/>
    </xf>
    <xf numFmtId="0" fontId="3" fillId="0" borderId="3" xfId="0" applyFont="1" applyFill="1" applyBorder="1" applyAlignment="1">
      <alignment horizontal="right" vertical="center" wrapText="1" readingOrder="2"/>
    </xf>
    <xf numFmtId="0" fontId="3" fillId="0" borderId="4" xfId="0" applyFont="1" applyFill="1" applyBorder="1" applyAlignment="1">
      <alignment horizontal="right" vertical="center" wrapText="1" readingOrder="2"/>
    </xf>
    <xf numFmtId="0" fontId="4" fillId="0" borderId="6" xfId="0" applyFont="1" applyFill="1" applyBorder="1" applyAlignment="1">
      <alignment horizontal="center" vertical="center" readingOrder="2"/>
    </xf>
    <xf numFmtId="0" fontId="5" fillId="0" borderId="5" xfId="0" applyFont="1" applyFill="1" applyBorder="1" applyAlignment="1">
      <alignment horizontal="center" vertical="center" wrapText="1" readingOrder="2"/>
    </xf>
    <xf numFmtId="0" fontId="5" fillId="0" borderId="6" xfId="0"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4" fillId="0" borderId="6" xfId="0" applyFont="1" applyFill="1" applyBorder="1" applyAlignment="1">
      <alignment horizontal="center" vertical="center" wrapText="1" readingOrder="2"/>
    </xf>
    <xf numFmtId="0" fontId="21" fillId="0" borderId="0" xfId="0" applyFont="1" applyAlignment="1">
      <alignment horizontal="center" vertical="center"/>
    </xf>
    <xf numFmtId="0" fontId="6" fillId="0" borderId="5" xfId="0" applyFont="1" applyFill="1" applyBorder="1" applyAlignment="1">
      <alignment horizontal="center" vertical="center" wrapText="1" readingOrder="2"/>
    </xf>
    <xf numFmtId="0" fontId="6" fillId="0" borderId="6" xfId="0" applyFont="1" applyFill="1" applyBorder="1" applyAlignment="1">
      <alignment horizontal="center" vertical="center" wrapText="1" readingOrder="2"/>
    </xf>
    <xf numFmtId="0" fontId="0" fillId="0" borderId="1" xfId="0" applyBorder="1" applyAlignment="1">
      <alignment horizontal="center" readingOrder="2"/>
    </xf>
    <xf numFmtId="0" fontId="2" fillId="3" borderId="1" xfId="0" applyFont="1" applyFill="1" applyBorder="1" applyAlignment="1">
      <alignment horizontal="center" vertical="center" readingOrder="2"/>
    </xf>
    <xf numFmtId="0" fontId="3" fillId="3" borderId="1" xfId="0" applyFont="1" applyFill="1" applyBorder="1" applyAlignment="1">
      <alignment horizontal="right" vertical="center" wrapText="1" readingOrder="2"/>
    </xf>
    <xf numFmtId="0" fontId="4" fillId="0" borderId="1" xfId="0" applyFont="1" applyFill="1" applyBorder="1" applyAlignment="1">
      <alignment horizontal="right" vertical="center" readingOrder="2"/>
    </xf>
    <xf numFmtId="0" fontId="3" fillId="0" borderId="1" xfId="0" applyFont="1" applyFill="1" applyBorder="1" applyAlignment="1">
      <alignment horizontal="right" vertical="center" readingOrder="2"/>
    </xf>
    <xf numFmtId="44" fontId="1" fillId="0" borderId="5" xfId="1" applyNumberFormat="1" applyFill="1" applyBorder="1" applyAlignment="1">
      <alignment horizontal="center" vertical="center" wrapText="1"/>
    </xf>
    <xf numFmtId="44" fontId="1" fillId="0" borderId="6" xfId="1" applyNumberFormat="1" applyFill="1" applyBorder="1" applyAlignment="1">
      <alignment horizontal="center" vertical="center" wrapText="1"/>
    </xf>
    <xf numFmtId="0" fontId="19" fillId="0" borderId="5" xfId="0" applyFont="1" applyFill="1" applyBorder="1" applyAlignment="1">
      <alignment horizontal="center" vertical="center" wrapText="1" readingOrder="2"/>
    </xf>
    <xf numFmtId="0" fontId="19" fillId="0" borderId="6" xfId="0" applyFont="1" applyFill="1" applyBorder="1" applyAlignment="1">
      <alignment horizontal="center" vertical="center" wrapText="1" readingOrder="2"/>
    </xf>
    <xf numFmtId="0" fontId="4" fillId="0" borderId="7" xfId="0" applyFont="1" applyFill="1" applyBorder="1" applyAlignment="1">
      <alignment horizontal="center" vertical="center" wrapText="1" readingOrder="2"/>
    </xf>
    <xf numFmtId="0" fontId="3" fillId="0" borderId="5" xfId="0" applyFont="1" applyFill="1" applyBorder="1" applyAlignment="1">
      <alignment horizontal="center" vertical="center" wrapText="1" readingOrder="2"/>
    </xf>
    <xf numFmtId="0" fontId="3" fillId="0" borderId="6" xfId="0" applyFont="1" applyFill="1" applyBorder="1" applyAlignment="1">
      <alignment horizontal="center" vertical="center" wrapText="1" readingOrder="2"/>
    </xf>
    <xf numFmtId="0" fontId="3" fillId="0" borderId="7" xfId="0" applyFont="1" applyFill="1" applyBorder="1" applyAlignment="1">
      <alignment horizontal="center" vertical="center" wrapText="1" readingOrder="2"/>
    </xf>
    <xf numFmtId="0" fontId="6" fillId="0" borderId="7" xfId="0" applyFont="1" applyFill="1" applyBorder="1" applyAlignment="1">
      <alignment horizontal="center" vertical="center" wrapText="1" readingOrder="2"/>
    </xf>
    <xf numFmtId="0" fontId="5" fillId="0" borderId="7" xfId="0" applyFont="1" applyFill="1" applyBorder="1" applyAlignment="1">
      <alignment horizontal="center" vertical="center" wrapText="1" readingOrder="2"/>
    </xf>
    <xf numFmtId="0" fontId="0" fillId="0" borderId="0" xfId="0"/>
    <xf numFmtId="0" fontId="4" fillId="0" borderId="1" xfId="0" applyFont="1" applyFill="1" applyBorder="1" applyAlignment="1">
      <alignment horizontal="center" vertical="center" readingOrder="2"/>
    </xf>
    <xf numFmtId="0" fontId="5" fillId="7" borderId="1" xfId="0" applyFont="1" applyFill="1" applyBorder="1" applyAlignment="1">
      <alignment horizontal="center" vertical="center" wrapText="1" readingOrder="2"/>
    </xf>
    <xf numFmtId="44" fontId="1" fillId="0" borderId="7" xfId="1" applyNumberFormat="1" applyFill="1" applyBorder="1" applyAlignment="1">
      <alignment horizontal="center" vertical="center" wrapText="1"/>
    </xf>
    <xf numFmtId="0" fontId="6" fillId="0" borderId="1" xfId="0" applyFont="1" applyFill="1" applyBorder="1" applyAlignment="1">
      <alignment horizontal="center" vertical="center" wrapText="1" readingOrder="2"/>
    </xf>
    <xf numFmtId="0" fontId="3" fillId="0" borderId="1" xfId="0" applyFont="1" applyFill="1" applyBorder="1" applyAlignment="1">
      <alignment horizontal="right" vertical="center" wrapText="1" readingOrder="2"/>
    </xf>
    <xf numFmtId="44" fontId="20" fillId="0" borderId="6" xfId="2" applyNumberFormat="1" applyFont="1" applyFill="1" applyBorder="1" applyAlignment="1">
      <alignment horizontal="center" vertical="center" wrapText="1"/>
    </xf>
    <xf numFmtId="165" fontId="18" fillId="0" borderId="5" xfId="0" applyNumberFormat="1" applyFont="1" applyFill="1" applyBorder="1" applyAlignment="1">
      <alignment horizontal="center" vertical="center" wrapText="1" readingOrder="2"/>
    </xf>
    <xf numFmtId="165" fontId="18" fillId="0" borderId="6" xfId="0" applyNumberFormat="1" applyFont="1" applyFill="1" applyBorder="1" applyAlignment="1">
      <alignment horizontal="center" vertical="center" wrapText="1" readingOrder="2"/>
    </xf>
    <xf numFmtId="165" fontId="18" fillId="0" borderId="7" xfId="0" applyNumberFormat="1" applyFont="1" applyFill="1" applyBorder="1" applyAlignment="1">
      <alignment horizontal="center" vertical="center" wrapText="1" readingOrder="2"/>
    </xf>
    <xf numFmtId="0" fontId="15" fillId="0" borderId="2" xfId="0" applyFont="1" applyFill="1" applyBorder="1" applyAlignment="1">
      <alignment horizontal="right" readingOrder="2"/>
    </xf>
    <xf numFmtId="0" fontId="15" fillId="0" borderId="3" xfId="0" applyFont="1" applyFill="1" applyBorder="1" applyAlignment="1">
      <alignment horizontal="right" readingOrder="2"/>
    </xf>
    <xf numFmtId="0" fontId="4" fillId="0" borderId="8" xfId="0" applyFont="1" applyFill="1" applyBorder="1" applyAlignment="1">
      <alignment horizontal="center" vertical="center" readingOrder="2"/>
    </xf>
    <xf numFmtId="0" fontId="4" fillId="0" borderId="9" xfId="0" applyFont="1" applyFill="1" applyBorder="1" applyAlignment="1">
      <alignment horizontal="center" vertical="center" readingOrder="2"/>
    </xf>
    <xf numFmtId="0" fontId="3" fillId="0" borderId="2" xfId="0" applyFont="1" applyFill="1" applyBorder="1" applyAlignment="1">
      <alignment horizontal="center" vertical="center" readingOrder="2"/>
    </xf>
    <xf numFmtId="0" fontId="3" fillId="0" borderId="3" xfId="0" applyFont="1" applyFill="1" applyBorder="1" applyAlignment="1">
      <alignment horizontal="center" vertical="center" readingOrder="2"/>
    </xf>
    <xf numFmtId="0" fontId="3" fillId="0" borderId="4" xfId="0" applyFont="1" applyFill="1" applyBorder="1" applyAlignment="1">
      <alignment horizontal="center" vertical="center" readingOrder="2"/>
    </xf>
    <xf numFmtId="0" fontId="3" fillId="3" borderId="1" xfId="0" applyFont="1" applyFill="1" applyBorder="1" applyAlignment="1">
      <alignment horizontal="center" vertical="center" readingOrder="2"/>
    </xf>
    <xf numFmtId="0" fontId="3" fillId="0" borderId="2" xfId="0" applyFont="1" applyFill="1" applyBorder="1" applyAlignment="1">
      <alignment horizontal="right" vertical="center" readingOrder="2"/>
    </xf>
    <xf numFmtId="0" fontId="3" fillId="0" borderId="3" xfId="0" applyFont="1" applyFill="1" applyBorder="1" applyAlignment="1">
      <alignment horizontal="right" vertical="center" readingOrder="2"/>
    </xf>
    <xf numFmtId="0" fontId="3" fillId="0" borderId="4" xfId="0" applyFont="1" applyFill="1" applyBorder="1" applyAlignment="1">
      <alignment horizontal="right" vertical="center" readingOrder="2"/>
    </xf>
    <xf numFmtId="165" fontId="5" fillId="5" borderId="5" xfId="0" applyNumberFormat="1" applyFont="1" applyFill="1" applyBorder="1" applyAlignment="1">
      <alignment horizontal="center" vertical="center" wrapText="1" readingOrder="2"/>
    </xf>
    <xf numFmtId="165" fontId="5" fillId="5" borderId="7" xfId="0" applyNumberFormat="1" applyFont="1" applyFill="1" applyBorder="1" applyAlignment="1">
      <alignment horizontal="center" vertical="center" wrapText="1" readingOrder="2"/>
    </xf>
    <xf numFmtId="3" fontId="5" fillId="5" borderId="5" xfId="0" applyNumberFormat="1" applyFont="1" applyFill="1" applyBorder="1" applyAlignment="1">
      <alignment horizontal="center" vertical="center" wrapText="1" readingOrder="2"/>
    </xf>
    <xf numFmtId="3" fontId="5" fillId="5" borderId="7" xfId="0" applyNumberFormat="1" applyFont="1" applyFill="1" applyBorder="1" applyAlignment="1">
      <alignment horizontal="center" vertical="center" wrapText="1" readingOrder="2"/>
    </xf>
    <xf numFmtId="0" fontId="5" fillId="5" borderId="5" xfId="0" applyFont="1" applyFill="1" applyBorder="1" applyAlignment="1">
      <alignment horizontal="center" vertical="center" wrapText="1" readingOrder="2"/>
    </xf>
    <xf numFmtId="0" fontId="5" fillId="5" borderId="7" xfId="0" applyFont="1" applyFill="1" applyBorder="1" applyAlignment="1">
      <alignment horizontal="center" vertical="center" wrapText="1" readingOrder="2"/>
    </xf>
    <xf numFmtId="0" fontId="3" fillId="3" borderId="2" xfId="0" applyFont="1" applyFill="1" applyBorder="1" applyAlignment="1">
      <alignment horizontal="right" vertical="center" readingOrder="2"/>
    </xf>
    <xf numFmtId="0" fontId="3" fillId="3" borderId="3" xfId="0" applyFont="1" applyFill="1" applyBorder="1" applyAlignment="1">
      <alignment horizontal="right" vertical="center" readingOrder="2"/>
    </xf>
    <xf numFmtId="0" fontId="3" fillId="3" borderId="4" xfId="0" applyFont="1" applyFill="1" applyBorder="1" applyAlignment="1">
      <alignment horizontal="right" vertical="center" readingOrder="2"/>
    </xf>
    <xf numFmtId="49" fontId="4" fillId="4" borderId="1" xfId="0" applyNumberFormat="1" applyFont="1" applyFill="1" applyBorder="1" applyAlignment="1">
      <alignment horizontal="center" vertical="center" readingOrder="2"/>
    </xf>
  </cellXfs>
  <cellStyles count="4">
    <cellStyle name="Normal" xfId="0" builtinId="0"/>
    <cellStyle name="Percent" xfId="3" builtinId="5"/>
    <cellStyle name="טוב" xfId="1" builtinId="26"/>
    <cellStyle name="רע" xfId="2" builtinId="27"/>
  </cellStyles>
  <dxfs count="0"/>
  <tableStyles count="0" defaultTableStyle="TableStyleMedium2" defaultPivotStyle="PivotStyleLight16"/>
  <colors>
    <mruColors>
      <color rgb="FFFF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rightToLeft="1" zoomScaleNormal="100" workbookViewId="0">
      <pane ySplit="5" topLeftCell="A18" activePane="bottomLeft" state="frozen"/>
      <selection pane="bottomLeft" activeCell="C30" sqref="C30:C34"/>
    </sheetView>
  </sheetViews>
  <sheetFormatPr defaultColWidth="8.75" defaultRowHeight="15" x14ac:dyDescent="0.2"/>
  <cols>
    <col min="1" max="1" width="4.25" style="248" customWidth="1"/>
    <col min="2" max="2" width="21.125" style="8" bestFit="1" customWidth="1"/>
    <col min="3" max="3" width="8.75" style="248"/>
    <col min="4" max="4" width="7.25" style="248" customWidth="1"/>
    <col min="5" max="5" width="7.75" style="248" customWidth="1"/>
    <col min="6" max="6" width="10.25" style="248" bestFit="1" customWidth="1"/>
    <col min="7" max="7" width="12.125" style="9" bestFit="1" customWidth="1"/>
    <col min="8" max="8" width="13.625" style="10" bestFit="1" customWidth="1"/>
    <col min="9" max="9" width="14.625" style="10" bestFit="1" customWidth="1"/>
    <col min="10" max="10" width="9" style="248" customWidth="1"/>
    <col min="11" max="11" width="23.625" style="11" customWidth="1"/>
    <col min="12" max="12" width="13.5" style="12" customWidth="1"/>
    <col min="13" max="13" width="16.5" style="13" customWidth="1"/>
    <col min="14" max="16384" width="8.75" style="248"/>
  </cols>
  <sheetData>
    <row r="1" spans="1:13" ht="20.25" x14ac:dyDescent="0.2">
      <c r="A1" s="314"/>
      <c r="B1" s="315" t="s">
        <v>1261</v>
      </c>
      <c r="C1" s="315"/>
      <c r="D1" s="315"/>
      <c r="E1" s="315"/>
      <c r="F1" s="315"/>
      <c r="G1" s="315"/>
      <c r="H1" s="315"/>
      <c r="I1" s="315"/>
      <c r="J1" s="315"/>
      <c r="K1" s="315"/>
      <c r="L1" s="315"/>
      <c r="M1" s="315"/>
    </row>
    <row r="2" spans="1:13" ht="29.45" customHeight="1" x14ac:dyDescent="0.2">
      <c r="A2" s="314"/>
      <c r="B2" s="316" t="s">
        <v>1259</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47.25" x14ac:dyDescent="0.2">
      <c r="A5" s="314"/>
      <c r="B5" s="249" t="s">
        <v>2</v>
      </c>
      <c r="C5" s="2" t="s">
        <v>3</v>
      </c>
      <c r="D5" s="3" t="s">
        <v>4</v>
      </c>
      <c r="E5" s="3" t="s">
        <v>5</v>
      </c>
      <c r="F5" s="3" t="s">
        <v>6</v>
      </c>
      <c r="G5" s="3" t="s">
        <v>7</v>
      </c>
      <c r="H5" s="4" t="s">
        <v>8</v>
      </c>
      <c r="I5" s="5" t="s">
        <v>9</v>
      </c>
      <c r="J5" s="3" t="s">
        <v>10</v>
      </c>
      <c r="K5" s="3" t="s">
        <v>11</v>
      </c>
      <c r="L5" s="130" t="s">
        <v>12</v>
      </c>
      <c r="M5" s="3" t="s">
        <v>13</v>
      </c>
    </row>
    <row r="6" spans="1:13" ht="15.75" x14ac:dyDescent="0.2">
      <c r="A6" s="298" t="s">
        <v>1262</v>
      </c>
      <c r="B6" s="299"/>
      <c r="C6" s="299"/>
      <c r="D6" s="299"/>
      <c r="E6" s="299"/>
      <c r="F6" s="299"/>
      <c r="G6" s="299"/>
      <c r="H6" s="299"/>
      <c r="I6" s="299"/>
      <c r="J6" s="299"/>
      <c r="K6" s="299"/>
      <c r="L6" s="299"/>
      <c r="M6" s="300"/>
    </row>
    <row r="7" spans="1:13" ht="60" x14ac:dyDescent="0.2">
      <c r="A7" s="301">
        <v>1</v>
      </c>
      <c r="B7" s="245" t="s">
        <v>1269</v>
      </c>
      <c r="C7" s="232" t="s">
        <v>1271</v>
      </c>
      <c r="D7" s="239" t="s">
        <v>1313</v>
      </c>
      <c r="E7" s="240">
        <v>100</v>
      </c>
      <c r="F7" s="241" t="s">
        <v>1270</v>
      </c>
      <c r="G7" s="241" t="s">
        <v>532</v>
      </c>
      <c r="H7" s="241">
        <f>150*117/100</f>
        <v>175.5</v>
      </c>
      <c r="I7" s="241">
        <f>H7*25</f>
        <v>4387.5</v>
      </c>
      <c r="J7" s="239" t="s">
        <v>20</v>
      </c>
      <c r="K7" s="246"/>
      <c r="L7" s="247"/>
      <c r="M7" s="244"/>
    </row>
    <row r="8" spans="1:13" ht="14.25" x14ac:dyDescent="0.2">
      <c r="A8" s="302"/>
      <c r="B8" s="303" t="s">
        <v>1272</v>
      </c>
      <c r="C8" s="304"/>
      <c r="D8" s="304"/>
      <c r="E8" s="304"/>
      <c r="F8" s="304"/>
      <c r="G8" s="304"/>
      <c r="H8" s="304"/>
      <c r="I8" s="304"/>
      <c r="J8" s="304"/>
      <c r="K8" s="304"/>
      <c r="L8" s="304"/>
      <c r="M8" s="305"/>
    </row>
    <row r="9" spans="1:13" ht="15.75" x14ac:dyDescent="0.2">
      <c r="A9" s="298" t="s">
        <v>1263</v>
      </c>
      <c r="B9" s="299"/>
      <c r="C9" s="299"/>
      <c r="D9" s="299"/>
      <c r="E9" s="299"/>
      <c r="F9" s="299"/>
      <c r="G9" s="299"/>
      <c r="H9" s="299"/>
      <c r="I9" s="299"/>
      <c r="J9" s="299"/>
      <c r="K9" s="299"/>
      <c r="L9" s="299"/>
      <c r="M9" s="300"/>
    </row>
    <row r="10" spans="1:13" ht="25.5" x14ac:dyDescent="0.2">
      <c r="A10" s="301">
        <v>2</v>
      </c>
      <c r="B10" s="307" t="s">
        <v>1273</v>
      </c>
      <c r="C10" s="307" t="s">
        <v>210</v>
      </c>
      <c r="D10" s="239" t="s">
        <v>253</v>
      </c>
      <c r="E10" s="240">
        <v>100</v>
      </c>
      <c r="F10" s="241" t="s">
        <v>1274</v>
      </c>
      <c r="G10" s="241" t="s">
        <v>1275</v>
      </c>
      <c r="H10" s="243">
        <v>3.8899999999999997E-2</v>
      </c>
      <c r="I10" s="241">
        <f>3.89/100*3300000*117/100</f>
        <v>150192.90000000002</v>
      </c>
      <c r="J10" s="239" t="s">
        <v>20</v>
      </c>
      <c r="K10" s="309"/>
      <c r="L10" s="311"/>
      <c r="M10" s="312"/>
    </row>
    <row r="11" spans="1:13" ht="25.5" x14ac:dyDescent="0.2">
      <c r="A11" s="306"/>
      <c r="B11" s="308"/>
      <c r="C11" s="308"/>
      <c r="D11" s="7" t="s">
        <v>221</v>
      </c>
      <c r="E11" s="233">
        <v>84.5</v>
      </c>
      <c r="F11" s="21" t="s">
        <v>1274</v>
      </c>
      <c r="G11" s="21" t="s">
        <v>1275</v>
      </c>
      <c r="H11" s="36">
        <v>4.4999999999999998E-2</v>
      </c>
      <c r="I11" s="21">
        <f>4.5/100*3300000*117/100</f>
        <v>173745</v>
      </c>
      <c r="J11" s="7" t="s">
        <v>20</v>
      </c>
      <c r="K11" s="310"/>
      <c r="L11" s="311"/>
      <c r="M11" s="313"/>
    </row>
    <row r="12" spans="1:13" ht="25.5" x14ac:dyDescent="0.2">
      <c r="A12" s="306"/>
      <c r="B12" s="308"/>
      <c r="C12" s="308"/>
      <c r="D12" s="7" t="s">
        <v>1283</v>
      </c>
      <c r="E12" s="233">
        <v>84.5</v>
      </c>
      <c r="F12" s="21" t="s">
        <v>1274</v>
      </c>
      <c r="G12" s="21" t="s">
        <v>1275</v>
      </c>
      <c r="H12" s="36">
        <v>0.05</v>
      </c>
      <c r="I12" s="21">
        <f>5/100*3300000*117/100</f>
        <v>193050</v>
      </c>
      <c r="J12" s="7"/>
      <c r="K12" s="310"/>
      <c r="L12" s="311"/>
      <c r="M12" s="313"/>
    </row>
    <row r="13" spans="1:13" ht="14.25" x14ac:dyDescent="0.2">
      <c r="A13" s="302"/>
      <c r="B13" s="303" t="s">
        <v>1314</v>
      </c>
      <c r="C13" s="304"/>
      <c r="D13" s="304"/>
      <c r="E13" s="304"/>
      <c r="F13" s="304"/>
      <c r="G13" s="304"/>
      <c r="H13" s="304"/>
      <c r="I13" s="304"/>
      <c r="J13" s="304"/>
      <c r="K13" s="304"/>
      <c r="L13" s="304"/>
      <c r="M13" s="305"/>
    </row>
    <row r="14" spans="1:13" ht="15.75" x14ac:dyDescent="0.2">
      <c r="A14" s="298" t="s">
        <v>1264</v>
      </c>
      <c r="B14" s="299"/>
      <c r="C14" s="299"/>
      <c r="D14" s="299"/>
      <c r="E14" s="299"/>
      <c r="F14" s="299"/>
      <c r="G14" s="299"/>
      <c r="H14" s="299"/>
      <c r="I14" s="299"/>
      <c r="J14" s="299"/>
      <c r="K14" s="299"/>
      <c r="L14" s="299"/>
      <c r="M14" s="300"/>
    </row>
    <row r="15" spans="1:13" ht="25.5" x14ac:dyDescent="0.2">
      <c r="A15" s="301">
        <v>3</v>
      </c>
      <c r="B15" s="307" t="s">
        <v>1282</v>
      </c>
      <c r="C15" s="307" t="s">
        <v>210</v>
      </c>
      <c r="D15" s="239" t="s">
        <v>219</v>
      </c>
      <c r="E15" s="240">
        <v>100</v>
      </c>
      <c r="F15" s="241" t="s">
        <v>1274</v>
      </c>
      <c r="G15" s="241" t="s">
        <v>1312</v>
      </c>
      <c r="H15" s="243">
        <v>3.8800000000000001E-2</v>
      </c>
      <c r="I15" s="241">
        <f>3.88/100*3500000*117/100</f>
        <v>158886</v>
      </c>
      <c r="J15" s="239" t="s">
        <v>20</v>
      </c>
      <c r="K15" s="309"/>
      <c r="L15" s="311"/>
      <c r="M15" s="312" t="s">
        <v>1285</v>
      </c>
    </row>
    <row r="16" spans="1:13" ht="25.5" x14ac:dyDescent="0.2">
      <c r="A16" s="306"/>
      <c r="B16" s="308"/>
      <c r="C16" s="308"/>
      <c r="D16" s="7" t="s">
        <v>1284</v>
      </c>
      <c r="E16" s="20">
        <v>84</v>
      </c>
      <c r="F16" s="21" t="s">
        <v>1274</v>
      </c>
      <c r="G16" s="21" t="s">
        <v>1312</v>
      </c>
      <c r="H16" s="36">
        <v>4.4999999999999998E-2</v>
      </c>
      <c r="I16" s="21">
        <f>4.5/100*3500000*117/100</f>
        <v>184275</v>
      </c>
      <c r="J16" s="7" t="s">
        <v>20</v>
      </c>
      <c r="K16" s="310"/>
      <c r="L16" s="311"/>
      <c r="M16" s="313"/>
    </row>
    <row r="17" spans="1:13" ht="25.5" x14ac:dyDescent="0.2">
      <c r="A17" s="306"/>
      <c r="B17" s="308"/>
      <c r="C17" s="308"/>
      <c r="D17" s="7" t="s">
        <v>1283</v>
      </c>
      <c r="E17" s="20">
        <v>92</v>
      </c>
      <c r="F17" s="21" t="s">
        <v>1274</v>
      </c>
      <c r="G17" s="21" t="s">
        <v>1312</v>
      </c>
      <c r="H17" s="36">
        <v>4.3499999999999997E-2</v>
      </c>
      <c r="I17" s="21">
        <f>4.35/100*3500000*117/100</f>
        <v>178132.5</v>
      </c>
      <c r="J17" s="7"/>
      <c r="K17" s="310"/>
      <c r="L17" s="311"/>
      <c r="M17" s="313"/>
    </row>
    <row r="18" spans="1:13" ht="14.25" x14ac:dyDescent="0.2">
      <c r="A18" s="302"/>
      <c r="B18" s="303" t="s">
        <v>1315</v>
      </c>
      <c r="C18" s="304"/>
      <c r="D18" s="304"/>
      <c r="E18" s="304"/>
      <c r="F18" s="304"/>
      <c r="G18" s="304"/>
      <c r="H18" s="304"/>
      <c r="I18" s="304"/>
      <c r="J18" s="304"/>
      <c r="K18" s="304"/>
      <c r="L18" s="304"/>
      <c r="M18" s="305"/>
    </row>
    <row r="19" spans="1:13" ht="15.75" x14ac:dyDescent="0.2">
      <c r="A19" s="298" t="s">
        <v>1265</v>
      </c>
      <c r="B19" s="299"/>
      <c r="C19" s="299"/>
      <c r="D19" s="299"/>
      <c r="E19" s="299"/>
      <c r="F19" s="299"/>
      <c r="G19" s="299"/>
      <c r="H19" s="299"/>
      <c r="I19" s="299"/>
      <c r="J19" s="299"/>
      <c r="K19" s="299"/>
      <c r="L19" s="299"/>
      <c r="M19" s="300"/>
    </row>
    <row r="20" spans="1:13" ht="25.5" x14ac:dyDescent="0.2">
      <c r="A20" s="301">
        <v>4</v>
      </c>
      <c r="B20" s="307" t="s">
        <v>1276</v>
      </c>
      <c r="C20" s="307" t="s">
        <v>210</v>
      </c>
      <c r="D20" s="239" t="s">
        <v>652</v>
      </c>
      <c r="E20" s="242">
        <v>100</v>
      </c>
      <c r="F20" s="241" t="s">
        <v>1274</v>
      </c>
      <c r="G20" s="252" t="s">
        <v>1279</v>
      </c>
      <c r="H20" s="243">
        <v>6.0000000000000001E-3</v>
      </c>
      <c r="I20" s="241">
        <f>0.6/100*2700000*117/100</f>
        <v>18954</v>
      </c>
      <c r="J20" s="239" t="s">
        <v>20</v>
      </c>
      <c r="K20" s="309"/>
      <c r="L20" s="311"/>
      <c r="M20" s="312">
        <v>2230022958</v>
      </c>
    </row>
    <row r="21" spans="1:13" ht="25.5" x14ac:dyDescent="0.2">
      <c r="A21" s="306"/>
      <c r="B21" s="308"/>
      <c r="C21" s="308"/>
      <c r="D21" s="7" t="s">
        <v>1089</v>
      </c>
      <c r="E21" s="234">
        <v>34</v>
      </c>
      <c r="F21" s="21" t="s">
        <v>1274</v>
      </c>
      <c r="G21" s="253" t="s">
        <v>1279</v>
      </c>
      <c r="H21" s="36">
        <v>2.5999999999999999E-2</v>
      </c>
      <c r="I21" s="21">
        <f>2.6/100*2700000*117/100</f>
        <v>82134</v>
      </c>
      <c r="J21" s="7"/>
      <c r="K21" s="310"/>
      <c r="L21" s="311"/>
      <c r="M21" s="313"/>
    </row>
    <row r="22" spans="1:13" ht="25.5" x14ac:dyDescent="0.2">
      <c r="A22" s="306"/>
      <c r="B22" s="308"/>
      <c r="C22" s="308"/>
      <c r="D22" s="7" t="s">
        <v>1278</v>
      </c>
      <c r="E22" s="234">
        <v>25</v>
      </c>
      <c r="F22" s="21" t="s">
        <v>1274</v>
      </c>
      <c r="G22" s="253" t="s">
        <v>1279</v>
      </c>
      <c r="H22" s="36">
        <v>5.9900000000000002E-2</v>
      </c>
      <c r="I22" s="21">
        <f>5.99/100*2700000*117/100</f>
        <v>189224.1</v>
      </c>
      <c r="J22" s="7" t="s">
        <v>20</v>
      </c>
      <c r="K22" s="310"/>
      <c r="L22" s="311"/>
      <c r="M22" s="313"/>
    </row>
    <row r="23" spans="1:13" ht="14.25" x14ac:dyDescent="0.2">
      <c r="A23" s="302"/>
      <c r="B23" s="303" t="s">
        <v>1277</v>
      </c>
      <c r="C23" s="304"/>
      <c r="D23" s="304"/>
      <c r="E23" s="304"/>
      <c r="F23" s="304"/>
      <c r="G23" s="304"/>
      <c r="H23" s="304"/>
      <c r="I23" s="304"/>
      <c r="J23" s="304"/>
      <c r="K23" s="304"/>
      <c r="L23" s="304"/>
      <c r="M23" s="305"/>
    </row>
    <row r="24" spans="1:13" ht="15.75" x14ac:dyDescent="0.2">
      <c r="A24" s="298" t="s">
        <v>1266</v>
      </c>
      <c r="B24" s="299"/>
      <c r="C24" s="299"/>
      <c r="D24" s="299"/>
      <c r="E24" s="299"/>
      <c r="F24" s="299"/>
      <c r="G24" s="299"/>
      <c r="H24" s="299"/>
      <c r="I24" s="299"/>
      <c r="J24" s="299"/>
      <c r="K24" s="299"/>
      <c r="L24" s="299"/>
      <c r="M24" s="300"/>
    </row>
    <row r="25" spans="1:13" ht="25.5" x14ac:dyDescent="0.2">
      <c r="A25" s="301">
        <v>5</v>
      </c>
      <c r="B25" s="307" t="s">
        <v>1280</v>
      </c>
      <c r="C25" s="307" t="s">
        <v>210</v>
      </c>
      <c r="D25" s="239" t="s">
        <v>652</v>
      </c>
      <c r="E25" s="242">
        <v>100</v>
      </c>
      <c r="F25" s="241" t="s">
        <v>1274</v>
      </c>
      <c r="G25" s="252" t="s">
        <v>1281</v>
      </c>
      <c r="H25" s="243">
        <v>6.0000000000000001E-3</v>
      </c>
      <c r="I25" s="241">
        <f>0.4/100*4000000*117/100</f>
        <v>18720</v>
      </c>
      <c r="J25" s="239" t="s">
        <v>20</v>
      </c>
      <c r="K25" s="309"/>
      <c r="L25" s="311"/>
      <c r="M25" s="312">
        <v>2230022958</v>
      </c>
    </row>
    <row r="26" spans="1:13" ht="25.5" x14ac:dyDescent="0.2">
      <c r="A26" s="306"/>
      <c r="B26" s="308"/>
      <c r="C26" s="308"/>
      <c r="D26" s="7" t="s">
        <v>1089</v>
      </c>
      <c r="E26" s="234">
        <v>34</v>
      </c>
      <c r="F26" s="21" t="s">
        <v>1274</v>
      </c>
      <c r="G26" s="253" t="s">
        <v>1281</v>
      </c>
      <c r="H26" s="36">
        <v>2.5999999999999999E-2</v>
      </c>
      <c r="I26" s="21">
        <f>1.4/100*4000000*117/100</f>
        <v>65519.999999999993</v>
      </c>
      <c r="J26" s="7"/>
      <c r="K26" s="310"/>
      <c r="L26" s="311"/>
      <c r="M26" s="313"/>
    </row>
    <row r="27" spans="1:13" ht="25.5" x14ac:dyDescent="0.2">
      <c r="A27" s="306"/>
      <c r="B27" s="308"/>
      <c r="C27" s="308"/>
      <c r="D27" s="7" t="s">
        <v>1278</v>
      </c>
      <c r="E27" s="234">
        <v>25</v>
      </c>
      <c r="F27" s="21" t="s">
        <v>1274</v>
      </c>
      <c r="G27" s="253" t="s">
        <v>1281</v>
      </c>
      <c r="H27" s="36">
        <v>5.9900000000000002E-2</v>
      </c>
      <c r="I27" s="21">
        <f>1.5/100*4000000*117/100</f>
        <v>70200</v>
      </c>
      <c r="J27" s="7" t="s">
        <v>20</v>
      </c>
      <c r="K27" s="310"/>
      <c r="L27" s="311"/>
      <c r="M27" s="313"/>
    </row>
    <row r="28" spans="1:13" ht="13.9" customHeight="1" x14ac:dyDescent="0.2">
      <c r="A28" s="306"/>
      <c r="B28" s="303" t="s">
        <v>1277</v>
      </c>
      <c r="C28" s="304"/>
      <c r="D28" s="304"/>
      <c r="E28" s="304"/>
      <c r="F28" s="304"/>
      <c r="G28" s="304"/>
      <c r="H28" s="304"/>
      <c r="I28" s="304"/>
      <c r="J28" s="304"/>
      <c r="K28" s="304"/>
      <c r="L28" s="304"/>
      <c r="M28" s="305"/>
    </row>
    <row r="29" spans="1:13" ht="15.75" x14ac:dyDescent="0.2">
      <c r="A29" s="298" t="s">
        <v>1267</v>
      </c>
      <c r="B29" s="299"/>
      <c r="C29" s="299"/>
      <c r="D29" s="299"/>
      <c r="E29" s="299"/>
      <c r="F29" s="299"/>
      <c r="G29" s="299"/>
      <c r="H29" s="299"/>
      <c r="I29" s="299"/>
      <c r="J29" s="299"/>
      <c r="K29" s="299"/>
      <c r="L29" s="299"/>
      <c r="M29" s="300"/>
    </row>
    <row r="30" spans="1:13" ht="14.25" x14ac:dyDescent="0.2">
      <c r="A30" s="301">
        <v>6</v>
      </c>
      <c r="B30" s="307" t="s">
        <v>1286</v>
      </c>
      <c r="C30" s="307" t="s">
        <v>1287</v>
      </c>
      <c r="D30" s="239" t="s">
        <v>1288</v>
      </c>
      <c r="E30" s="240">
        <v>100</v>
      </c>
      <c r="F30" s="241" t="s">
        <v>29</v>
      </c>
      <c r="G30" s="241" t="s">
        <v>180</v>
      </c>
      <c r="H30" s="241">
        <f>200*117/100</f>
        <v>234</v>
      </c>
      <c r="I30" s="241">
        <f>400*H30</f>
        <v>93600</v>
      </c>
      <c r="J30" s="239" t="s">
        <v>20</v>
      </c>
      <c r="K30" s="309"/>
      <c r="L30" s="311"/>
      <c r="M30" s="312">
        <v>253009</v>
      </c>
    </row>
    <row r="31" spans="1:13" ht="63.75" x14ac:dyDescent="0.2">
      <c r="A31" s="306"/>
      <c r="B31" s="308"/>
      <c r="C31" s="308"/>
      <c r="D31" s="7" t="s">
        <v>1292</v>
      </c>
      <c r="E31" s="20">
        <v>93</v>
      </c>
      <c r="F31" s="21" t="s">
        <v>29</v>
      </c>
      <c r="G31" s="21" t="s">
        <v>180</v>
      </c>
      <c r="H31" s="21">
        <f>220*117/100</f>
        <v>257.39999999999998</v>
      </c>
      <c r="I31" s="21">
        <f t="shared" ref="I31:I34" si="0">400*H31</f>
        <v>102959.99999999999</v>
      </c>
      <c r="J31" s="7" t="s">
        <v>20</v>
      </c>
      <c r="K31" s="310"/>
      <c r="L31" s="311"/>
      <c r="M31" s="313"/>
    </row>
    <row r="32" spans="1:13" ht="14.25" x14ac:dyDescent="0.2">
      <c r="A32" s="306"/>
      <c r="B32" s="308"/>
      <c r="C32" s="308"/>
      <c r="D32" s="7" t="s">
        <v>1289</v>
      </c>
      <c r="E32" s="20">
        <v>93</v>
      </c>
      <c r="F32" s="21" t="s">
        <v>29</v>
      </c>
      <c r="G32" s="21" t="s">
        <v>180</v>
      </c>
      <c r="H32" s="21">
        <f>220*117/100</f>
        <v>257.39999999999998</v>
      </c>
      <c r="I32" s="21">
        <f t="shared" si="0"/>
        <v>102959.99999999999</v>
      </c>
      <c r="J32" s="7" t="s">
        <v>20</v>
      </c>
      <c r="K32" s="310"/>
      <c r="L32" s="311"/>
      <c r="M32" s="313"/>
    </row>
    <row r="33" spans="1:13" ht="25.5" x14ac:dyDescent="0.2">
      <c r="A33" s="306"/>
      <c r="B33" s="308"/>
      <c r="C33" s="308"/>
      <c r="D33" s="7" t="s">
        <v>1290</v>
      </c>
      <c r="E33" s="20">
        <v>88</v>
      </c>
      <c r="F33" s="21" t="s">
        <v>29</v>
      </c>
      <c r="G33" s="21" t="s">
        <v>180</v>
      </c>
      <c r="H33" s="21">
        <f>240*117/100</f>
        <v>280.8</v>
      </c>
      <c r="I33" s="21">
        <f t="shared" si="0"/>
        <v>112320</v>
      </c>
      <c r="J33" s="7" t="s">
        <v>20</v>
      </c>
      <c r="K33" s="310"/>
      <c r="L33" s="311"/>
      <c r="M33" s="313"/>
    </row>
    <row r="34" spans="1:13" ht="14.25" x14ac:dyDescent="0.2">
      <c r="A34" s="306"/>
      <c r="B34" s="308"/>
      <c r="C34" s="308"/>
      <c r="D34" s="7" t="s">
        <v>1291</v>
      </c>
      <c r="E34" s="20">
        <v>84</v>
      </c>
      <c r="F34" s="21" t="s">
        <v>29</v>
      </c>
      <c r="G34" s="21" t="s">
        <v>180</v>
      </c>
      <c r="H34" s="21">
        <f>240*117/100</f>
        <v>280.8</v>
      </c>
      <c r="I34" s="21">
        <f t="shared" si="0"/>
        <v>112320</v>
      </c>
      <c r="J34" s="7"/>
      <c r="K34" s="310"/>
      <c r="L34" s="311"/>
      <c r="M34" s="313"/>
    </row>
    <row r="35" spans="1:13" ht="14.25" x14ac:dyDescent="0.2">
      <c r="A35" s="302"/>
      <c r="B35" s="303" t="s">
        <v>1293</v>
      </c>
      <c r="C35" s="304"/>
      <c r="D35" s="304"/>
      <c r="E35" s="304"/>
      <c r="F35" s="304"/>
      <c r="G35" s="304"/>
      <c r="H35" s="304"/>
      <c r="I35" s="304"/>
      <c r="J35" s="304"/>
      <c r="K35" s="304"/>
      <c r="L35" s="304"/>
      <c r="M35" s="305"/>
    </row>
    <row r="36" spans="1:13" ht="15.75" x14ac:dyDescent="0.2">
      <c r="A36" s="298" t="s">
        <v>1268</v>
      </c>
      <c r="B36" s="299"/>
      <c r="C36" s="299"/>
      <c r="D36" s="299"/>
      <c r="E36" s="299"/>
      <c r="F36" s="299"/>
      <c r="G36" s="299"/>
      <c r="H36" s="299"/>
      <c r="I36" s="299"/>
      <c r="J36" s="299"/>
      <c r="K36" s="299"/>
      <c r="L36" s="299"/>
      <c r="M36" s="300"/>
    </row>
    <row r="37" spans="1:13" ht="38.25" x14ac:dyDescent="0.2">
      <c r="A37" s="301">
        <v>7</v>
      </c>
      <c r="B37" s="245" t="s">
        <v>1306</v>
      </c>
      <c r="C37" s="245" t="s">
        <v>693</v>
      </c>
      <c r="D37" s="239" t="s">
        <v>1294</v>
      </c>
      <c r="E37" s="240">
        <v>100</v>
      </c>
      <c r="F37" s="241" t="s">
        <v>29</v>
      </c>
      <c r="G37" s="241" t="s">
        <v>1305</v>
      </c>
      <c r="H37" s="241">
        <f>200*117/100</f>
        <v>234</v>
      </c>
      <c r="I37" s="241">
        <f>180*H37</f>
        <v>42120</v>
      </c>
      <c r="J37" s="239" t="s">
        <v>20</v>
      </c>
      <c r="K37" s="246"/>
      <c r="L37" s="247"/>
      <c r="M37" s="244">
        <v>2710062750</v>
      </c>
    </row>
    <row r="38" spans="1:13" ht="14.25" x14ac:dyDescent="0.2">
      <c r="A38" s="302"/>
      <c r="B38" s="303" t="s">
        <v>1295</v>
      </c>
      <c r="C38" s="304"/>
      <c r="D38" s="304"/>
      <c r="E38" s="304"/>
      <c r="F38" s="304"/>
      <c r="G38" s="304"/>
      <c r="H38" s="304"/>
      <c r="I38" s="304"/>
      <c r="J38" s="304"/>
      <c r="K38" s="304"/>
      <c r="L38" s="304"/>
      <c r="M38" s="305"/>
    </row>
    <row r="39" spans="1:13" ht="15.75" x14ac:dyDescent="0.2">
      <c r="A39" s="298" t="s">
        <v>1298</v>
      </c>
      <c r="B39" s="299"/>
      <c r="C39" s="299"/>
      <c r="D39" s="299"/>
      <c r="E39" s="299"/>
      <c r="F39" s="299"/>
      <c r="G39" s="299"/>
      <c r="H39" s="299"/>
      <c r="I39" s="299"/>
      <c r="J39" s="299"/>
      <c r="K39" s="299"/>
      <c r="L39" s="299"/>
      <c r="M39" s="300"/>
    </row>
    <row r="40" spans="1:13" ht="63.75" x14ac:dyDescent="0.2">
      <c r="A40" s="301">
        <v>8</v>
      </c>
      <c r="B40" s="245" t="s">
        <v>1301</v>
      </c>
      <c r="C40" s="245" t="s">
        <v>146</v>
      </c>
      <c r="D40" s="239" t="s">
        <v>163</v>
      </c>
      <c r="E40" s="240">
        <v>100</v>
      </c>
      <c r="F40" s="241" t="s">
        <v>18</v>
      </c>
      <c r="G40" s="241" t="s">
        <v>18</v>
      </c>
      <c r="H40" s="241">
        <v>70200</v>
      </c>
      <c r="I40" s="241">
        <v>70200</v>
      </c>
      <c r="J40" s="239" t="s">
        <v>20</v>
      </c>
      <c r="K40" s="246"/>
      <c r="L40" s="250"/>
      <c r="M40" s="244" t="s">
        <v>887</v>
      </c>
    </row>
    <row r="41" spans="1:13" ht="14.25" x14ac:dyDescent="0.2">
      <c r="A41" s="302"/>
      <c r="B41" s="303" t="s">
        <v>1300</v>
      </c>
      <c r="C41" s="304"/>
      <c r="D41" s="304"/>
      <c r="E41" s="304"/>
      <c r="F41" s="304"/>
      <c r="G41" s="304"/>
      <c r="H41" s="304"/>
      <c r="I41" s="304"/>
      <c r="J41" s="304"/>
      <c r="K41" s="304"/>
      <c r="L41" s="304"/>
      <c r="M41" s="305"/>
    </row>
    <row r="42" spans="1:13" ht="15.75" x14ac:dyDescent="0.2">
      <c r="A42" s="298" t="s">
        <v>1299</v>
      </c>
      <c r="B42" s="299"/>
      <c r="C42" s="299"/>
      <c r="D42" s="299"/>
      <c r="E42" s="299"/>
      <c r="F42" s="299"/>
      <c r="G42" s="299"/>
      <c r="H42" s="299"/>
      <c r="I42" s="299"/>
      <c r="J42" s="299"/>
      <c r="K42" s="299"/>
      <c r="L42" s="299"/>
      <c r="M42" s="300"/>
    </row>
    <row r="43" spans="1:13" ht="63.75" x14ac:dyDescent="0.2">
      <c r="A43" s="301">
        <v>9</v>
      </c>
      <c r="B43" s="245" t="s">
        <v>1296</v>
      </c>
      <c r="C43" s="245" t="s">
        <v>1297</v>
      </c>
      <c r="D43" s="239" t="s">
        <v>568</v>
      </c>
      <c r="E43" s="240">
        <v>94</v>
      </c>
      <c r="F43" s="241" t="s">
        <v>571</v>
      </c>
      <c r="G43" s="241" t="s">
        <v>1303</v>
      </c>
      <c r="H43" s="241">
        <f>750*117/100</f>
        <v>877.5</v>
      </c>
      <c r="I43" s="241">
        <f>H43*16</f>
        <v>14040</v>
      </c>
      <c r="J43" s="239" t="s">
        <v>20</v>
      </c>
      <c r="K43" s="246"/>
      <c r="L43" s="250"/>
      <c r="M43" s="244" t="s">
        <v>1304</v>
      </c>
    </row>
    <row r="44" spans="1:13" ht="14.25" x14ac:dyDescent="0.2">
      <c r="A44" s="302"/>
      <c r="B44" s="303" t="s">
        <v>1302</v>
      </c>
      <c r="C44" s="304"/>
      <c r="D44" s="304"/>
      <c r="E44" s="304"/>
      <c r="F44" s="304"/>
      <c r="G44" s="304"/>
      <c r="H44" s="304"/>
      <c r="I44" s="304"/>
      <c r="J44" s="304"/>
      <c r="K44" s="304"/>
      <c r="L44" s="304"/>
      <c r="M44" s="305"/>
    </row>
    <row r="45" spans="1:13" ht="15.75" x14ac:dyDescent="0.2">
      <c r="A45" s="298" t="s">
        <v>1307</v>
      </c>
      <c r="B45" s="299"/>
      <c r="C45" s="299"/>
      <c r="D45" s="299"/>
      <c r="E45" s="299"/>
      <c r="F45" s="299"/>
      <c r="G45" s="299"/>
      <c r="H45" s="299"/>
      <c r="I45" s="299"/>
      <c r="J45" s="299"/>
      <c r="K45" s="299"/>
      <c r="L45" s="299"/>
      <c r="M45" s="300"/>
    </row>
    <row r="46" spans="1:13" ht="38.25" x14ac:dyDescent="0.2">
      <c r="A46" s="301">
        <v>10</v>
      </c>
      <c r="B46" s="245" t="s">
        <v>1308</v>
      </c>
      <c r="C46" s="245" t="s">
        <v>210</v>
      </c>
      <c r="D46" s="239" t="s">
        <v>1121</v>
      </c>
      <c r="E46" s="240">
        <v>100</v>
      </c>
      <c r="F46" s="241" t="s">
        <v>1309</v>
      </c>
      <c r="G46" s="241" t="s">
        <v>1309</v>
      </c>
      <c r="H46" s="241">
        <f>27500*117/100</f>
        <v>32175</v>
      </c>
      <c r="I46" s="241">
        <f>27500*117/100</f>
        <v>32175</v>
      </c>
      <c r="J46" s="239" t="s">
        <v>20</v>
      </c>
      <c r="K46" s="246"/>
      <c r="L46" s="250"/>
      <c r="M46" s="244" t="s">
        <v>1310</v>
      </c>
    </row>
    <row r="47" spans="1:13" ht="14.25" x14ac:dyDescent="0.2">
      <c r="A47" s="302"/>
      <c r="B47" s="303" t="s">
        <v>1311</v>
      </c>
      <c r="C47" s="304"/>
      <c r="D47" s="304"/>
      <c r="E47" s="304"/>
      <c r="F47" s="304"/>
      <c r="G47" s="304"/>
      <c r="H47" s="304"/>
      <c r="I47" s="304"/>
      <c r="J47" s="304"/>
      <c r="K47" s="304"/>
      <c r="L47" s="304"/>
      <c r="M47" s="305"/>
    </row>
    <row r="52" spans="2:2" ht="15.75" x14ac:dyDescent="0.25">
      <c r="B52" s="251"/>
    </row>
  </sheetData>
  <mergeCells count="60">
    <mergeCell ref="A6:M6"/>
    <mergeCell ref="A1:A5"/>
    <mergeCell ref="B1:M1"/>
    <mergeCell ref="B2:M2"/>
    <mergeCell ref="B3:M3"/>
    <mergeCell ref="B4:M4"/>
    <mergeCell ref="A7:A8"/>
    <mergeCell ref="B8:M8"/>
    <mergeCell ref="A9:M9"/>
    <mergeCell ref="A10:A13"/>
    <mergeCell ref="B10:B12"/>
    <mergeCell ref="C10:C12"/>
    <mergeCell ref="K10:K12"/>
    <mergeCell ref="L10:L12"/>
    <mergeCell ref="M10:M12"/>
    <mergeCell ref="B13:M13"/>
    <mergeCell ref="A14:M14"/>
    <mergeCell ref="A15:A18"/>
    <mergeCell ref="B15:B17"/>
    <mergeCell ref="C15:C17"/>
    <mergeCell ref="K15:K17"/>
    <mergeCell ref="L15:L17"/>
    <mergeCell ref="M15:M17"/>
    <mergeCell ref="B18:M18"/>
    <mergeCell ref="A19:M19"/>
    <mergeCell ref="A20:A23"/>
    <mergeCell ref="B20:B22"/>
    <mergeCell ref="C20:C22"/>
    <mergeCell ref="K20:K22"/>
    <mergeCell ref="L20:L22"/>
    <mergeCell ref="M20:M22"/>
    <mergeCell ref="B23:M23"/>
    <mergeCell ref="A24:M24"/>
    <mergeCell ref="A25:A28"/>
    <mergeCell ref="B25:B27"/>
    <mergeCell ref="C25:C27"/>
    <mergeCell ref="K25:K27"/>
    <mergeCell ref="L25:L27"/>
    <mergeCell ref="M25:M27"/>
    <mergeCell ref="B28:M28"/>
    <mergeCell ref="A29:M29"/>
    <mergeCell ref="A30:A35"/>
    <mergeCell ref="B30:B34"/>
    <mergeCell ref="C30:C34"/>
    <mergeCell ref="K30:K34"/>
    <mergeCell ref="L30:L34"/>
    <mergeCell ref="M30:M34"/>
    <mergeCell ref="B35:M35"/>
    <mergeCell ref="A36:M36"/>
    <mergeCell ref="A37:A38"/>
    <mergeCell ref="B38:M38"/>
    <mergeCell ref="A39:M39"/>
    <mergeCell ref="A40:A41"/>
    <mergeCell ref="B41:M41"/>
    <mergeCell ref="A42:M42"/>
    <mergeCell ref="A43:A44"/>
    <mergeCell ref="B44:M44"/>
    <mergeCell ref="A45:M45"/>
    <mergeCell ref="A46:A47"/>
    <mergeCell ref="B47:M47"/>
  </mergeCells>
  <pageMargins left="0.7" right="0.7" top="0.75" bottom="0.75" header="0.3" footer="0.3"/>
  <pageSetup paperSize="9" scale="7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rightToLeft="1" zoomScaleNormal="100" workbookViewId="0">
      <pane ySplit="5" topLeftCell="A35" activePane="bottomLeft" state="frozen"/>
      <selection pane="bottomLeft" activeCell="B37" sqref="B37:B40"/>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625"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925</v>
      </c>
      <c r="C1" s="315"/>
      <c r="D1" s="315"/>
      <c r="E1" s="315"/>
      <c r="F1" s="315"/>
      <c r="G1" s="315"/>
      <c r="H1" s="315"/>
      <c r="I1" s="315"/>
      <c r="J1" s="315"/>
      <c r="K1" s="315"/>
      <c r="L1" s="315"/>
      <c r="M1" s="315"/>
    </row>
    <row r="2" spans="1:13" ht="29.45" customHeight="1" x14ac:dyDescent="0.2">
      <c r="A2" s="314"/>
      <c r="B2" s="316" t="s">
        <v>923</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47.25" x14ac:dyDescent="0.2">
      <c r="A5" s="314"/>
      <c r="B5" s="146" t="s">
        <v>2</v>
      </c>
      <c r="C5" s="2" t="s">
        <v>3</v>
      </c>
      <c r="D5" s="3" t="s">
        <v>4</v>
      </c>
      <c r="E5" s="3" t="s">
        <v>5</v>
      </c>
      <c r="F5" s="3" t="s">
        <v>6</v>
      </c>
      <c r="G5" s="3" t="s">
        <v>7</v>
      </c>
      <c r="H5" s="4" t="s">
        <v>8</v>
      </c>
      <c r="I5" s="5" t="s">
        <v>9</v>
      </c>
      <c r="J5" s="3" t="s">
        <v>10</v>
      </c>
      <c r="K5" s="3" t="s">
        <v>11</v>
      </c>
      <c r="L5" s="130" t="s">
        <v>12</v>
      </c>
      <c r="M5" s="3" t="s">
        <v>13</v>
      </c>
    </row>
    <row r="6" spans="1:13" ht="15.75" x14ac:dyDescent="0.2">
      <c r="A6" s="298" t="s">
        <v>848</v>
      </c>
      <c r="B6" s="299"/>
      <c r="C6" s="299"/>
      <c r="D6" s="299"/>
      <c r="E6" s="299"/>
      <c r="F6" s="299"/>
      <c r="G6" s="299"/>
      <c r="H6" s="299"/>
      <c r="I6" s="299"/>
      <c r="J6" s="299"/>
      <c r="K6" s="299"/>
      <c r="L6" s="299"/>
      <c r="M6" s="300"/>
    </row>
    <row r="7" spans="1:13" ht="51" x14ac:dyDescent="0.2">
      <c r="A7" s="301">
        <v>1</v>
      </c>
      <c r="B7" s="143" t="s">
        <v>846</v>
      </c>
      <c r="C7" s="143" t="s">
        <v>845</v>
      </c>
      <c r="D7" s="17" t="s">
        <v>847</v>
      </c>
      <c r="E7" s="18">
        <v>100</v>
      </c>
      <c r="F7" s="19" t="s">
        <v>18</v>
      </c>
      <c r="G7" s="19" t="s">
        <v>18</v>
      </c>
      <c r="H7" s="19">
        <f>5000*117/100</f>
        <v>5850</v>
      </c>
      <c r="I7" s="19">
        <f>5000*117/100</f>
        <v>5850</v>
      </c>
      <c r="J7" s="17" t="s">
        <v>20</v>
      </c>
      <c r="K7" s="144" t="s">
        <v>915</v>
      </c>
      <c r="L7" s="145" t="s">
        <v>926</v>
      </c>
      <c r="M7" s="142">
        <v>1616000521</v>
      </c>
    </row>
    <row r="8" spans="1:13" ht="13.9" customHeight="1" x14ac:dyDescent="0.2">
      <c r="A8" s="302"/>
      <c r="B8" s="303" t="s">
        <v>922</v>
      </c>
      <c r="C8" s="304"/>
      <c r="D8" s="304"/>
      <c r="E8" s="304"/>
      <c r="F8" s="304"/>
      <c r="G8" s="304"/>
      <c r="H8" s="304"/>
      <c r="I8" s="304"/>
      <c r="J8" s="304"/>
      <c r="K8" s="304"/>
      <c r="L8" s="304"/>
      <c r="M8" s="305"/>
    </row>
    <row r="9" spans="1:13" ht="15.75" x14ac:dyDescent="0.2">
      <c r="A9" s="298" t="s">
        <v>849</v>
      </c>
      <c r="B9" s="299"/>
      <c r="C9" s="299"/>
      <c r="D9" s="299"/>
      <c r="E9" s="299"/>
      <c r="F9" s="299"/>
      <c r="G9" s="299"/>
      <c r="H9" s="299"/>
      <c r="I9" s="299"/>
      <c r="J9" s="299"/>
      <c r="K9" s="299"/>
      <c r="L9" s="299"/>
      <c r="M9" s="300"/>
    </row>
    <row r="10" spans="1:13" ht="51" x14ac:dyDescent="0.2">
      <c r="A10" s="306">
        <v>2</v>
      </c>
      <c r="B10" s="308" t="s">
        <v>854</v>
      </c>
      <c r="C10" s="308" t="s">
        <v>861</v>
      </c>
      <c r="D10" s="7" t="s">
        <v>855</v>
      </c>
      <c r="E10" s="20">
        <v>88</v>
      </c>
      <c r="F10" s="21" t="s">
        <v>29</v>
      </c>
      <c r="G10" s="21" t="s">
        <v>916</v>
      </c>
      <c r="H10" s="21">
        <f>160*117/100</f>
        <v>187.2</v>
      </c>
      <c r="I10" s="21">
        <f>50*H10*3</f>
        <v>28080</v>
      </c>
      <c r="J10" s="7" t="s">
        <v>20</v>
      </c>
      <c r="K10" s="310" t="s">
        <v>917</v>
      </c>
      <c r="L10" s="320" t="s">
        <v>926</v>
      </c>
      <c r="M10" s="313"/>
    </row>
    <row r="11" spans="1:13" ht="63.75" x14ac:dyDescent="0.2">
      <c r="A11" s="306"/>
      <c r="B11" s="308"/>
      <c r="C11" s="308"/>
      <c r="D11" s="17" t="s">
        <v>856</v>
      </c>
      <c r="E11" s="18">
        <v>90</v>
      </c>
      <c r="F11" s="19" t="s">
        <v>29</v>
      </c>
      <c r="G11" s="19" t="s">
        <v>916</v>
      </c>
      <c r="H11" s="19">
        <f>200*117/100</f>
        <v>234</v>
      </c>
      <c r="I11" s="19">
        <f>50*H11*3</f>
        <v>35100</v>
      </c>
      <c r="J11" s="17" t="s">
        <v>20</v>
      </c>
      <c r="K11" s="310"/>
      <c r="L11" s="320"/>
      <c r="M11" s="313"/>
    </row>
    <row r="12" spans="1:13" ht="63.75" x14ac:dyDescent="0.2">
      <c r="A12" s="306"/>
      <c r="B12" s="308"/>
      <c r="C12" s="308"/>
      <c r="D12" s="7" t="s">
        <v>857</v>
      </c>
      <c r="E12" s="20">
        <v>56</v>
      </c>
      <c r="F12" s="21" t="s">
        <v>29</v>
      </c>
      <c r="G12" s="21" t="s">
        <v>916</v>
      </c>
      <c r="H12" s="21">
        <f>220*117/100</f>
        <v>257.39999999999998</v>
      </c>
      <c r="I12" s="21">
        <f t="shared" ref="I12:I15" si="0">50*H12*3</f>
        <v>38609.999999999993</v>
      </c>
      <c r="J12" s="7" t="s">
        <v>20</v>
      </c>
      <c r="K12" s="310"/>
      <c r="L12" s="320"/>
      <c r="M12" s="313"/>
    </row>
    <row r="13" spans="1:13" ht="63.75" x14ac:dyDescent="0.2">
      <c r="A13" s="306"/>
      <c r="B13" s="308"/>
      <c r="C13" s="308"/>
      <c r="D13" s="7" t="s">
        <v>860</v>
      </c>
      <c r="E13" s="20">
        <v>58</v>
      </c>
      <c r="F13" s="21" t="s">
        <v>29</v>
      </c>
      <c r="G13" s="21" t="s">
        <v>916</v>
      </c>
      <c r="H13" s="21">
        <f>280*117/100</f>
        <v>327.60000000000002</v>
      </c>
      <c r="I13" s="21">
        <f t="shared" si="0"/>
        <v>49140.000000000007</v>
      </c>
      <c r="J13" s="7" t="s">
        <v>20</v>
      </c>
      <c r="K13" s="310"/>
      <c r="L13" s="320"/>
      <c r="M13" s="313"/>
    </row>
    <row r="14" spans="1:13" ht="63.75" x14ac:dyDescent="0.2">
      <c r="A14" s="306"/>
      <c r="B14" s="308"/>
      <c r="C14" s="308"/>
      <c r="D14" s="7" t="s">
        <v>858</v>
      </c>
      <c r="E14" s="20">
        <v>48</v>
      </c>
      <c r="F14" s="21" t="s">
        <v>29</v>
      </c>
      <c r="G14" s="21" t="s">
        <v>916</v>
      </c>
      <c r="H14" s="21">
        <f>282*117/100</f>
        <v>329.94</v>
      </c>
      <c r="I14" s="21">
        <f t="shared" si="0"/>
        <v>49491</v>
      </c>
      <c r="J14" s="7"/>
      <c r="K14" s="310"/>
      <c r="L14" s="320"/>
      <c r="M14" s="313"/>
    </row>
    <row r="15" spans="1:13" ht="38.25" x14ac:dyDescent="0.2">
      <c r="A15" s="306"/>
      <c r="B15" s="308"/>
      <c r="C15" s="308"/>
      <c r="D15" s="7" t="s">
        <v>859</v>
      </c>
      <c r="E15" s="20">
        <v>38</v>
      </c>
      <c r="F15" s="21" t="s">
        <v>29</v>
      </c>
      <c r="G15" s="21" t="s">
        <v>916</v>
      </c>
      <c r="H15" s="21">
        <f>322*117/100</f>
        <v>376.74</v>
      </c>
      <c r="I15" s="21">
        <f t="shared" si="0"/>
        <v>56511</v>
      </c>
      <c r="J15" s="7" t="s">
        <v>20</v>
      </c>
      <c r="K15" s="310"/>
      <c r="L15" s="320"/>
      <c r="M15" s="313"/>
    </row>
    <row r="16" spans="1:13" ht="14.25" x14ac:dyDescent="0.2">
      <c r="A16" s="302"/>
      <c r="B16" s="303"/>
      <c r="C16" s="304"/>
      <c r="D16" s="304"/>
      <c r="E16" s="304"/>
      <c r="F16" s="304"/>
      <c r="G16" s="304"/>
      <c r="H16" s="304"/>
      <c r="I16" s="304"/>
      <c r="J16" s="304"/>
      <c r="K16" s="304"/>
      <c r="L16" s="304"/>
      <c r="M16" s="305"/>
    </row>
    <row r="17" spans="1:13" ht="15.75" x14ac:dyDescent="0.2">
      <c r="A17" s="298" t="s">
        <v>850</v>
      </c>
      <c r="B17" s="299"/>
      <c r="C17" s="299"/>
      <c r="D17" s="299"/>
      <c r="E17" s="299"/>
      <c r="F17" s="299"/>
      <c r="G17" s="299"/>
      <c r="H17" s="299"/>
      <c r="I17" s="299"/>
      <c r="J17" s="299"/>
      <c r="K17" s="299"/>
      <c r="L17" s="299"/>
      <c r="M17" s="300"/>
    </row>
    <row r="18" spans="1:13" ht="38.25" x14ac:dyDescent="0.2">
      <c r="A18" s="301">
        <v>3</v>
      </c>
      <c r="B18" s="307" t="s">
        <v>912</v>
      </c>
      <c r="C18" s="307" t="s">
        <v>693</v>
      </c>
      <c r="D18" s="17" t="s">
        <v>862</v>
      </c>
      <c r="E18" s="18">
        <v>100</v>
      </c>
      <c r="F18" s="19" t="s">
        <v>18</v>
      </c>
      <c r="G18" s="19" t="s">
        <v>18</v>
      </c>
      <c r="H18" s="137">
        <f>12800*117/100</f>
        <v>14976</v>
      </c>
      <c r="I18" s="137">
        <f>12800*117/100</f>
        <v>14976</v>
      </c>
      <c r="J18" s="17"/>
      <c r="K18" s="309" t="s">
        <v>426</v>
      </c>
      <c r="L18" s="319" t="s">
        <v>926</v>
      </c>
      <c r="M18" s="312">
        <v>1729000780</v>
      </c>
    </row>
    <row r="19" spans="1:13" ht="63.75" x14ac:dyDescent="0.2">
      <c r="A19" s="306"/>
      <c r="B19" s="308"/>
      <c r="C19" s="308"/>
      <c r="D19" s="7" t="s">
        <v>863</v>
      </c>
      <c r="E19" s="20">
        <v>84</v>
      </c>
      <c r="F19" s="21" t="s">
        <v>18</v>
      </c>
      <c r="G19" s="21" t="s">
        <v>18</v>
      </c>
      <c r="H19" s="151">
        <f>15000*117/100</f>
        <v>17550</v>
      </c>
      <c r="I19" s="151">
        <f>15000*117/100</f>
        <v>17550</v>
      </c>
      <c r="J19" s="7"/>
      <c r="K19" s="310"/>
      <c r="L19" s="320"/>
      <c r="M19" s="313"/>
    </row>
    <row r="20" spans="1:13" ht="25.5" x14ac:dyDescent="0.2">
      <c r="A20" s="306"/>
      <c r="B20" s="308"/>
      <c r="C20" s="308"/>
      <c r="D20" s="7" t="s">
        <v>864</v>
      </c>
      <c r="E20" s="20">
        <v>80</v>
      </c>
      <c r="F20" s="21" t="s">
        <v>18</v>
      </c>
      <c r="G20" s="21" t="s">
        <v>18</v>
      </c>
      <c r="H20" s="151">
        <f>20000*117/100</f>
        <v>23400</v>
      </c>
      <c r="I20" s="151">
        <f>20000*117/100</f>
        <v>23400</v>
      </c>
      <c r="J20" s="7"/>
      <c r="K20" s="310"/>
      <c r="L20" s="320"/>
      <c r="M20" s="313"/>
    </row>
    <row r="21" spans="1:13" ht="51" x14ac:dyDescent="0.2">
      <c r="A21" s="306"/>
      <c r="B21" s="328"/>
      <c r="C21" s="328"/>
      <c r="D21" s="7" t="s">
        <v>865</v>
      </c>
      <c r="E21" s="20">
        <v>74</v>
      </c>
      <c r="F21" s="21" t="s">
        <v>18</v>
      </c>
      <c r="G21" s="21" t="s">
        <v>18</v>
      </c>
      <c r="H21" s="151">
        <f>25000*117/100</f>
        <v>29250</v>
      </c>
      <c r="I21" s="151">
        <f>25000*117/100</f>
        <v>29250</v>
      </c>
      <c r="J21" s="7"/>
      <c r="K21" s="323"/>
      <c r="L21" s="332"/>
      <c r="M21" s="327"/>
    </row>
    <row r="22" spans="1:13" ht="14.25" x14ac:dyDescent="0.2">
      <c r="A22" s="302"/>
      <c r="B22" s="303"/>
      <c r="C22" s="304"/>
      <c r="D22" s="304"/>
      <c r="E22" s="304"/>
      <c r="F22" s="304"/>
      <c r="G22" s="304"/>
      <c r="H22" s="304"/>
      <c r="I22" s="304"/>
      <c r="J22" s="304"/>
      <c r="K22" s="304"/>
      <c r="L22" s="304"/>
      <c r="M22" s="305"/>
    </row>
    <row r="23" spans="1:13" ht="15.75" x14ac:dyDescent="0.2">
      <c r="A23" s="298" t="s">
        <v>851</v>
      </c>
      <c r="B23" s="299"/>
      <c r="C23" s="299"/>
      <c r="D23" s="299"/>
      <c r="E23" s="299"/>
      <c r="F23" s="299"/>
      <c r="G23" s="299"/>
      <c r="H23" s="299"/>
      <c r="I23" s="299"/>
      <c r="J23" s="299"/>
      <c r="K23" s="299"/>
      <c r="L23" s="299"/>
      <c r="M23" s="300"/>
    </row>
    <row r="24" spans="1:13" ht="25.5" x14ac:dyDescent="0.2">
      <c r="A24" s="301">
        <v>4</v>
      </c>
      <c r="B24" s="307" t="s">
        <v>868</v>
      </c>
      <c r="C24" s="307" t="s">
        <v>869</v>
      </c>
      <c r="D24" s="7" t="s">
        <v>870</v>
      </c>
      <c r="E24" s="20">
        <v>88</v>
      </c>
      <c r="F24" s="21" t="s">
        <v>18</v>
      </c>
      <c r="G24" s="21" t="s">
        <v>18</v>
      </c>
      <c r="H24" s="21">
        <v>38329.199999999997</v>
      </c>
      <c r="I24" s="21">
        <v>38329.199999999997</v>
      </c>
      <c r="J24" s="7"/>
      <c r="K24" s="309" t="s">
        <v>918</v>
      </c>
      <c r="L24" s="319" t="s">
        <v>926</v>
      </c>
      <c r="M24" s="312"/>
    </row>
    <row r="25" spans="1:13" ht="25.5" x14ac:dyDescent="0.2">
      <c r="A25" s="306"/>
      <c r="B25" s="308"/>
      <c r="C25" s="308"/>
      <c r="D25" s="17" t="s">
        <v>871</v>
      </c>
      <c r="E25" s="18">
        <v>90</v>
      </c>
      <c r="F25" s="19" t="s">
        <v>18</v>
      </c>
      <c r="G25" s="19" t="s">
        <v>18</v>
      </c>
      <c r="H25" s="19">
        <v>91168.74</v>
      </c>
      <c r="I25" s="19">
        <v>91168.74</v>
      </c>
      <c r="J25" s="17"/>
      <c r="K25" s="310"/>
      <c r="L25" s="320"/>
      <c r="M25" s="313"/>
    </row>
    <row r="26" spans="1:13" ht="14.25" x14ac:dyDescent="0.2">
      <c r="A26" s="306"/>
      <c r="B26" s="308"/>
      <c r="C26" s="308"/>
      <c r="D26" s="7" t="s">
        <v>872</v>
      </c>
      <c r="E26" s="20">
        <v>74</v>
      </c>
      <c r="F26" s="21" t="s">
        <v>18</v>
      </c>
      <c r="G26" s="21" t="s">
        <v>18</v>
      </c>
      <c r="H26" s="21">
        <v>113344.92</v>
      </c>
      <c r="I26" s="21">
        <v>113344.92</v>
      </c>
      <c r="J26" s="7"/>
      <c r="K26" s="310"/>
      <c r="L26" s="320"/>
      <c r="M26" s="313"/>
    </row>
    <row r="27" spans="1:13" ht="14.25" x14ac:dyDescent="0.2">
      <c r="A27" s="306"/>
      <c r="B27" s="328"/>
      <c r="C27" s="328"/>
      <c r="D27" s="7" t="s">
        <v>873</v>
      </c>
      <c r="E27" s="20">
        <v>64</v>
      </c>
      <c r="F27" s="21" t="s">
        <v>18</v>
      </c>
      <c r="G27" s="21" t="s">
        <v>18</v>
      </c>
      <c r="H27" s="21">
        <v>123201</v>
      </c>
      <c r="I27" s="21">
        <v>123201</v>
      </c>
      <c r="J27" s="7"/>
      <c r="K27" s="323"/>
      <c r="L27" s="332"/>
      <c r="M27" s="327"/>
    </row>
    <row r="28" spans="1:13" ht="14.25" x14ac:dyDescent="0.2">
      <c r="A28" s="302"/>
      <c r="B28" s="303"/>
      <c r="C28" s="304"/>
      <c r="D28" s="304"/>
      <c r="E28" s="304"/>
      <c r="F28" s="304"/>
      <c r="G28" s="304"/>
      <c r="H28" s="304"/>
      <c r="I28" s="304"/>
      <c r="J28" s="304"/>
      <c r="K28" s="304"/>
      <c r="L28" s="304"/>
      <c r="M28" s="305"/>
    </row>
    <row r="29" spans="1:13" ht="15.75" x14ac:dyDescent="0.2">
      <c r="A29" s="298" t="s">
        <v>852</v>
      </c>
      <c r="B29" s="299"/>
      <c r="C29" s="299"/>
      <c r="D29" s="299"/>
      <c r="E29" s="299"/>
      <c r="F29" s="299"/>
      <c r="G29" s="299"/>
      <c r="H29" s="299"/>
      <c r="I29" s="299"/>
      <c r="J29" s="299"/>
      <c r="K29" s="299"/>
      <c r="L29" s="299"/>
      <c r="M29" s="300"/>
    </row>
    <row r="30" spans="1:13" ht="38.25" x14ac:dyDescent="0.2">
      <c r="A30" s="301">
        <v>5</v>
      </c>
      <c r="B30" s="307" t="s">
        <v>866</v>
      </c>
      <c r="C30" s="307" t="s">
        <v>867</v>
      </c>
      <c r="D30" s="7" t="s">
        <v>874</v>
      </c>
      <c r="E30" s="20">
        <v>88</v>
      </c>
      <c r="F30" s="21" t="s">
        <v>879</v>
      </c>
      <c r="G30" s="21" t="s">
        <v>880</v>
      </c>
      <c r="H30" s="21">
        <f>205*117/100</f>
        <v>239.85</v>
      </c>
      <c r="I30" s="21">
        <f>40*12*H30</f>
        <v>115128</v>
      </c>
      <c r="J30" s="7" t="s">
        <v>20</v>
      </c>
      <c r="K30" s="309" t="s">
        <v>46</v>
      </c>
      <c r="L30" s="319" t="s">
        <v>926</v>
      </c>
      <c r="M30" s="312" t="s">
        <v>881</v>
      </c>
    </row>
    <row r="31" spans="1:13" ht="38.25" x14ac:dyDescent="0.2">
      <c r="A31" s="306"/>
      <c r="B31" s="308"/>
      <c r="C31" s="308"/>
      <c r="D31" s="17" t="s">
        <v>875</v>
      </c>
      <c r="E31" s="18">
        <v>90</v>
      </c>
      <c r="F31" s="19" t="s">
        <v>879</v>
      </c>
      <c r="G31" s="19" t="s">
        <v>880</v>
      </c>
      <c r="H31" s="19">
        <f>220*117/100</f>
        <v>257.39999999999998</v>
      </c>
      <c r="I31" s="19">
        <f>40*12*H31</f>
        <v>123551.99999999999</v>
      </c>
      <c r="J31" s="17" t="s">
        <v>20</v>
      </c>
      <c r="K31" s="310"/>
      <c r="L31" s="320"/>
      <c r="M31" s="313"/>
    </row>
    <row r="32" spans="1:13" ht="38.25" x14ac:dyDescent="0.2">
      <c r="A32" s="306"/>
      <c r="B32" s="308"/>
      <c r="C32" s="308"/>
      <c r="D32" s="7" t="s">
        <v>876</v>
      </c>
      <c r="E32" s="20">
        <v>68</v>
      </c>
      <c r="F32" s="21" t="s">
        <v>879</v>
      </c>
      <c r="G32" s="21" t="s">
        <v>880</v>
      </c>
      <c r="H32" s="21">
        <f>222*117/100</f>
        <v>259.74</v>
      </c>
      <c r="I32" s="21">
        <f t="shared" ref="I32:I34" si="1">40*12*H32</f>
        <v>124675.20000000001</v>
      </c>
      <c r="J32" s="7"/>
      <c r="K32" s="310"/>
      <c r="L32" s="320"/>
      <c r="M32" s="313"/>
    </row>
    <row r="33" spans="1:13" ht="38.25" x14ac:dyDescent="0.2">
      <c r="A33" s="306"/>
      <c r="B33" s="308"/>
      <c r="C33" s="308"/>
      <c r="D33" s="7" t="s">
        <v>877</v>
      </c>
      <c r="E33" s="20">
        <v>58</v>
      </c>
      <c r="F33" s="21" t="s">
        <v>879</v>
      </c>
      <c r="G33" s="21" t="s">
        <v>880</v>
      </c>
      <c r="H33" s="21">
        <f>235*117/100</f>
        <v>274.95</v>
      </c>
      <c r="I33" s="21">
        <f t="shared" si="1"/>
        <v>131976</v>
      </c>
      <c r="J33" s="7" t="s">
        <v>20</v>
      </c>
      <c r="K33" s="310"/>
      <c r="L33" s="320"/>
      <c r="M33" s="313"/>
    </row>
    <row r="34" spans="1:13" ht="38.25" x14ac:dyDescent="0.2">
      <c r="A34" s="306"/>
      <c r="B34" s="328"/>
      <c r="C34" s="328"/>
      <c r="D34" s="7" t="s">
        <v>878</v>
      </c>
      <c r="E34" s="20">
        <v>48</v>
      </c>
      <c r="F34" s="21" t="s">
        <v>879</v>
      </c>
      <c r="G34" s="21" t="s">
        <v>880</v>
      </c>
      <c r="H34" s="21">
        <f>250*117/100</f>
        <v>292.5</v>
      </c>
      <c r="I34" s="21">
        <f t="shared" si="1"/>
        <v>140400</v>
      </c>
      <c r="J34" s="7" t="s">
        <v>20</v>
      </c>
      <c r="K34" s="323"/>
      <c r="L34" s="332"/>
      <c r="M34" s="327"/>
    </row>
    <row r="35" spans="1:13" ht="14.25" x14ac:dyDescent="0.2">
      <c r="A35" s="302"/>
      <c r="B35" s="303"/>
      <c r="C35" s="304"/>
      <c r="D35" s="304"/>
      <c r="E35" s="304"/>
      <c r="F35" s="304"/>
      <c r="G35" s="304"/>
      <c r="H35" s="304"/>
      <c r="I35" s="304"/>
      <c r="J35" s="304"/>
      <c r="K35" s="304"/>
      <c r="L35" s="304"/>
      <c r="M35" s="305"/>
    </row>
    <row r="36" spans="1:13" ht="15.75" x14ac:dyDescent="0.2">
      <c r="A36" s="298" t="s">
        <v>853</v>
      </c>
      <c r="B36" s="299"/>
      <c r="C36" s="299"/>
      <c r="D36" s="299"/>
      <c r="E36" s="299"/>
      <c r="F36" s="299"/>
      <c r="G36" s="299"/>
      <c r="H36" s="299"/>
      <c r="I36" s="299"/>
      <c r="J36" s="299"/>
      <c r="K36" s="299"/>
      <c r="L36" s="299"/>
      <c r="M36" s="300"/>
    </row>
    <row r="37" spans="1:13" ht="25.5" x14ac:dyDescent="0.2">
      <c r="A37" s="301">
        <v>6</v>
      </c>
      <c r="B37" s="307" t="s">
        <v>896</v>
      </c>
      <c r="C37" s="307" t="s">
        <v>146</v>
      </c>
      <c r="D37" s="7" t="s">
        <v>882</v>
      </c>
      <c r="E37" s="20">
        <v>76</v>
      </c>
      <c r="F37" s="21" t="s">
        <v>18</v>
      </c>
      <c r="G37" s="21" t="s">
        <v>18</v>
      </c>
      <c r="H37" s="21">
        <f>14000*117/100</f>
        <v>16380</v>
      </c>
      <c r="I37" s="21">
        <f>14000*117/100</f>
        <v>16380</v>
      </c>
      <c r="J37" s="7"/>
      <c r="K37" s="309" t="s">
        <v>426</v>
      </c>
      <c r="L37" s="319" t="s">
        <v>926</v>
      </c>
      <c r="M37" s="312" t="s">
        <v>887</v>
      </c>
    </row>
    <row r="38" spans="1:13" ht="51" x14ac:dyDescent="0.2">
      <c r="A38" s="306"/>
      <c r="B38" s="308"/>
      <c r="C38" s="308"/>
      <c r="D38" s="7" t="s">
        <v>883</v>
      </c>
      <c r="E38" s="20">
        <v>66</v>
      </c>
      <c r="F38" s="21" t="s">
        <v>18</v>
      </c>
      <c r="G38" s="21" t="s">
        <v>18</v>
      </c>
      <c r="H38" s="21">
        <f>15000*117/100</f>
        <v>17550</v>
      </c>
      <c r="I38" s="21">
        <f>15000*117/100</f>
        <v>17550</v>
      </c>
      <c r="J38" s="152"/>
      <c r="K38" s="310"/>
      <c r="L38" s="320"/>
      <c r="M38" s="313"/>
    </row>
    <row r="39" spans="1:13" ht="25.5" x14ac:dyDescent="0.2">
      <c r="A39" s="306"/>
      <c r="B39" s="308"/>
      <c r="C39" s="308"/>
      <c r="D39" s="17" t="s">
        <v>884</v>
      </c>
      <c r="E39" s="18">
        <v>80</v>
      </c>
      <c r="F39" s="19" t="s">
        <v>18</v>
      </c>
      <c r="G39" s="19" t="s">
        <v>18</v>
      </c>
      <c r="H39" s="19">
        <f>16000*117/100</f>
        <v>18720</v>
      </c>
      <c r="I39" s="19">
        <f>16000*117/100</f>
        <v>18720</v>
      </c>
      <c r="J39" s="17" t="s">
        <v>20</v>
      </c>
      <c r="K39" s="310"/>
      <c r="L39" s="320"/>
      <c r="M39" s="313"/>
    </row>
    <row r="40" spans="1:13" ht="25.5" x14ac:dyDescent="0.2">
      <c r="A40" s="306"/>
      <c r="B40" s="328"/>
      <c r="C40" s="328"/>
      <c r="D40" s="7" t="s">
        <v>885</v>
      </c>
      <c r="E40" s="20">
        <v>70</v>
      </c>
      <c r="F40" s="21" t="s">
        <v>18</v>
      </c>
      <c r="G40" s="21" t="s">
        <v>18</v>
      </c>
      <c r="H40" s="21">
        <f>16500*117/100</f>
        <v>19305</v>
      </c>
      <c r="I40" s="21">
        <f>16500*117/100</f>
        <v>19305</v>
      </c>
      <c r="J40" s="7" t="s">
        <v>20</v>
      </c>
      <c r="K40" s="323"/>
      <c r="L40" s="332"/>
      <c r="M40" s="327"/>
    </row>
    <row r="41" spans="1:13" ht="14.25" x14ac:dyDescent="0.2">
      <c r="A41" s="302"/>
      <c r="B41" s="303"/>
      <c r="C41" s="304"/>
      <c r="D41" s="304"/>
      <c r="E41" s="304"/>
      <c r="F41" s="304"/>
      <c r="G41" s="304"/>
      <c r="H41" s="304"/>
      <c r="I41" s="304"/>
      <c r="J41" s="304"/>
      <c r="K41" s="304"/>
      <c r="L41" s="304"/>
      <c r="M41" s="305"/>
    </row>
    <row r="42" spans="1:13" ht="15.75" x14ac:dyDescent="0.2">
      <c r="A42" s="298" t="s">
        <v>886</v>
      </c>
      <c r="B42" s="299"/>
      <c r="C42" s="299"/>
      <c r="D42" s="299"/>
      <c r="E42" s="299"/>
      <c r="F42" s="299"/>
      <c r="G42" s="299"/>
      <c r="H42" s="299"/>
      <c r="I42" s="299"/>
      <c r="J42" s="299"/>
      <c r="K42" s="299"/>
      <c r="L42" s="299"/>
      <c r="M42" s="300"/>
    </row>
    <row r="43" spans="1:13" ht="38.25" x14ac:dyDescent="0.2">
      <c r="A43" s="301">
        <v>7</v>
      </c>
      <c r="B43" s="148" t="s">
        <v>901</v>
      </c>
      <c r="C43" s="148" t="s">
        <v>146</v>
      </c>
      <c r="D43" s="17" t="s">
        <v>894</v>
      </c>
      <c r="E43" s="18">
        <v>100</v>
      </c>
      <c r="F43" s="19" t="s">
        <v>18</v>
      </c>
      <c r="G43" s="19" t="s">
        <v>18</v>
      </c>
      <c r="H43" s="19">
        <f>2500*117/100</f>
        <v>2925</v>
      </c>
      <c r="I43" s="19">
        <f>2500*117/100</f>
        <v>2925</v>
      </c>
      <c r="J43" s="17" t="s">
        <v>20</v>
      </c>
      <c r="K43" s="149" t="s">
        <v>915</v>
      </c>
      <c r="L43" s="150" t="s">
        <v>926</v>
      </c>
      <c r="M43" s="147" t="s">
        <v>895</v>
      </c>
    </row>
    <row r="44" spans="1:13" ht="13.9" customHeight="1" x14ac:dyDescent="0.2">
      <c r="A44" s="302"/>
      <c r="B44" s="303" t="s">
        <v>921</v>
      </c>
      <c r="C44" s="304"/>
      <c r="D44" s="304"/>
      <c r="E44" s="304"/>
      <c r="F44" s="304"/>
      <c r="G44" s="304"/>
      <c r="H44" s="304"/>
      <c r="I44" s="304"/>
      <c r="J44" s="304"/>
      <c r="K44" s="304"/>
      <c r="L44" s="304"/>
      <c r="M44" s="305"/>
    </row>
    <row r="45" spans="1:13" ht="15.75" x14ac:dyDescent="0.2">
      <c r="A45" s="298" t="s">
        <v>888</v>
      </c>
      <c r="B45" s="299"/>
      <c r="C45" s="299"/>
      <c r="D45" s="299"/>
      <c r="E45" s="299"/>
      <c r="F45" s="299"/>
      <c r="G45" s="299"/>
      <c r="H45" s="299"/>
      <c r="I45" s="299"/>
      <c r="J45" s="299"/>
      <c r="K45" s="299"/>
      <c r="L45" s="299"/>
      <c r="M45" s="300"/>
    </row>
    <row r="46" spans="1:13" ht="41.45" customHeight="1" x14ac:dyDescent="0.2">
      <c r="A46" s="301">
        <v>8</v>
      </c>
      <c r="B46" s="148" t="s">
        <v>900</v>
      </c>
      <c r="C46" s="148" t="s">
        <v>146</v>
      </c>
      <c r="D46" s="17" t="s">
        <v>32</v>
      </c>
      <c r="E46" s="18">
        <v>100</v>
      </c>
      <c r="F46" s="19" t="s">
        <v>18</v>
      </c>
      <c r="G46" s="19" t="s">
        <v>18</v>
      </c>
      <c r="H46" s="19">
        <f>13350*117/100</f>
        <v>15619.5</v>
      </c>
      <c r="I46" s="19">
        <f>13350*117/100</f>
        <v>15619.5</v>
      </c>
      <c r="J46" s="17" t="s">
        <v>20</v>
      </c>
      <c r="K46" s="149" t="s">
        <v>915</v>
      </c>
      <c r="L46" s="150" t="s">
        <v>926</v>
      </c>
      <c r="M46" s="147" t="s">
        <v>887</v>
      </c>
    </row>
    <row r="47" spans="1:13" ht="14.25" x14ac:dyDescent="0.2">
      <c r="A47" s="302"/>
      <c r="B47" s="303" t="s">
        <v>921</v>
      </c>
      <c r="C47" s="304"/>
      <c r="D47" s="304"/>
      <c r="E47" s="304"/>
      <c r="F47" s="304"/>
      <c r="G47" s="304"/>
      <c r="H47" s="304"/>
      <c r="I47" s="304"/>
      <c r="J47" s="304"/>
      <c r="K47" s="304"/>
      <c r="L47" s="304"/>
      <c r="M47" s="305"/>
    </row>
    <row r="48" spans="1:13" ht="15.75" x14ac:dyDescent="0.2">
      <c r="A48" s="298" t="s">
        <v>889</v>
      </c>
      <c r="B48" s="299"/>
      <c r="C48" s="299"/>
      <c r="D48" s="299"/>
      <c r="E48" s="299"/>
      <c r="F48" s="299"/>
      <c r="G48" s="299"/>
      <c r="H48" s="299"/>
      <c r="I48" s="299"/>
      <c r="J48" s="299"/>
      <c r="K48" s="299"/>
      <c r="L48" s="299"/>
      <c r="M48" s="300"/>
    </row>
    <row r="49" spans="1:13" ht="38.25" x14ac:dyDescent="0.2">
      <c r="A49" s="301">
        <v>9</v>
      </c>
      <c r="B49" s="148" t="s">
        <v>899</v>
      </c>
      <c r="C49" s="148" t="s">
        <v>146</v>
      </c>
      <c r="D49" s="17" t="s">
        <v>897</v>
      </c>
      <c r="E49" s="18">
        <v>100</v>
      </c>
      <c r="F49" s="19" t="s">
        <v>18</v>
      </c>
      <c r="G49" s="19" t="s">
        <v>18</v>
      </c>
      <c r="H49" s="19">
        <f>650*117/100</f>
        <v>760.5</v>
      </c>
      <c r="I49" s="19">
        <f>650*117/100</f>
        <v>760.5</v>
      </c>
      <c r="J49" s="17" t="s">
        <v>20</v>
      </c>
      <c r="K49" s="149" t="s">
        <v>915</v>
      </c>
      <c r="L49" s="150" t="s">
        <v>926</v>
      </c>
      <c r="M49" s="147" t="s">
        <v>887</v>
      </c>
    </row>
    <row r="50" spans="1:13" ht="14.25" x14ac:dyDescent="0.2">
      <c r="A50" s="302"/>
      <c r="B50" s="303" t="s">
        <v>898</v>
      </c>
      <c r="C50" s="304"/>
      <c r="D50" s="304"/>
      <c r="E50" s="304"/>
      <c r="F50" s="304"/>
      <c r="G50" s="304"/>
      <c r="H50" s="304"/>
      <c r="I50" s="304"/>
      <c r="J50" s="304"/>
      <c r="K50" s="304"/>
      <c r="L50" s="304"/>
      <c r="M50" s="305"/>
    </row>
    <row r="51" spans="1:13" ht="15.75" x14ac:dyDescent="0.2">
      <c r="A51" s="298" t="s">
        <v>890</v>
      </c>
      <c r="B51" s="299"/>
      <c r="C51" s="299"/>
      <c r="D51" s="299"/>
      <c r="E51" s="299"/>
      <c r="F51" s="299"/>
      <c r="G51" s="299"/>
      <c r="H51" s="299"/>
      <c r="I51" s="299"/>
      <c r="J51" s="299"/>
      <c r="K51" s="299"/>
      <c r="L51" s="299"/>
      <c r="M51" s="300"/>
    </row>
    <row r="52" spans="1:13" ht="44.45" customHeight="1" x14ac:dyDescent="0.2">
      <c r="A52" s="301">
        <v>10</v>
      </c>
      <c r="B52" s="148" t="s">
        <v>902</v>
      </c>
      <c r="C52" s="148" t="s">
        <v>146</v>
      </c>
      <c r="D52" s="17" t="s">
        <v>163</v>
      </c>
      <c r="E52" s="18">
        <v>100</v>
      </c>
      <c r="F52" s="19" t="s">
        <v>18</v>
      </c>
      <c r="G52" s="19" t="s">
        <v>18</v>
      </c>
      <c r="H52" s="19">
        <f>35000*117/100</f>
        <v>40950</v>
      </c>
      <c r="I52" s="19">
        <f>35000*117/100</f>
        <v>40950</v>
      </c>
      <c r="J52" s="17" t="s">
        <v>20</v>
      </c>
      <c r="K52" s="149" t="s">
        <v>915</v>
      </c>
      <c r="L52" s="150" t="s">
        <v>926</v>
      </c>
      <c r="M52" s="147" t="s">
        <v>887</v>
      </c>
    </row>
    <row r="53" spans="1:13" ht="14.25" x14ac:dyDescent="0.2">
      <c r="A53" s="302"/>
      <c r="B53" s="303" t="s">
        <v>920</v>
      </c>
      <c r="C53" s="304"/>
      <c r="D53" s="304"/>
      <c r="E53" s="304"/>
      <c r="F53" s="304"/>
      <c r="G53" s="304"/>
      <c r="H53" s="304"/>
      <c r="I53" s="304"/>
      <c r="J53" s="304"/>
      <c r="K53" s="304"/>
      <c r="L53" s="304"/>
      <c r="M53" s="305"/>
    </row>
    <row r="54" spans="1:13" ht="15.75" x14ac:dyDescent="0.2">
      <c r="A54" s="298" t="s">
        <v>891</v>
      </c>
      <c r="B54" s="299"/>
      <c r="C54" s="299"/>
      <c r="D54" s="299"/>
      <c r="E54" s="299"/>
      <c r="F54" s="299"/>
      <c r="G54" s="299"/>
      <c r="H54" s="299"/>
      <c r="I54" s="299"/>
      <c r="J54" s="299"/>
      <c r="K54" s="299"/>
      <c r="L54" s="299"/>
      <c r="M54" s="300"/>
    </row>
    <row r="55" spans="1:13" ht="25.5" x14ac:dyDescent="0.2">
      <c r="A55" s="301">
        <v>11</v>
      </c>
      <c r="B55" s="307" t="s">
        <v>903</v>
      </c>
      <c r="C55" s="307" t="s">
        <v>146</v>
      </c>
      <c r="D55" s="17" t="s">
        <v>913</v>
      </c>
      <c r="E55" s="18">
        <v>100</v>
      </c>
      <c r="F55" s="19" t="s">
        <v>18</v>
      </c>
      <c r="G55" s="19" t="s">
        <v>18</v>
      </c>
      <c r="H55" s="19">
        <f>7000*117/100</f>
        <v>8190</v>
      </c>
      <c r="I55" s="19">
        <f>7000*117/100</f>
        <v>8190</v>
      </c>
      <c r="J55" s="17" t="s">
        <v>20</v>
      </c>
      <c r="K55" s="309" t="s">
        <v>426</v>
      </c>
      <c r="L55" s="319" t="s">
        <v>926</v>
      </c>
      <c r="M55" s="312" t="s">
        <v>887</v>
      </c>
    </row>
    <row r="56" spans="1:13" ht="51" x14ac:dyDescent="0.2">
      <c r="A56" s="306"/>
      <c r="B56" s="308"/>
      <c r="C56" s="308"/>
      <c r="D56" s="7" t="s">
        <v>865</v>
      </c>
      <c r="E56" s="20">
        <v>94</v>
      </c>
      <c r="F56" s="21" t="s">
        <v>18</v>
      </c>
      <c r="G56" s="21" t="s">
        <v>18</v>
      </c>
      <c r="H56" s="21">
        <f t="shared" ref="H56:I56" si="2">7000*117/100</f>
        <v>8190</v>
      </c>
      <c r="I56" s="21">
        <f t="shared" si="2"/>
        <v>8190</v>
      </c>
      <c r="J56" s="7" t="s">
        <v>20</v>
      </c>
      <c r="K56" s="310"/>
      <c r="L56" s="320"/>
      <c r="M56" s="313"/>
    </row>
    <row r="57" spans="1:13" ht="14.25" x14ac:dyDescent="0.2">
      <c r="A57" s="306"/>
      <c r="B57" s="308"/>
      <c r="C57" s="308"/>
      <c r="D57" s="7" t="s">
        <v>904</v>
      </c>
      <c r="E57" s="20">
        <v>80</v>
      </c>
      <c r="F57" s="21" t="s">
        <v>18</v>
      </c>
      <c r="G57" s="21" t="s">
        <v>18</v>
      </c>
      <c r="H57" s="21">
        <f>7800*117/100</f>
        <v>9126</v>
      </c>
      <c r="I57" s="21">
        <f>7800*117/100</f>
        <v>9126</v>
      </c>
      <c r="J57" s="7" t="s">
        <v>20</v>
      </c>
      <c r="K57" s="310"/>
      <c r="L57" s="320"/>
      <c r="M57" s="313"/>
    </row>
    <row r="58" spans="1:13" ht="14.25" x14ac:dyDescent="0.2">
      <c r="A58" s="306"/>
      <c r="B58" s="308"/>
      <c r="C58" s="308"/>
      <c r="D58" s="7" t="s">
        <v>488</v>
      </c>
      <c r="E58" s="20">
        <v>70</v>
      </c>
      <c r="F58" s="21" t="s">
        <v>18</v>
      </c>
      <c r="G58" s="21" t="s">
        <v>18</v>
      </c>
      <c r="H58" s="21">
        <f>8000*117/100</f>
        <v>9360</v>
      </c>
      <c r="I58" s="21">
        <f>8000*117/100</f>
        <v>9360</v>
      </c>
      <c r="J58" s="7"/>
      <c r="K58" s="310"/>
      <c r="L58" s="320"/>
      <c r="M58" s="313"/>
    </row>
    <row r="59" spans="1:13" ht="25.5" x14ac:dyDescent="0.2">
      <c r="A59" s="306"/>
      <c r="B59" s="328"/>
      <c r="C59" s="328"/>
      <c r="D59" s="7" t="s">
        <v>905</v>
      </c>
      <c r="E59" s="20">
        <v>60</v>
      </c>
      <c r="F59" s="21" t="s">
        <v>18</v>
      </c>
      <c r="G59" s="21" t="s">
        <v>18</v>
      </c>
      <c r="H59" s="21">
        <f>8500*117/100</f>
        <v>9945</v>
      </c>
      <c r="I59" s="21">
        <f>8500*117/100</f>
        <v>9945</v>
      </c>
      <c r="J59" s="7" t="s">
        <v>20</v>
      </c>
      <c r="K59" s="323"/>
      <c r="L59" s="332"/>
      <c r="M59" s="327"/>
    </row>
    <row r="60" spans="1:13" ht="14.25" x14ac:dyDescent="0.2">
      <c r="A60" s="302"/>
      <c r="B60" s="303"/>
      <c r="C60" s="304"/>
      <c r="D60" s="304"/>
      <c r="E60" s="304"/>
      <c r="F60" s="304"/>
      <c r="G60" s="304"/>
      <c r="H60" s="304"/>
      <c r="I60" s="304"/>
      <c r="J60" s="304"/>
      <c r="K60" s="304"/>
      <c r="L60" s="304"/>
      <c r="M60" s="305"/>
    </row>
    <row r="61" spans="1:13" ht="15.75" x14ac:dyDescent="0.2">
      <c r="A61" s="298" t="s">
        <v>892</v>
      </c>
      <c r="B61" s="299"/>
      <c r="C61" s="299"/>
      <c r="D61" s="299"/>
      <c r="E61" s="299"/>
      <c r="F61" s="299"/>
      <c r="G61" s="299"/>
      <c r="H61" s="299"/>
      <c r="I61" s="299"/>
      <c r="J61" s="299"/>
      <c r="K61" s="299"/>
      <c r="L61" s="299"/>
      <c r="M61" s="300"/>
    </row>
    <row r="62" spans="1:13" ht="38.25" x14ac:dyDescent="0.2">
      <c r="A62" s="301">
        <v>12</v>
      </c>
      <c r="B62" s="148" t="s">
        <v>906</v>
      </c>
      <c r="C62" s="148" t="s">
        <v>146</v>
      </c>
      <c r="D62" s="17" t="s">
        <v>907</v>
      </c>
      <c r="E62" s="18">
        <v>100</v>
      </c>
      <c r="F62" s="19" t="s">
        <v>18</v>
      </c>
      <c r="G62" s="19" t="s">
        <v>18</v>
      </c>
      <c r="H62" s="19">
        <f>55000*117/100</f>
        <v>64350</v>
      </c>
      <c r="I62" s="19">
        <f>55000*117/100</f>
        <v>64350</v>
      </c>
      <c r="J62" s="17" t="s">
        <v>20</v>
      </c>
      <c r="K62" s="149" t="s">
        <v>915</v>
      </c>
      <c r="L62" s="150" t="s">
        <v>926</v>
      </c>
      <c r="M62" s="147" t="s">
        <v>887</v>
      </c>
    </row>
    <row r="63" spans="1:13" ht="13.9" customHeight="1" x14ac:dyDescent="0.2">
      <c r="A63" s="302"/>
      <c r="B63" s="303" t="s">
        <v>927</v>
      </c>
      <c r="C63" s="304"/>
      <c r="D63" s="304"/>
      <c r="E63" s="304"/>
      <c r="F63" s="304"/>
      <c r="G63" s="304"/>
      <c r="H63" s="304"/>
      <c r="I63" s="304"/>
      <c r="J63" s="304"/>
      <c r="K63" s="304"/>
      <c r="L63" s="304"/>
      <c r="M63" s="305"/>
    </row>
    <row r="64" spans="1:13" ht="15.75" x14ac:dyDescent="0.2">
      <c r="A64" s="298" t="s">
        <v>893</v>
      </c>
      <c r="B64" s="299"/>
      <c r="C64" s="299"/>
      <c r="D64" s="299"/>
      <c r="E64" s="299"/>
      <c r="F64" s="299"/>
      <c r="G64" s="299"/>
      <c r="H64" s="299"/>
      <c r="I64" s="299"/>
      <c r="J64" s="299"/>
      <c r="K64" s="299"/>
      <c r="L64" s="299"/>
      <c r="M64" s="300"/>
    </row>
    <row r="65" spans="1:13" ht="39.6" customHeight="1" x14ac:dyDescent="0.2">
      <c r="A65" s="301">
        <v>13</v>
      </c>
      <c r="B65" s="148" t="s">
        <v>908</v>
      </c>
      <c r="C65" s="148" t="s">
        <v>909</v>
      </c>
      <c r="D65" s="17" t="s">
        <v>910</v>
      </c>
      <c r="E65" s="18">
        <v>100</v>
      </c>
      <c r="F65" s="19" t="s">
        <v>29</v>
      </c>
      <c r="G65" s="19" t="s">
        <v>911</v>
      </c>
      <c r="H65" s="19">
        <f>250*117/100</f>
        <v>292.5</v>
      </c>
      <c r="I65" s="19">
        <f>H65*94.5*3</f>
        <v>82923.75</v>
      </c>
      <c r="J65" s="17" t="s">
        <v>20</v>
      </c>
      <c r="K65" s="149" t="s">
        <v>915</v>
      </c>
      <c r="L65" s="150" t="s">
        <v>926</v>
      </c>
      <c r="M65" s="147" t="s">
        <v>914</v>
      </c>
    </row>
    <row r="66" spans="1:13" ht="14.25" x14ac:dyDescent="0.2">
      <c r="A66" s="302"/>
      <c r="B66" s="303" t="s">
        <v>919</v>
      </c>
      <c r="C66" s="304"/>
      <c r="D66" s="304"/>
      <c r="E66" s="304"/>
      <c r="F66" s="304"/>
      <c r="G66" s="304"/>
      <c r="H66" s="304"/>
      <c r="I66" s="304"/>
      <c r="J66" s="304"/>
      <c r="K66" s="304"/>
      <c r="L66" s="304"/>
      <c r="M66" s="305"/>
    </row>
  </sheetData>
  <mergeCells count="74">
    <mergeCell ref="A64:M64"/>
    <mergeCell ref="A65:A66"/>
    <mergeCell ref="B66:M66"/>
    <mergeCell ref="A61:M61"/>
    <mergeCell ref="A62:A63"/>
    <mergeCell ref="B63:M63"/>
    <mergeCell ref="A54:M54"/>
    <mergeCell ref="A55:A60"/>
    <mergeCell ref="B55:B59"/>
    <mergeCell ref="C55:C59"/>
    <mergeCell ref="K55:K59"/>
    <mergeCell ref="L55:L59"/>
    <mergeCell ref="M55:M59"/>
    <mergeCell ref="B60:M60"/>
    <mergeCell ref="A51:M51"/>
    <mergeCell ref="A52:A53"/>
    <mergeCell ref="B53:M53"/>
    <mergeCell ref="A48:M48"/>
    <mergeCell ref="A49:A50"/>
    <mergeCell ref="B50:M50"/>
    <mergeCell ref="A45:M45"/>
    <mergeCell ref="A46:A47"/>
    <mergeCell ref="B47:M47"/>
    <mergeCell ref="A42:M42"/>
    <mergeCell ref="A43:A44"/>
    <mergeCell ref="B44:M44"/>
    <mergeCell ref="A6:M6"/>
    <mergeCell ref="A7:A8"/>
    <mergeCell ref="B8:M8"/>
    <mergeCell ref="A1:A5"/>
    <mergeCell ref="B1:M1"/>
    <mergeCell ref="B2:M2"/>
    <mergeCell ref="B3:M3"/>
    <mergeCell ref="B4:M4"/>
    <mergeCell ref="A9:M9"/>
    <mergeCell ref="A10:A16"/>
    <mergeCell ref="B10:B15"/>
    <mergeCell ref="C10:C15"/>
    <mergeCell ref="K10:K15"/>
    <mergeCell ref="L10:L15"/>
    <mergeCell ref="M10:M15"/>
    <mergeCell ref="B16:M16"/>
    <mergeCell ref="A17:M17"/>
    <mergeCell ref="A18:A22"/>
    <mergeCell ref="B18:B21"/>
    <mergeCell ref="C18:C21"/>
    <mergeCell ref="K18:K21"/>
    <mergeCell ref="L18:L21"/>
    <mergeCell ref="M18:M21"/>
    <mergeCell ref="B22:M22"/>
    <mergeCell ref="A23:M23"/>
    <mergeCell ref="A24:A28"/>
    <mergeCell ref="B24:B27"/>
    <mergeCell ref="C24:C27"/>
    <mergeCell ref="K24:K27"/>
    <mergeCell ref="L24:L27"/>
    <mergeCell ref="M24:M27"/>
    <mergeCell ref="B28:M28"/>
    <mergeCell ref="A29:M29"/>
    <mergeCell ref="A30:A35"/>
    <mergeCell ref="B30:B34"/>
    <mergeCell ref="C30:C34"/>
    <mergeCell ref="K30:K34"/>
    <mergeCell ref="L30:L34"/>
    <mergeCell ref="M30:M34"/>
    <mergeCell ref="B35:M35"/>
    <mergeCell ref="A36:M36"/>
    <mergeCell ref="A37:A41"/>
    <mergeCell ref="B37:B40"/>
    <mergeCell ref="C37:C40"/>
    <mergeCell ref="K37:K40"/>
    <mergeCell ref="L37:L40"/>
    <mergeCell ref="M37:M40"/>
    <mergeCell ref="B41:M41"/>
  </mergeCells>
  <pageMargins left="0.7" right="0.7" top="0.75" bottom="0.75" header="0.3" footer="0.3"/>
  <pageSetup paperSize="9" scale="7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rightToLeft="1" zoomScaleNormal="100" workbookViewId="0">
      <pane ySplit="6" topLeftCell="A7" activePane="bottomLeft" state="frozen"/>
      <selection pane="bottomLeft" activeCell="F23" sqref="F23"/>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625"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842</v>
      </c>
      <c r="C1" s="315"/>
      <c r="D1" s="315"/>
      <c r="E1" s="315"/>
      <c r="F1" s="315"/>
      <c r="G1" s="315"/>
      <c r="H1" s="315"/>
      <c r="I1" s="315"/>
      <c r="J1" s="315"/>
      <c r="K1" s="315"/>
      <c r="L1" s="315"/>
      <c r="M1" s="315"/>
    </row>
    <row r="2" spans="1:13" ht="29.45" customHeight="1" x14ac:dyDescent="0.2">
      <c r="A2" s="314"/>
      <c r="B2" s="316" t="s">
        <v>840</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15" customHeight="1" x14ac:dyDescent="0.2">
      <c r="A5" s="314"/>
      <c r="B5" s="339" t="s">
        <v>841</v>
      </c>
      <c r="C5" s="340"/>
      <c r="D5" s="340"/>
      <c r="E5" s="340"/>
      <c r="F5" s="340"/>
      <c r="G5" s="340"/>
      <c r="H5" s="340"/>
      <c r="I5" s="340"/>
      <c r="J5" s="340"/>
      <c r="K5" s="340"/>
      <c r="L5" s="340"/>
      <c r="M5" s="340"/>
    </row>
    <row r="6" spans="1:13" ht="47.25" x14ac:dyDescent="0.2">
      <c r="A6" s="314"/>
      <c r="B6" s="141" t="s">
        <v>2</v>
      </c>
      <c r="C6" s="2" t="s">
        <v>3</v>
      </c>
      <c r="D6" s="3" t="s">
        <v>4</v>
      </c>
      <c r="E6" s="3" t="s">
        <v>5</v>
      </c>
      <c r="F6" s="3" t="s">
        <v>6</v>
      </c>
      <c r="G6" s="3" t="s">
        <v>7</v>
      </c>
      <c r="H6" s="4" t="s">
        <v>8</v>
      </c>
      <c r="I6" s="5" t="s">
        <v>9</v>
      </c>
      <c r="J6" s="3" t="s">
        <v>10</v>
      </c>
      <c r="K6" s="3" t="s">
        <v>11</v>
      </c>
      <c r="L6" s="130" t="s">
        <v>12</v>
      </c>
      <c r="M6" s="3" t="s">
        <v>13</v>
      </c>
    </row>
    <row r="7" spans="1:13" ht="15.75" x14ac:dyDescent="0.2">
      <c r="A7" s="298" t="s">
        <v>844</v>
      </c>
      <c r="B7" s="299"/>
      <c r="C7" s="299"/>
      <c r="D7" s="299"/>
      <c r="E7" s="299"/>
      <c r="F7" s="299"/>
      <c r="G7" s="299"/>
      <c r="H7" s="299"/>
      <c r="I7" s="299"/>
      <c r="J7" s="299"/>
      <c r="K7" s="299"/>
      <c r="L7" s="299"/>
      <c r="M7" s="300"/>
    </row>
    <row r="8" spans="1:13" ht="25.5" x14ac:dyDescent="0.2">
      <c r="A8" s="301">
        <v>1</v>
      </c>
      <c r="B8" s="307" t="s">
        <v>837</v>
      </c>
      <c r="C8" s="307" t="s">
        <v>210</v>
      </c>
      <c r="D8" s="7" t="s">
        <v>295</v>
      </c>
      <c r="E8" s="20">
        <v>76</v>
      </c>
      <c r="F8" s="21" t="s">
        <v>170</v>
      </c>
      <c r="G8" s="21" t="s">
        <v>839</v>
      </c>
      <c r="H8" s="36">
        <v>2.9000000000000001E-2</v>
      </c>
      <c r="I8" s="21">
        <f>2.9/100*1428571*117/100</f>
        <v>48471.414029999993</v>
      </c>
      <c r="J8" s="7" t="s">
        <v>20</v>
      </c>
      <c r="K8" s="309" t="s">
        <v>426</v>
      </c>
      <c r="L8" s="319"/>
      <c r="M8" s="312" t="s">
        <v>843</v>
      </c>
    </row>
    <row r="9" spans="1:13" ht="25.5" x14ac:dyDescent="0.2">
      <c r="A9" s="306"/>
      <c r="B9" s="308"/>
      <c r="C9" s="308"/>
      <c r="D9" s="17" t="s">
        <v>219</v>
      </c>
      <c r="E9" s="18">
        <v>90</v>
      </c>
      <c r="F9" s="19" t="s">
        <v>170</v>
      </c>
      <c r="G9" s="19" t="s">
        <v>839</v>
      </c>
      <c r="H9" s="38">
        <v>3.8800000000000001E-2</v>
      </c>
      <c r="I9" s="19">
        <f>3.88/100*1428571*117/100</f>
        <v>64851.409116000003</v>
      </c>
      <c r="J9" s="17" t="s">
        <v>20</v>
      </c>
      <c r="K9" s="310"/>
      <c r="L9" s="320"/>
      <c r="M9" s="313"/>
    </row>
    <row r="10" spans="1:13" ht="25.5" x14ac:dyDescent="0.2">
      <c r="A10" s="306"/>
      <c r="B10" s="308"/>
      <c r="C10" s="308"/>
      <c r="D10" s="7" t="s">
        <v>838</v>
      </c>
      <c r="E10" s="20">
        <v>80</v>
      </c>
      <c r="F10" s="21" t="s">
        <v>170</v>
      </c>
      <c r="G10" s="21" t="s">
        <v>839</v>
      </c>
      <c r="H10" s="36">
        <v>4.4999999999999998E-2</v>
      </c>
      <c r="I10" s="21">
        <f>4.5/100*1428571*117/100</f>
        <v>75214.263149999999</v>
      </c>
      <c r="J10" s="7" t="s">
        <v>20</v>
      </c>
      <c r="K10" s="310"/>
      <c r="L10" s="320"/>
      <c r="M10" s="313"/>
    </row>
    <row r="11" spans="1:13" ht="25.5" x14ac:dyDescent="0.2">
      <c r="A11" s="306"/>
      <c r="B11" s="328"/>
      <c r="C11" s="328"/>
      <c r="D11" s="7" t="s">
        <v>221</v>
      </c>
      <c r="E11" s="20">
        <v>80</v>
      </c>
      <c r="F11" s="21" t="s">
        <v>170</v>
      </c>
      <c r="G11" s="21" t="s">
        <v>839</v>
      </c>
      <c r="H11" s="36">
        <v>4.4999999999999998E-2</v>
      </c>
      <c r="I11" s="21">
        <f>4.5/100*1428571*117/100</f>
        <v>75214.263149999999</v>
      </c>
      <c r="J11" s="7" t="s">
        <v>20</v>
      </c>
      <c r="K11" s="323"/>
      <c r="L11" s="332"/>
      <c r="M11" s="327"/>
    </row>
    <row r="12" spans="1:13" ht="13.9" customHeight="1" x14ac:dyDescent="0.2">
      <c r="A12" s="302"/>
      <c r="B12" s="303"/>
      <c r="C12" s="304"/>
      <c r="D12" s="304"/>
      <c r="E12" s="304"/>
      <c r="F12" s="304"/>
      <c r="G12" s="304"/>
      <c r="H12" s="304"/>
      <c r="I12" s="304"/>
      <c r="J12" s="304"/>
      <c r="K12" s="304"/>
      <c r="L12" s="304"/>
      <c r="M12" s="305"/>
    </row>
  </sheetData>
  <mergeCells count="14">
    <mergeCell ref="M8:M11"/>
    <mergeCell ref="B12:M12"/>
    <mergeCell ref="A1:A6"/>
    <mergeCell ref="B1:M1"/>
    <mergeCell ref="B2:M2"/>
    <mergeCell ref="B3:M3"/>
    <mergeCell ref="B4:M4"/>
    <mergeCell ref="A7:M7"/>
    <mergeCell ref="B5:M5"/>
    <mergeCell ref="A8:A12"/>
    <mergeCell ref="B8:B11"/>
    <mergeCell ref="C8:C11"/>
    <mergeCell ref="K8:K11"/>
    <mergeCell ref="L8:L11"/>
  </mergeCells>
  <pageMargins left="0.7" right="0.7" top="0.75" bottom="0.75" header="0.3" footer="0.3"/>
  <pageSetup paperSize="9" scale="7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3"/>
  <sheetViews>
    <sheetView rightToLeft="1" zoomScaleNormal="100" workbookViewId="0">
      <pane ySplit="5" topLeftCell="A59" activePane="bottomLeft" state="frozen"/>
      <selection pane="bottomLeft" activeCell="B67" sqref="B67"/>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625"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825</v>
      </c>
      <c r="C1" s="315"/>
      <c r="D1" s="315"/>
      <c r="E1" s="315"/>
      <c r="F1" s="315"/>
      <c r="G1" s="315"/>
      <c r="H1" s="315"/>
      <c r="I1" s="315"/>
      <c r="J1" s="315"/>
      <c r="K1" s="315"/>
      <c r="L1" s="315"/>
      <c r="M1" s="315"/>
    </row>
    <row r="2" spans="1:13" ht="29.45" customHeight="1" x14ac:dyDescent="0.2">
      <c r="A2" s="314"/>
      <c r="B2" s="316" t="s">
        <v>821</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47.25" x14ac:dyDescent="0.2">
      <c r="A5" s="314"/>
      <c r="B5" s="125" t="s">
        <v>2</v>
      </c>
      <c r="C5" s="2" t="s">
        <v>3</v>
      </c>
      <c r="D5" s="3" t="s">
        <v>4</v>
      </c>
      <c r="E5" s="3" t="s">
        <v>5</v>
      </c>
      <c r="F5" s="3" t="s">
        <v>6</v>
      </c>
      <c r="G5" s="3" t="s">
        <v>7</v>
      </c>
      <c r="H5" s="4" t="s">
        <v>8</v>
      </c>
      <c r="I5" s="5" t="s">
        <v>9</v>
      </c>
      <c r="J5" s="3" t="s">
        <v>10</v>
      </c>
      <c r="K5" s="3" t="s">
        <v>11</v>
      </c>
      <c r="L5" s="6" t="s">
        <v>12</v>
      </c>
      <c r="M5" s="3" t="s">
        <v>13</v>
      </c>
    </row>
    <row r="6" spans="1:13" ht="15.75" x14ac:dyDescent="0.2">
      <c r="A6" s="298" t="s">
        <v>743</v>
      </c>
      <c r="B6" s="299"/>
      <c r="C6" s="299"/>
      <c r="D6" s="299"/>
      <c r="E6" s="299"/>
      <c r="F6" s="299"/>
      <c r="G6" s="299"/>
      <c r="H6" s="299"/>
      <c r="I6" s="299"/>
      <c r="J6" s="299"/>
      <c r="K6" s="299"/>
      <c r="L6" s="299"/>
      <c r="M6" s="300"/>
    </row>
    <row r="7" spans="1:13" ht="38.25" x14ac:dyDescent="0.2">
      <c r="A7" s="301">
        <v>1</v>
      </c>
      <c r="B7" s="307" t="s">
        <v>749</v>
      </c>
      <c r="C7" s="307" t="s">
        <v>210</v>
      </c>
      <c r="D7" s="7" t="s">
        <v>253</v>
      </c>
      <c r="E7" s="20">
        <v>100</v>
      </c>
      <c r="F7" s="21" t="s">
        <v>170</v>
      </c>
      <c r="G7" s="21" t="s">
        <v>826</v>
      </c>
      <c r="H7" s="36">
        <v>3.8899999999999997E-2</v>
      </c>
      <c r="I7" s="21">
        <f>3.89/100*950000*117/100</f>
        <v>43237.350000000006</v>
      </c>
      <c r="J7" s="7" t="s">
        <v>20</v>
      </c>
      <c r="K7" s="309" t="s">
        <v>834</v>
      </c>
      <c r="L7" s="319" t="s">
        <v>926</v>
      </c>
      <c r="M7" s="312" t="s">
        <v>751</v>
      </c>
    </row>
    <row r="8" spans="1:13" ht="38.25" x14ac:dyDescent="0.2">
      <c r="A8" s="306"/>
      <c r="B8" s="308"/>
      <c r="C8" s="308"/>
      <c r="D8" s="17" t="s">
        <v>219</v>
      </c>
      <c r="E8" s="18">
        <v>100</v>
      </c>
      <c r="F8" s="19" t="s">
        <v>170</v>
      </c>
      <c r="G8" s="19" t="s">
        <v>826</v>
      </c>
      <c r="H8" s="38">
        <v>3.8899999999999997E-2</v>
      </c>
      <c r="I8" s="19">
        <f>3.89/100*950000*117/100</f>
        <v>43237.350000000006</v>
      </c>
      <c r="J8" s="17" t="s">
        <v>20</v>
      </c>
      <c r="K8" s="310"/>
      <c r="L8" s="320"/>
      <c r="M8" s="313"/>
    </row>
    <row r="9" spans="1:13" ht="60" customHeight="1" x14ac:dyDescent="0.2">
      <c r="A9" s="306"/>
      <c r="B9" s="308"/>
      <c r="C9" s="308"/>
      <c r="D9" s="7" t="s">
        <v>221</v>
      </c>
      <c r="E9" s="20">
        <v>90</v>
      </c>
      <c r="F9" s="21" t="s">
        <v>170</v>
      </c>
      <c r="G9" s="21" t="s">
        <v>826</v>
      </c>
      <c r="H9" s="36">
        <v>3.9E-2</v>
      </c>
      <c r="I9" s="21">
        <f>3.9/100*950000*117/100</f>
        <v>43348.5</v>
      </c>
      <c r="J9" s="7" t="s">
        <v>20</v>
      </c>
      <c r="K9" s="310"/>
      <c r="L9" s="320"/>
      <c r="M9" s="313"/>
    </row>
    <row r="10" spans="1:13" ht="38.25" x14ac:dyDescent="0.2">
      <c r="A10" s="306"/>
      <c r="B10" s="328"/>
      <c r="C10" s="328"/>
      <c r="D10" s="7" t="s">
        <v>750</v>
      </c>
      <c r="E10" s="20">
        <v>80</v>
      </c>
      <c r="F10" s="21" t="s">
        <v>170</v>
      </c>
      <c r="G10" s="21" t="s">
        <v>826</v>
      </c>
      <c r="H10" s="36">
        <v>4.4999999999999998E-2</v>
      </c>
      <c r="I10" s="21">
        <f>4.5/100*950000*117/100</f>
        <v>50017.5</v>
      </c>
      <c r="J10" s="7" t="s">
        <v>20</v>
      </c>
      <c r="K10" s="323"/>
      <c r="L10" s="332"/>
      <c r="M10" s="327"/>
    </row>
    <row r="11" spans="1:13" ht="13.9" customHeight="1" x14ac:dyDescent="0.2">
      <c r="A11" s="302"/>
      <c r="B11" s="303"/>
      <c r="C11" s="304"/>
      <c r="D11" s="304"/>
      <c r="E11" s="304"/>
      <c r="F11" s="304"/>
      <c r="G11" s="304"/>
      <c r="H11" s="304"/>
      <c r="I11" s="304"/>
      <c r="J11" s="304"/>
      <c r="K11" s="304"/>
      <c r="L11" s="304"/>
      <c r="M11" s="305"/>
    </row>
    <row r="12" spans="1:13" ht="15.75" x14ac:dyDescent="0.2">
      <c r="A12" s="298" t="s">
        <v>744</v>
      </c>
      <c r="B12" s="299"/>
      <c r="C12" s="299"/>
      <c r="D12" s="299"/>
      <c r="E12" s="299"/>
      <c r="F12" s="299"/>
      <c r="G12" s="299"/>
      <c r="H12" s="299"/>
      <c r="I12" s="299"/>
      <c r="J12" s="299"/>
      <c r="K12" s="299"/>
      <c r="L12" s="299"/>
      <c r="M12" s="300"/>
    </row>
    <row r="13" spans="1:13" ht="56.45" customHeight="1" x14ac:dyDescent="0.2">
      <c r="A13" s="301">
        <v>2</v>
      </c>
      <c r="B13" s="307" t="s">
        <v>753</v>
      </c>
      <c r="C13" s="307" t="s">
        <v>210</v>
      </c>
      <c r="D13" s="7" t="s">
        <v>253</v>
      </c>
      <c r="E13" s="20">
        <v>100</v>
      </c>
      <c r="F13" s="21" t="s">
        <v>170</v>
      </c>
      <c r="G13" s="21" t="s">
        <v>827</v>
      </c>
      <c r="H13" s="36">
        <v>3.8899999999999997E-2</v>
      </c>
      <c r="I13" s="21">
        <f>3.89/100*600000*117/100</f>
        <v>27307.800000000003</v>
      </c>
      <c r="J13" s="7" t="s">
        <v>20</v>
      </c>
      <c r="K13" s="309" t="s">
        <v>834</v>
      </c>
      <c r="L13" s="319" t="s">
        <v>926</v>
      </c>
      <c r="M13" s="312" t="s">
        <v>752</v>
      </c>
    </row>
    <row r="14" spans="1:13" ht="63" customHeight="1" x14ac:dyDescent="0.2">
      <c r="A14" s="306"/>
      <c r="B14" s="308"/>
      <c r="C14" s="308"/>
      <c r="D14" s="17" t="s">
        <v>219</v>
      </c>
      <c r="E14" s="18">
        <v>100</v>
      </c>
      <c r="F14" s="19" t="s">
        <v>170</v>
      </c>
      <c r="G14" s="19" t="s">
        <v>827</v>
      </c>
      <c r="H14" s="38">
        <v>3.8899999999999997E-2</v>
      </c>
      <c r="I14" s="19">
        <f>3.89/100*600000*117/100</f>
        <v>27307.800000000003</v>
      </c>
      <c r="J14" s="17" t="s">
        <v>20</v>
      </c>
      <c r="K14" s="310"/>
      <c r="L14" s="320"/>
      <c r="M14" s="313"/>
    </row>
    <row r="15" spans="1:13" ht="38.25" x14ac:dyDescent="0.2">
      <c r="A15" s="306"/>
      <c r="B15" s="308"/>
      <c r="C15" s="308"/>
      <c r="D15" s="7" t="s">
        <v>750</v>
      </c>
      <c r="E15" s="20">
        <v>90</v>
      </c>
      <c r="F15" s="21" t="s">
        <v>170</v>
      </c>
      <c r="G15" s="21" t="s">
        <v>827</v>
      </c>
      <c r="H15" s="36">
        <v>4.4999999999999998E-2</v>
      </c>
      <c r="I15" s="21">
        <f>4.5/100*600000*117/100</f>
        <v>31590</v>
      </c>
      <c r="J15" s="7" t="s">
        <v>20</v>
      </c>
      <c r="K15" s="310"/>
      <c r="L15" s="320"/>
      <c r="M15" s="313"/>
    </row>
    <row r="16" spans="1:13" ht="38.25" x14ac:dyDescent="0.2">
      <c r="A16" s="306"/>
      <c r="B16" s="328"/>
      <c r="C16" s="328"/>
      <c r="D16" s="7" t="s">
        <v>221</v>
      </c>
      <c r="E16" s="20">
        <v>80</v>
      </c>
      <c r="F16" s="21" t="s">
        <v>170</v>
      </c>
      <c r="G16" s="21" t="s">
        <v>827</v>
      </c>
      <c r="H16" s="36">
        <v>4.4999999999999998E-2</v>
      </c>
      <c r="I16" s="21">
        <f>4.5/100*600000*117/100</f>
        <v>31590</v>
      </c>
      <c r="J16" s="7" t="s">
        <v>20</v>
      </c>
      <c r="K16" s="323"/>
      <c r="L16" s="332"/>
      <c r="M16" s="327"/>
    </row>
    <row r="17" spans="1:13" ht="14.25" x14ac:dyDescent="0.2">
      <c r="A17" s="302"/>
      <c r="B17" s="303"/>
      <c r="C17" s="304"/>
      <c r="D17" s="304"/>
      <c r="E17" s="304"/>
      <c r="F17" s="304"/>
      <c r="G17" s="304"/>
      <c r="H17" s="304"/>
      <c r="I17" s="304"/>
      <c r="J17" s="304"/>
      <c r="K17" s="304"/>
      <c r="L17" s="304"/>
      <c r="M17" s="305"/>
    </row>
    <row r="18" spans="1:13" ht="15.75" x14ac:dyDescent="0.2">
      <c r="A18" s="298" t="s">
        <v>745</v>
      </c>
      <c r="B18" s="299"/>
      <c r="C18" s="299"/>
      <c r="D18" s="299"/>
      <c r="E18" s="299"/>
      <c r="F18" s="299"/>
      <c r="G18" s="299"/>
      <c r="H18" s="299"/>
      <c r="I18" s="299"/>
      <c r="J18" s="299"/>
      <c r="K18" s="299"/>
      <c r="L18" s="299"/>
      <c r="M18" s="300"/>
    </row>
    <row r="19" spans="1:13" ht="50.45" customHeight="1" x14ac:dyDescent="0.2">
      <c r="A19" s="301">
        <v>3</v>
      </c>
      <c r="B19" s="307" t="s">
        <v>754</v>
      </c>
      <c r="C19" s="307" t="s">
        <v>210</v>
      </c>
      <c r="D19" s="17" t="s">
        <v>253</v>
      </c>
      <c r="E19" s="18">
        <v>100</v>
      </c>
      <c r="F19" s="19" t="s">
        <v>170</v>
      </c>
      <c r="G19" s="19" t="s">
        <v>828</v>
      </c>
      <c r="H19" s="38">
        <v>3.8899999999999997E-2</v>
      </c>
      <c r="I19" s="19">
        <f>3.89/100*1700000*117/100</f>
        <v>77372.100000000006</v>
      </c>
      <c r="J19" s="17" t="s">
        <v>20</v>
      </c>
      <c r="K19" s="309" t="s">
        <v>836</v>
      </c>
      <c r="L19" s="319" t="s">
        <v>926</v>
      </c>
      <c r="M19" s="312" t="s">
        <v>757</v>
      </c>
    </row>
    <row r="20" spans="1:13" ht="60" customHeight="1" x14ac:dyDescent="0.2">
      <c r="A20" s="306"/>
      <c r="B20" s="308"/>
      <c r="C20" s="308"/>
      <c r="D20" s="7" t="s">
        <v>219</v>
      </c>
      <c r="E20" s="20">
        <v>90</v>
      </c>
      <c r="F20" s="21" t="s">
        <v>170</v>
      </c>
      <c r="G20" s="21" t="s">
        <v>755</v>
      </c>
      <c r="H20" s="36">
        <v>3.95E-2</v>
      </c>
      <c r="I20" s="21">
        <f>3.95/100*1700000*117/100</f>
        <v>78565.5</v>
      </c>
      <c r="J20" s="7" t="s">
        <v>20</v>
      </c>
      <c r="K20" s="310"/>
      <c r="L20" s="320"/>
      <c r="M20" s="313"/>
    </row>
    <row r="21" spans="1:13" ht="58.9" customHeight="1" x14ac:dyDescent="0.2">
      <c r="A21" s="306"/>
      <c r="B21" s="308"/>
      <c r="C21" s="308"/>
      <c r="D21" s="7" t="s">
        <v>359</v>
      </c>
      <c r="E21" s="20">
        <v>80</v>
      </c>
      <c r="F21" s="21" t="s">
        <v>170</v>
      </c>
      <c r="G21" s="21" t="s">
        <v>755</v>
      </c>
      <c r="H21" s="36">
        <v>4.4999999999999998E-2</v>
      </c>
      <c r="I21" s="21">
        <f>4.5/100*1700000*117/100</f>
        <v>89505</v>
      </c>
      <c r="J21" s="7" t="s">
        <v>20</v>
      </c>
      <c r="K21" s="310"/>
      <c r="L21" s="320"/>
      <c r="M21" s="313"/>
    </row>
    <row r="22" spans="1:13" ht="28.15" customHeight="1" x14ac:dyDescent="0.2">
      <c r="A22" s="306"/>
      <c r="B22" s="328"/>
      <c r="C22" s="328"/>
      <c r="D22" s="7" t="s">
        <v>221</v>
      </c>
      <c r="E22" s="20">
        <v>70</v>
      </c>
      <c r="F22" s="21" t="s">
        <v>170</v>
      </c>
      <c r="G22" s="21" t="s">
        <v>755</v>
      </c>
      <c r="H22" s="36">
        <v>4.4999999999999998E-2</v>
      </c>
      <c r="I22" s="21">
        <f>4.5/100*1700000*117/100</f>
        <v>89505</v>
      </c>
      <c r="J22" s="7" t="s">
        <v>20</v>
      </c>
      <c r="K22" s="323"/>
      <c r="L22" s="332"/>
      <c r="M22" s="327"/>
    </row>
    <row r="23" spans="1:13" ht="14.25" x14ac:dyDescent="0.2">
      <c r="A23" s="302"/>
      <c r="B23" s="303"/>
      <c r="C23" s="304"/>
      <c r="D23" s="304"/>
      <c r="E23" s="304"/>
      <c r="F23" s="304"/>
      <c r="G23" s="304"/>
      <c r="H23" s="304"/>
      <c r="I23" s="304"/>
      <c r="J23" s="304"/>
      <c r="K23" s="304"/>
      <c r="L23" s="304"/>
      <c r="M23" s="305"/>
    </row>
    <row r="24" spans="1:13" ht="15.75" x14ac:dyDescent="0.2">
      <c r="A24" s="298" t="s">
        <v>746</v>
      </c>
      <c r="B24" s="299"/>
      <c r="C24" s="299"/>
      <c r="D24" s="299"/>
      <c r="E24" s="299"/>
      <c r="F24" s="299"/>
      <c r="G24" s="299"/>
      <c r="H24" s="299"/>
      <c r="I24" s="299"/>
      <c r="J24" s="299"/>
      <c r="K24" s="299"/>
      <c r="L24" s="299"/>
      <c r="M24" s="300"/>
    </row>
    <row r="25" spans="1:13" ht="52.9" customHeight="1" x14ac:dyDescent="0.2">
      <c r="A25" s="301">
        <v>4</v>
      </c>
      <c r="B25" s="307" t="s">
        <v>758</v>
      </c>
      <c r="C25" s="307" t="s">
        <v>210</v>
      </c>
      <c r="D25" s="17" t="s">
        <v>253</v>
      </c>
      <c r="E25" s="18">
        <v>100</v>
      </c>
      <c r="F25" s="19" t="s">
        <v>170</v>
      </c>
      <c r="G25" s="19" t="s">
        <v>829</v>
      </c>
      <c r="H25" s="38">
        <v>3.8899999999999997E-2</v>
      </c>
      <c r="I25" s="19">
        <f>3.89/100*500000*117/100</f>
        <v>22756.500000000004</v>
      </c>
      <c r="J25" s="17" t="s">
        <v>20</v>
      </c>
      <c r="K25" s="309" t="s">
        <v>834</v>
      </c>
      <c r="L25" s="319" t="s">
        <v>926</v>
      </c>
      <c r="M25" s="312" t="s">
        <v>759</v>
      </c>
    </row>
    <row r="26" spans="1:13" ht="54.6" customHeight="1" x14ac:dyDescent="0.2">
      <c r="A26" s="306"/>
      <c r="B26" s="308"/>
      <c r="C26" s="308"/>
      <c r="D26" s="7" t="s">
        <v>219</v>
      </c>
      <c r="E26" s="20">
        <v>90</v>
      </c>
      <c r="F26" s="21" t="s">
        <v>170</v>
      </c>
      <c r="G26" s="21" t="s">
        <v>829</v>
      </c>
      <c r="H26" s="36">
        <v>3.95E-2</v>
      </c>
      <c r="I26" s="21">
        <f>3.95/100*500000*117/100</f>
        <v>23107.5</v>
      </c>
      <c r="J26" s="7" t="s">
        <v>20</v>
      </c>
      <c r="K26" s="310"/>
      <c r="L26" s="320"/>
      <c r="M26" s="313"/>
    </row>
    <row r="27" spans="1:13" ht="38.25" x14ac:dyDescent="0.2">
      <c r="A27" s="306"/>
      <c r="B27" s="308"/>
      <c r="C27" s="308"/>
      <c r="D27" s="7" t="s">
        <v>359</v>
      </c>
      <c r="E27" s="20">
        <v>80</v>
      </c>
      <c r="F27" s="21" t="s">
        <v>170</v>
      </c>
      <c r="G27" s="21" t="s">
        <v>829</v>
      </c>
      <c r="H27" s="36">
        <v>4.4999999999999998E-2</v>
      </c>
      <c r="I27" s="21">
        <f>4.5/100*500000*117/100</f>
        <v>26325</v>
      </c>
      <c r="J27" s="7" t="s">
        <v>20</v>
      </c>
      <c r="K27" s="310"/>
      <c r="L27" s="320"/>
      <c r="M27" s="313"/>
    </row>
    <row r="28" spans="1:13" ht="38.25" x14ac:dyDescent="0.2">
      <c r="A28" s="306"/>
      <c r="B28" s="328"/>
      <c r="C28" s="328"/>
      <c r="D28" s="7" t="s">
        <v>221</v>
      </c>
      <c r="E28" s="20">
        <v>70</v>
      </c>
      <c r="F28" s="21" t="s">
        <v>170</v>
      </c>
      <c r="G28" s="21" t="s">
        <v>829</v>
      </c>
      <c r="H28" s="36">
        <v>5.1999999999999998E-2</v>
      </c>
      <c r="I28" s="21">
        <f>5.2/100*500000*117/100</f>
        <v>30420.000000000004</v>
      </c>
      <c r="J28" s="7" t="s">
        <v>20</v>
      </c>
      <c r="K28" s="323"/>
      <c r="L28" s="332"/>
      <c r="M28" s="327"/>
    </row>
    <row r="29" spans="1:13" ht="14.25" x14ac:dyDescent="0.2">
      <c r="A29" s="302"/>
      <c r="B29" s="303"/>
      <c r="C29" s="304"/>
      <c r="D29" s="304"/>
      <c r="E29" s="304"/>
      <c r="F29" s="304"/>
      <c r="G29" s="304"/>
      <c r="H29" s="304"/>
      <c r="I29" s="304"/>
      <c r="J29" s="304"/>
      <c r="K29" s="304"/>
      <c r="L29" s="304"/>
      <c r="M29" s="305"/>
    </row>
    <row r="30" spans="1:13" ht="15.75" x14ac:dyDescent="0.2">
      <c r="A30" s="298" t="s">
        <v>747</v>
      </c>
      <c r="B30" s="299"/>
      <c r="C30" s="299"/>
      <c r="D30" s="299"/>
      <c r="E30" s="299"/>
      <c r="F30" s="299"/>
      <c r="G30" s="299"/>
      <c r="H30" s="299"/>
      <c r="I30" s="299"/>
      <c r="J30" s="299"/>
      <c r="K30" s="299"/>
      <c r="L30" s="299"/>
      <c r="M30" s="300"/>
    </row>
    <row r="31" spans="1:13" ht="51" customHeight="1" x14ac:dyDescent="0.2">
      <c r="A31" s="301">
        <v>5</v>
      </c>
      <c r="B31" s="307" t="s">
        <v>832</v>
      </c>
      <c r="C31" s="307" t="s">
        <v>210</v>
      </c>
      <c r="D31" s="17" t="s">
        <v>253</v>
      </c>
      <c r="E31" s="18">
        <v>100</v>
      </c>
      <c r="F31" s="19" t="s">
        <v>170</v>
      </c>
      <c r="G31" s="19" t="s">
        <v>833</v>
      </c>
      <c r="H31" s="38">
        <v>3.8899999999999997E-2</v>
      </c>
      <c r="I31" s="19">
        <f>3.89/100*250000*117/100</f>
        <v>11378.250000000002</v>
      </c>
      <c r="J31" s="17" t="s">
        <v>20</v>
      </c>
      <c r="K31" s="309" t="s">
        <v>834</v>
      </c>
      <c r="L31" s="319" t="s">
        <v>926</v>
      </c>
      <c r="M31" s="312" t="s">
        <v>928</v>
      </c>
    </row>
    <row r="32" spans="1:13" ht="51" customHeight="1" x14ac:dyDescent="0.2">
      <c r="A32" s="306"/>
      <c r="B32" s="308"/>
      <c r="C32" s="308"/>
      <c r="D32" s="7" t="s">
        <v>219</v>
      </c>
      <c r="E32" s="20">
        <v>90</v>
      </c>
      <c r="F32" s="21" t="s">
        <v>170</v>
      </c>
      <c r="G32" s="21" t="s">
        <v>833</v>
      </c>
      <c r="H32" s="36">
        <v>3.95E-2</v>
      </c>
      <c r="I32" s="21">
        <f>3.95/100*250000*117/100</f>
        <v>11553.75</v>
      </c>
      <c r="J32" s="7" t="s">
        <v>20</v>
      </c>
      <c r="K32" s="310"/>
      <c r="L32" s="320"/>
      <c r="M32" s="313"/>
    </row>
    <row r="33" spans="1:13" ht="45" customHeight="1" x14ac:dyDescent="0.2">
      <c r="A33" s="306"/>
      <c r="B33" s="308"/>
      <c r="C33" s="308"/>
      <c r="D33" s="7" t="s">
        <v>359</v>
      </c>
      <c r="E33" s="20">
        <v>80</v>
      </c>
      <c r="F33" s="21" t="s">
        <v>170</v>
      </c>
      <c r="G33" s="21" t="s">
        <v>833</v>
      </c>
      <c r="H33" s="36">
        <v>4.4999999999999998E-2</v>
      </c>
      <c r="I33" s="21">
        <f>4.5/100*250000*117/100</f>
        <v>13162.5</v>
      </c>
      <c r="J33" s="7" t="s">
        <v>20</v>
      </c>
      <c r="K33" s="310"/>
      <c r="L33" s="320"/>
      <c r="M33" s="313"/>
    </row>
    <row r="34" spans="1:13" ht="38.25" x14ac:dyDescent="0.2">
      <c r="A34" s="306"/>
      <c r="B34" s="328"/>
      <c r="C34" s="328"/>
      <c r="D34" s="7" t="s">
        <v>221</v>
      </c>
      <c r="E34" s="20">
        <v>70</v>
      </c>
      <c r="F34" s="21" t="s">
        <v>170</v>
      </c>
      <c r="G34" s="21" t="s">
        <v>833</v>
      </c>
      <c r="H34" s="36">
        <v>5.0999999999999997E-2</v>
      </c>
      <c r="I34" s="21">
        <f>5.1/100*250000*117/100</f>
        <v>14917.5</v>
      </c>
      <c r="J34" s="7" t="s">
        <v>20</v>
      </c>
      <c r="K34" s="323"/>
      <c r="L34" s="332"/>
      <c r="M34" s="327"/>
    </row>
    <row r="35" spans="1:13" ht="14.25" x14ac:dyDescent="0.2">
      <c r="A35" s="302"/>
      <c r="B35" s="303"/>
      <c r="C35" s="304"/>
      <c r="D35" s="304"/>
      <c r="E35" s="304"/>
      <c r="F35" s="304"/>
      <c r="G35" s="304"/>
      <c r="H35" s="304"/>
      <c r="I35" s="304"/>
      <c r="J35" s="304"/>
      <c r="K35" s="304"/>
      <c r="L35" s="304"/>
      <c r="M35" s="305"/>
    </row>
    <row r="36" spans="1:13" ht="15.75" x14ac:dyDescent="0.2">
      <c r="A36" s="298" t="s">
        <v>748</v>
      </c>
      <c r="B36" s="299"/>
      <c r="C36" s="299"/>
      <c r="D36" s="299"/>
      <c r="E36" s="299"/>
      <c r="F36" s="299"/>
      <c r="G36" s="299"/>
      <c r="H36" s="299"/>
      <c r="I36" s="299"/>
      <c r="J36" s="299"/>
      <c r="K36" s="299"/>
      <c r="L36" s="299"/>
      <c r="M36" s="300"/>
    </row>
    <row r="37" spans="1:13" ht="49.15" customHeight="1" x14ac:dyDescent="0.2">
      <c r="A37" s="301">
        <v>6</v>
      </c>
      <c r="B37" s="307" t="s">
        <v>763</v>
      </c>
      <c r="C37" s="307" t="s">
        <v>210</v>
      </c>
      <c r="D37" s="17" t="s">
        <v>253</v>
      </c>
      <c r="E37" s="18">
        <v>100</v>
      </c>
      <c r="F37" s="19" t="s">
        <v>170</v>
      </c>
      <c r="G37" s="19" t="s">
        <v>830</v>
      </c>
      <c r="H37" s="38">
        <v>3.8899999999999997E-2</v>
      </c>
      <c r="I37" s="19">
        <f>3.89/100*350000*117/100</f>
        <v>15929.550000000003</v>
      </c>
      <c r="J37" s="17" t="s">
        <v>20</v>
      </c>
      <c r="K37" s="309" t="s">
        <v>834</v>
      </c>
      <c r="L37" s="319" t="s">
        <v>926</v>
      </c>
      <c r="M37" s="312" t="s">
        <v>764</v>
      </c>
    </row>
    <row r="38" spans="1:13" ht="52.15" customHeight="1" x14ac:dyDescent="0.2">
      <c r="A38" s="306"/>
      <c r="B38" s="308"/>
      <c r="C38" s="308"/>
      <c r="D38" s="7" t="s">
        <v>219</v>
      </c>
      <c r="E38" s="20">
        <v>90</v>
      </c>
      <c r="F38" s="21" t="s">
        <v>170</v>
      </c>
      <c r="G38" s="21" t="s">
        <v>830</v>
      </c>
      <c r="H38" s="36">
        <v>3.95E-2</v>
      </c>
      <c r="I38" s="21">
        <f>3.95/100*350000*117/100</f>
        <v>16175.25</v>
      </c>
      <c r="J38" s="7" t="s">
        <v>20</v>
      </c>
      <c r="K38" s="310"/>
      <c r="L38" s="320"/>
      <c r="M38" s="313"/>
    </row>
    <row r="39" spans="1:13" ht="48" customHeight="1" x14ac:dyDescent="0.2">
      <c r="A39" s="306"/>
      <c r="B39" s="308"/>
      <c r="C39" s="308"/>
      <c r="D39" s="7" t="s">
        <v>359</v>
      </c>
      <c r="E39" s="20">
        <v>80</v>
      </c>
      <c r="F39" s="21" t="s">
        <v>170</v>
      </c>
      <c r="G39" s="21" t="s">
        <v>830</v>
      </c>
      <c r="H39" s="36">
        <v>4.4999999999999998E-2</v>
      </c>
      <c r="I39" s="21">
        <f>4.5/100*350000*117/100</f>
        <v>18427.5</v>
      </c>
      <c r="J39" s="7" t="s">
        <v>20</v>
      </c>
      <c r="K39" s="310"/>
      <c r="L39" s="320"/>
      <c r="M39" s="313"/>
    </row>
    <row r="40" spans="1:13" ht="38.25" x14ac:dyDescent="0.2">
      <c r="A40" s="306"/>
      <c r="B40" s="328"/>
      <c r="C40" s="328"/>
      <c r="D40" s="7" t="s">
        <v>221</v>
      </c>
      <c r="E40" s="20">
        <v>70</v>
      </c>
      <c r="F40" s="21" t="s">
        <v>170</v>
      </c>
      <c r="G40" s="21" t="s">
        <v>830</v>
      </c>
      <c r="H40" s="36">
        <v>5.0999999999999997E-2</v>
      </c>
      <c r="I40" s="21">
        <f>5.1/100*350000*117/100</f>
        <v>20884.5</v>
      </c>
      <c r="J40" s="7" t="s">
        <v>20</v>
      </c>
      <c r="K40" s="323"/>
      <c r="L40" s="332"/>
      <c r="M40" s="327"/>
    </row>
    <row r="41" spans="1:13" ht="13.9" customHeight="1" x14ac:dyDescent="0.2">
      <c r="A41" s="302"/>
      <c r="B41" s="303"/>
      <c r="C41" s="304"/>
      <c r="D41" s="304"/>
      <c r="E41" s="304"/>
      <c r="F41" s="304"/>
      <c r="G41" s="304"/>
      <c r="H41" s="304"/>
      <c r="I41" s="304"/>
      <c r="J41" s="304"/>
      <c r="K41" s="304"/>
      <c r="L41" s="304"/>
      <c r="M41" s="305"/>
    </row>
    <row r="42" spans="1:13" ht="15.75" x14ac:dyDescent="0.2">
      <c r="A42" s="298" t="s">
        <v>760</v>
      </c>
      <c r="B42" s="299"/>
      <c r="C42" s="299"/>
      <c r="D42" s="299"/>
      <c r="E42" s="299"/>
      <c r="F42" s="299"/>
      <c r="G42" s="299"/>
      <c r="H42" s="299"/>
      <c r="I42" s="299"/>
      <c r="J42" s="299"/>
      <c r="K42" s="299"/>
      <c r="L42" s="299"/>
      <c r="M42" s="300"/>
    </row>
    <row r="43" spans="1:13" ht="68.45" customHeight="1" x14ac:dyDescent="0.2">
      <c r="A43" s="301">
        <v>7</v>
      </c>
      <c r="B43" s="307" t="s">
        <v>762</v>
      </c>
      <c r="C43" s="307" t="s">
        <v>210</v>
      </c>
      <c r="D43" s="7" t="s">
        <v>253</v>
      </c>
      <c r="E43" s="20">
        <v>100</v>
      </c>
      <c r="F43" s="21" t="s">
        <v>170</v>
      </c>
      <c r="G43" s="21" t="s">
        <v>831</v>
      </c>
      <c r="H43" s="36">
        <v>3.8899999999999997E-2</v>
      </c>
      <c r="I43" s="21">
        <f>3.89/100*450000*117/100</f>
        <v>20480.849999999999</v>
      </c>
      <c r="J43" s="7" t="s">
        <v>20</v>
      </c>
      <c r="K43" s="309" t="s">
        <v>834</v>
      </c>
      <c r="L43" s="319" t="s">
        <v>926</v>
      </c>
      <c r="M43" s="312" t="s">
        <v>726</v>
      </c>
    </row>
    <row r="44" spans="1:13" ht="68.45" customHeight="1" x14ac:dyDescent="0.2">
      <c r="A44" s="306"/>
      <c r="B44" s="308"/>
      <c r="C44" s="308"/>
      <c r="D44" s="17" t="s">
        <v>219</v>
      </c>
      <c r="E44" s="18">
        <v>100</v>
      </c>
      <c r="F44" s="19" t="s">
        <v>170</v>
      </c>
      <c r="G44" s="19" t="s">
        <v>831</v>
      </c>
      <c r="H44" s="38">
        <v>3.8899999999999997E-2</v>
      </c>
      <c r="I44" s="19">
        <f>3.89/100*450000*117/100</f>
        <v>20480.849999999999</v>
      </c>
      <c r="J44" s="17" t="s">
        <v>20</v>
      </c>
      <c r="K44" s="310"/>
      <c r="L44" s="320"/>
      <c r="M44" s="313"/>
    </row>
    <row r="45" spans="1:13" ht="38.25" x14ac:dyDescent="0.2">
      <c r="A45" s="306"/>
      <c r="B45" s="308"/>
      <c r="C45" s="308"/>
      <c r="D45" s="7" t="s">
        <v>221</v>
      </c>
      <c r="E45" s="20">
        <v>90</v>
      </c>
      <c r="F45" s="21" t="s">
        <v>170</v>
      </c>
      <c r="G45" s="21" t="s">
        <v>831</v>
      </c>
      <c r="H45" s="36">
        <v>3.9E-2</v>
      </c>
      <c r="I45" s="21">
        <f>3.9/100*450000*117/100</f>
        <v>20533.5</v>
      </c>
      <c r="J45" s="7" t="s">
        <v>20</v>
      </c>
      <c r="K45" s="310"/>
      <c r="L45" s="320"/>
      <c r="M45" s="313"/>
    </row>
    <row r="46" spans="1:13" ht="38.25" x14ac:dyDescent="0.2">
      <c r="A46" s="306"/>
      <c r="B46" s="328"/>
      <c r="C46" s="328"/>
      <c r="D46" s="7" t="s">
        <v>359</v>
      </c>
      <c r="E46" s="20">
        <v>80</v>
      </c>
      <c r="F46" s="21" t="s">
        <v>170</v>
      </c>
      <c r="G46" s="21" t="s">
        <v>831</v>
      </c>
      <c r="H46" s="36">
        <v>4.4999999999999998E-2</v>
      </c>
      <c r="I46" s="21">
        <f>4.5/100*450000*117/100</f>
        <v>23692.5</v>
      </c>
      <c r="J46" s="7" t="s">
        <v>20</v>
      </c>
      <c r="K46" s="323"/>
      <c r="L46" s="332"/>
      <c r="M46" s="327"/>
    </row>
    <row r="47" spans="1:13" ht="14.25" x14ac:dyDescent="0.2">
      <c r="A47" s="302"/>
      <c r="B47" s="303"/>
      <c r="C47" s="304"/>
      <c r="D47" s="304"/>
      <c r="E47" s="304"/>
      <c r="F47" s="304"/>
      <c r="G47" s="304"/>
      <c r="H47" s="304"/>
      <c r="I47" s="304"/>
      <c r="J47" s="304"/>
      <c r="K47" s="304"/>
      <c r="L47" s="304"/>
      <c r="M47" s="305"/>
    </row>
    <row r="48" spans="1:13" ht="15.75" x14ac:dyDescent="0.2">
      <c r="A48" s="298" t="s">
        <v>761</v>
      </c>
      <c r="B48" s="299"/>
      <c r="C48" s="299"/>
      <c r="D48" s="299"/>
      <c r="E48" s="299"/>
      <c r="F48" s="299"/>
      <c r="G48" s="299"/>
      <c r="H48" s="299"/>
      <c r="I48" s="299"/>
      <c r="J48" s="299"/>
      <c r="K48" s="299"/>
      <c r="L48" s="299"/>
      <c r="M48" s="300"/>
    </row>
    <row r="49" spans="1:13" ht="38.25" x14ac:dyDescent="0.2">
      <c r="A49" s="301">
        <v>8</v>
      </c>
      <c r="B49" s="131" t="s">
        <v>805</v>
      </c>
      <c r="C49" s="131" t="s">
        <v>506</v>
      </c>
      <c r="D49" s="17" t="s">
        <v>806</v>
      </c>
      <c r="E49" s="18">
        <v>100</v>
      </c>
      <c r="F49" s="19" t="s">
        <v>29</v>
      </c>
      <c r="G49" s="136" t="s">
        <v>379</v>
      </c>
      <c r="H49" s="19">
        <f>290*117/100</f>
        <v>339.3</v>
      </c>
      <c r="I49" s="19">
        <f>200*H49</f>
        <v>67860</v>
      </c>
      <c r="J49" s="17" t="s">
        <v>20</v>
      </c>
      <c r="K49" s="133" t="s">
        <v>583</v>
      </c>
      <c r="L49" s="134"/>
      <c r="M49" s="132"/>
    </row>
    <row r="50" spans="1:13" ht="14.25" x14ac:dyDescent="0.2">
      <c r="A50" s="302"/>
      <c r="B50" s="303" t="s">
        <v>807</v>
      </c>
      <c r="C50" s="304"/>
      <c r="D50" s="304"/>
      <c r="E50" s="304"/>
      <c r="F50" s="304"/>
      <c r="G50" s="304"/>
      <c r="H50" s="304"/>
      <c r="I50" s="304"/>
      <c r="J50" s="304"/>
      <c r="K50" s="304"/>
      <c r="L50" s="304"/>
      <c r="M50" s="305"/>
    </row>
    <row r="51" spans="1:13" ht="15.75" x14ac:dyDescent="0.2">
      <c r="A51" s="298" t="s">
        <v>765</v>
      </c>
      <c r="B51" s="299"/>
      <c r="C51" s="299"/>
      <c r="D51" s="299"/>
      <c r="E51" s="299"/>
      <c r="F51" s="299"/>
      <c r="G51" s="299"/>
      <c r="H51" s="299"/>
      <c r="I51" s="299"/>
      <c r="J51" s="299"/>
      <c r="K51" s="299"/>
      <c r="L51" s="299"/>
      <c r="M51" s="300"/>
    </row>
    <row r="52" spans="1:13" ht="25.5" x14ac:dyDescent="0.2">
      <c r="A52" s="301">
        <v>9</v>
      </c>
      <c r="B52" s="307" t="s">
        <v>768</v>
      </c>
      <c r="C52" s="307" t="s">
        <v>276</v>
      </c>
      <c r="D52" s="7" t="s">
        <v>28</v>
      </c>
      <c r="E52" s="20">
        <v>88</v>
      </c>
      <c r="F52" s="21" t="s">
        <v>18</v>
      </c>
      <c r="G52" s="21" t="s">
        <v>18</v>
      </c>
      <c r="H52" s="21">
        <f>14000*117/100</f>
        <v>16380</v>
      </c>
      <c r="I52" s="21">
        <f>14000*117/100</f>
        <v>16380</v>
      </c>
      <c r="J52" s="7" t="s">
        <v>20</v>
      </c>
      <c r="K52" s="309" t="s">
        <v>426</v>
      </c>
      <c r="L52" s="319"/>
      <c r="M52" s="312" t="s">
        <v>281</v>
      </c>
    </row>
    <row r="53" spans="1:13" ht="25.5" x14ac:dyDescent="0.2">
      <c r="A53" s="306"/>
      <c r="B53" s="308"/>
      <c r="C53" s="308"/>
      <c r="D53" s="17" t="s">
        <v>290</v>
      </c>
      <c r="E53" s="18">
        <v>90</v>
      </c>
      <c r="F53" s="19" t="s">
        <v>18</v>
      </c>
      <c r="G53" s="19" t="s">
        <v>18</v>
      </c>
      <c r="H53" s="19">
        <f>15780*117/100</f>
        <v>18462.599999999999</v>
      </c>
      <c r="I53" s="19">
        <f>15780*117/100</f>
        <v>18462.599999999999</v>
      </c>
      <c r="J53" s="17" t="s">
        <v>20</v>
      </c>
      <c r="K53" s="310"/>
      <c r="L53" s="320"/>
      <c r="M53" s="313"/>
    </row>
    <row r="54" spans="1:13" ht="25.5" x14ac:dyDescent="0.2">
      <c r="A54" s="306"/>
      <c r="B54" s="308"/>
      <c r="C54" s="308"/>
      <c r="D54" s="7" t="s">
        <v>32</v>
      </c>
      <c r="E54" s="20">
        <v>74</v>
      </c>
      <c r="F54" s="21" t="s">
        <v>18</v>
      </c>
      <c r="G54" s="21" t="s">
        <v>18</v>
      </c>
      <c r="H54" s="21">
        <f>16850*117/100</f>
        <v>19714.5</v>
      </c>
      <c r="I54" s="21">
        <f>16850*117/100</f>
        <v>19714.5</v>
      </c>
      <c r="J54" s="7" t="s">
        <v>20</v>
      </c>
      <c r="K54" s="310"/>
      <c r="L54" s="320"/>
      <c r="M54" s="313"/>
    </row>
    <row r="55" spans="1:13" ht="25.5" x14ac:dyDescent="0.2">
      <c r="A55" s="306"/>
      <c r="B55" s="328"/>
      <c r="C55" s="328"/>
      <c r="D55" s="7" t="s">
        <v>769</v>
      </c>
      <c r="E55" s="20">
        <v>58</v>
      </c>
      <c r="F55" s="21" t="s">
        <v>18</v>
      </c>
      <c r="G55" s="21" t="s">
        <v>18</v>
      </c>
      <c r="H55" s="21">
        <f>30000*117/100</f>
        <v>35100</v>
      </c>
      <c r="I55" s="21">
        <f>30000*117/100</f>
        <v>35100</v>
      </c>
      <c r="J55" s="7" t="s">
        <v>20</v>
      </c>
      <c r="K55" s="323"/>
      <c r="L55" s="332"/>
      <c r="M55" s="327"/>
    </row>
    <row r="56" spans="1:13" ht="14.25" x14ac:dyDescent="0.2">
      <c r="A56" s="302"/>
      <c r="B56" s="303" t="s">
        <v>770</v>
      </c>
      <c r="C56" s="304"/>
      <c r="D56" s="304"/>
      <c r="E56" s="304"/>
      <c r="F56" s="304"/>
      <c r="G56" s="304"/>
      <c r="H56" s="304"/>
      <c r="I56" s="304"/>
      <c r="J56" s="304"/>
      <c r="K56" s="304"/>
      <c r="L56" s="304"/>
      <c r="M56" s="305"/>
    </row>
    <row r="57" spans="1:13" ht="15.75" x14ac:dyDescent="0.2">
      <c r="A57" s="298" t="s">
        <v>766</v>
      </c>
      <c r="B57" s="299"/>
      <c r="C57" s="299"/>
      <c r="D57" s="299"/>
      <c r="E57" s="299"/>
      <c r="F57" s="299"/>
      <c r="G57" s="299"/>
      <c r="H57" s="299"/>
      <c r="I57" s="299"/>
      <c r="J57" s="299"/>
      <c r="K57" s="299"/>
      <c r="L57" s="299"/>
      <c r="M57" s="300"/>
    </row>
    <row r="58" spans="1:13" ht="51" x14ac:dyDescent="0.2">
      <c r="A58" s="301">
        <v>10</v>
      </c>
      <c r="B58" s="124" t="s">
        <v>772</v>
      </c>
      <c r="C58" s="124" t="s">
        <v>512</v>
      </c>
      <c r="D58" s="17" t="s">
        <v>733</v>
      </c>
      <c r="E58" s="18">
        <v>100</v>
      </c>
      <c r="F58" s="19" t="s">
        <v>29</v>
      </c>
      <c r="G58" s="19" t="s">
        <v>771</v>
      </c>
      <c r="H58" s="19">
        <f>220*117/100</f>
        <v>257.39999999999998</v>
      </c>
      <c r="I58" s="19">
        <f>H58*90</f>
        <v>23165.999999999996</v>
      </c>
      <c r="J58" s="17" t="s">
        <v>20</v>
      </c>
      <c r="K58" s="133" t="s">
        <v>583</v>
      </c>
      <c r="L58" s="122"/>
      <c r="M58" s="121">
        <v>1769000780</v>
      </c>
    </row>
    <row r="59" spans="1:13" ht="14.25" x14ac:dyDescent="0.2">
      <c r="A59" s="302"/>
      <c r="B59" s="303" t="s">
        <v>526</v>
      </c>
      <c r="C59" s="304"/>
      <c r="D59" s="304"/>
      <c r="E59" s="304"/>
      <c r="F59" s="304"/>
      <c r="G59" s="304"/>
      <c r="H59" s="304"/>
      <c r="I59" s="304"/>
      <c r="J59" s="304"/>
      <c r="K59" s="304"/>
      <c r="L59" s="304"/>
      <c r="M59" s="305"/>
    </row>
    <row r="60" spans="1:13" ht="15.75" x14ac:dyDescent="0.2">
      <c r="A60" s="298" t="s">
        <v>767</v>
      </c>
      <c r="B60" s="299"/>
      <c r="C60" s="299"/>
      <c r="D60" s="299"/>
      <c r="E60" s="299"/>
      <c r="F60" s="299"/>
      <c r="G60" s="299"/>
      <c r="H60" s="299"/>
      <c r="I60" s="299"/>
      <c r="J60" s="299"/>
      <c r="K60" s="299"/>
      <c r="L60" s="299"/>
      <c r="M60" s="300"/>
    </row>
    <row r="61" spans="1:13" ht="58.15" customHeight="1" x14ac:dyDescent="0.2">
      <c r="A61" s="301">
        <v>11</v>
      </c>
      <c r="B61" s="307" t="s">
        <v>773</v>
      </c>
      <c r="C61" s="307" t="s">
        <v>636</v>
      </c>
      <c r="D61" s="17" t="s">
        <v>774</v>
      </c>
      <c r="E61" s="18">
        <v>100</v>
      </c>
      <c r="F61" s="19" t="s">
        <v>170</v>
      </c>
      <c r="G61" s="136" t="s">
        <v>777</v>
      </c>
      <c r="H61" s="38">
        <v>4.4999999999999998E-2</v>
      </c>
      <c r="I61" s="19">
        <f>4.5/100*1200000*117/100</f>
        <v>63180</v>
      </c>
      <c r="J61" s="17" t="s">
        <v>20</v>
      </c>
      <c r="K61" s="309" t="s">
        <v>426</v>
      </c>
      <c r="L61" s="319"/>
      <c r="M61" s="312">
        <v>2530082952</v>
      </c>
    </row>
    <row r="62" spans="1:13" ht="38.25" x14ac:dyDescent="0.2">
      <c r="A62" s="306"/>
      <c r="B62" s="308"/>
      <c r="C62" s="308"/>
      <c r="D62" s="7" t="s">
        <v>775</v>
      </c>
      <c r="E62" s="20">
        <v>90</v>
      </c>
      <c r="F62" s="21" t="s">
        <v>170</v>
      </c>
      <c r="G62" s="128" t="s">
        <v>777</v>
      </c>
      <c r="H62" s="36">
        <v>4.7E-2</v>
      </c>
      <c r="I62" s="21">
        <f>4.7/100*1200000*117/100</f>
        <v>65988</v>
      </c>
      <c r="J62" s="7" t="s">
        <v>20</v>
      </c>
      <c r="K62" s="310"/>
      <c r="L62" s="320"/>
      <c r="M62" s="313"/>
    </row>
    <row r="63" spans="1:13" ht="38.25" x14ac:dyDescent="0.2">
      <c r="A63" s="306"/>
      <c r="B63" s="308"/>
      <c r="C63" s="308"/>
      <c r="D63" s="7" t="s">
        <v>35</v>
      </c>
      <c r="E63" s="20">
        <v>80</v>
      </c>
      <c r="F63" s="21" t="s">
        <v>170</v>
      </c>
      <c r="G63" s="128" t="s">
        <v>777</v>
      </c>
      <c r="H63" s="36">
        <v>5.5E-2</v>
      </c>
      <c r="I63" s="21">
        <f>5.5/100*1200000*117/100</f>
        <v>77220</v>
      </c>
      <c r="J63" s="7" t="s">
        <v>20</v>
      </c>
      <c r="K63" s="310"/>
      <c r="L63" s="320"/>
      <c r="M63" s="313"/>
    </row>
    <row r="64" spans="1:13" ht="38.25" x14ac:dyDescent="0.2">
      <c r="A64" s="306"/>
      <c r="B64" s="328"/>
      <c r="C64" s="328"/>
      <c r="D64" s="7" t="s">
        <v>776</v>
      </c>
      <c r="E64" s="20">
        <v>70</v>
      </c>
      <c r="F64" s="21" t="s">
        <v>170</v>
      </c>
      <c r="G64" s="128" t="s">
        <v>777</v>
      </c>
      <c r="H64" s="36">
        <v>0.06</v>
      </c>
      <c r="I64" s="21">
        <f>6/100*1200000*117/100</f>
        <v>84240</v>
      </c>
      <c r="J64" s="7" t="s">
        <v>20</v>
      </c>
      <c r="K64" s="323"/>
      <c r="L64" s="332"/>
      <c r="M64" s="327"/>
    </row>
    <row r="65" spans="1:13" ht="14.25" x14ac:dyDescent="0.2">
      <c r="A65" s="302"/>
      <c r="B65" s="303" t="s">
        <v>785</v>
      </c>
      <c r="C65" s="304"/>
      <c r="D65" s="304"/>
      <c r="E65" s="304"/>
      <c r="F65" s="304"/>
      <c r="G65" s="304"/>
      <c r="H65" s="304"/>
      <c r="I65" s="304"/>
      <c r="J65" s="304"/>
      <c r="K65" s="304"/>
      <c r="L65" s="304"/>
      <c r="M65" s="305"/>
    </row>
    <row r="66" spans="1:13" ht="15.75" x14ac:dyDescent="0.2">
      <c r="A66" s="298" t="s">
        <v>778</v>
      </c>
      <c r="B66" s="299"/>
      <c r="C66" s="299"/>
      <c r="D66" s="299"/>
      <c r="E66" s="299"/>
      <c r="F66" s="299"/>
      <c r="G66" s="299"/>
      <c r="H66" s="299"/>
      <c r="I66" s="299"/>
      <c r="J66" s="299"/>
      <c r="K66" s="299"/>
      <c r="L66" s="299"/>
      <c r="M66" s="300"/>
    </row>
    <row r="67" spans="1:13" ht="31.5" x14ac:dyDescent="0.2">
      <c r="A67" s="301">
        <v>12</v>
      </c>
      <c r="B67" s="124" t="s">
        <v>780</v>
      </c>
      <c r="C67" s="124" t="s">
        <v>304</v>
      </c>
      <c r="D67" s="17" t="s">
        <v>449</v>
      </c>
      <c r="E67" s="18">
        <v>100</v>
      </c>
      <c r="F67" s="19" t="s">
        <v>29</v>
      </c>
      <c r="G67" s="19" t="s">
        <v>128</v>
      </c>
      <c r="H67" s="19">
        <f>250*117/100</f>
        <v>292.5</v>
      </c>
      <c r="I67" s="19">
        <f>H67*300</f>
        <v>87750</v>
      </c>
      <c r="J67" s="17"/>
      <c r="K67" s="123" t="s">
        <v>583</v>
      </c>
      <c r="L67" s="122"/>
      <c r="M67" s="121"/>
    </row>
    <row r="68" spans="1:13" ht="14.25" x14ac:dyDescent="0.2">
      <c r="A68" s="302"/>
      <c r="B68" s="303" t="s">
        <v>526</v>
      </c>
      <c r="C68" s="304"/>
      <c r="D68" s="304"/>
      <c r="E68" s="304"/>
      <c r="F68" s="304"/>
      <c r="G68" s="304"/>
      <c r="H68" s="304"/>
      <c r="I68" s="304"/>
      <c r="J68" s="304"/>
      <c r="K68" s="304"/>
      <c r="L68" s="304"/>
      <c r="M68" s="305"/>
    </row>
    <row r="69" spans="1:13" ht="15.75" x14ac:dyDescent="0.2">
      <c r="A69" s="298" t="s">
        <v>782</v>
      </c>
      <c r="B69" s="299"/>
      <c r="C69" s="299"/>
      <c r="D69" s="299"/>
      <c r="E69" s="299"/>
      <c r="F69" s="299"/>
      <c r="G69" s="299"/>
      <c r="H69" s="299"/>
      <c r="I69" s="299"/>
      <c r="J69" s="299"/>
      <c r="K69" s="299"/>
      <c r="L69" s="299"/>
      <c r="M69" s="300"/>
    </row>
    <row r="70" spans="1:13" ht="63.75" x14ac:dyDescent="0.2">
      <c r="A70" s="301">
        <v>13</v>
      </c>
      <c r="B70" s="124" t="s">
        <v>781</v>
      </c>
      <c r="C70" s="124" t="s">
        <v>779</v>
      </c>
      <c r="D70" s="67" t="s">
        <v>795</v>
      </c>
      <c r="E70" s="68">
        <v>100</v>
      </c>
      <c r="F70" s="69" t="s">
        <v>18</v>
      </c>
      <c r="G70" s="69" t="s">
        <v>18</v>
      </c>
      <c r="H70" s="69">
        <f>55225*117/100</f>
        <v>64613.25</v>
      </c>
      <c r="I70" s="69">
        <f>55225*117/100</f>
        <v>64613.25</v>
      </c>
      <c r="J70" s="67" t="s">
        <v>20</v>
      </c>
      <c r="K70" s="123" t="s">
        <v>822</v>
      </c>
      <c r="L70" s="122"/>
      <c r="M70" s="121">
        <v>161000521</v>
      </c>
    </row>
    <row r="71" spans="1:13" ht="14.25" x14ac:dyDescent="0.2">
      <c r="A71" s="302"/>
      <c r="B71" s="303"/>
      <c r="C71" s="304"/>
      <c r="D71" s="304"/>
      <c r="E71" s="304"/>
      <c r="F71" s="304"/>
      <c r="G71" s="304"/>
      <c r="H71" s="304"/>
      <c r="I71" s="304"/>
      <c r="J71" s="304"/>
      <c r="K71" s="304"/>
      <c r="L71" s="304"/>
      <c r="M71" s="305"/>
    </row>
    <row r="72" spans="1:13" ht="15.75" x14ac:dyDescent="0.2">
      <c r="A72" s="298" t="s">
        <v>788</v>
      </c>
      <c r="B72" s="299"/>
      <c r="C72" s="299"/>
      <c r="D72" s="299"/>
      <c r="E72" s="299"/>
      <c r="F72" s="299"/>
      <c r="G72" s="299"/>
      <c r="H72" s="299"/>
      <c r="I72" s="299"/>
      <c r="J72" s="299"/>
      <c r="K72" s="299"/>
      <c r="L72" s="299"/>
      <c r="M72" s="300"/>
    </row>
    <row r="73" spans="1:13" ht="14.25" x14ac:dyDescent="0.2">
      <c r="A73" s="301">
        <v>14</v>
      </c>
      <c r="B73" s="307" t="s">
        <v>645</v>
      </c>
      <c r="C73" s="307" t="s">
        <v>637</v>
      </c>
      <c r="D73" s="17" t="s">
        <v>783</v>
      </c>
      <c r="E73" s="18">
        <v>100</v>
      </c>
      <c r="F73" s="19" t="s">
        <v>68</v>
      </c>
      <c r="G73" s="19" t="s">
        <v>643</v>
      </c>
      <c r="H73" s="19">
        <f>12000*117/100</f>
        <v>14040</v>
      </c>
      <c r="I73" s="19">
        <f>H73*4</f>
        <v>56160</v>
      </c>
      <c r="J73" s="17"/>
      <c r="K73" s="309" t="s">
        <v>426</v>
      </c>
      <c r="L73" s="319"/>
      <c r="M73" s="312" t="s">
        <v>644</v>
      </c>
    </row>
    <row r="74" spans="1:13" ht="38.25" x14ac:dyDescent="0.2">
      <c r="A74" s="306"/>
      <c r="B74" s="308"/>
      <c r="C74" s="308"/>
      <c r="D74" s="7" t="s">
        <v>639</v>
      </c>
      <c r="E74" s="20">
        <v>90</v>
      </c>
      <c r="F74" s="21" t="s">
        <v>68</v>
      </c>
      <c r="G74" s="21" t="s">
        <v>643</v>
      </c>
      <c r="H74" s="21">
        <f>13000*117/100</f>
        <v>15210</v>
      </c>
      <c r="I74" s="21">
        <f t="shared" ref="I74:I77" si="0">H74*4</f>
        <v>60840</v>
      </c>
      <c r="J74" s="7"/>
      <c r="K74" s="310"/>
      <c r="L74" s="320"/>
      <c r="M74" s="313"/>
    </row>
    <row r="75" spans="1:13" ht="25.5" x14ac:dyDescent="0.2">
      <c r="A75" s="306"/>
      <c r="B75" s="308"/>
      <c r="C75" s="308"/>
      <c r="D75" s="7" t="s">
        <v>640</v>
      </c>
      <c r="E75" s="20">
        <v>80</v>
      </c>
      <c r="F75" s="21" t="s">
        <v>68</v>
      </c>
      <c r="G75" s="21" t="s">
        <v>643</v>
      </c>
      <c r="H75" s="21">
        <f>15000*117/100</f>
        <v>17550</v>
      </c>
      <c r="I75" s="21">
        <f t="shared" si="0"/>
        <v>70200</v>
      </c>
      <c r="J75" s="7"/>
      <c r="K75" s="310"/>
      <c r="L75" s="320"/>
      <c r="M75" s="313"/>
    </row>
    <row r="76" spans="1:13" ht="25.5" x14ac:dyDescent="0.2">
      <c r="A76" s="306"/>
      <c r="B76" s="308"/>
      <c r="C76" s="308"/>
      <c r="D76" s="7" t="s">
        <v>641</v>
      </c>
      <c r="E76" s="20">
        <v>80</v>
      </c>
      <c r="F76" s="21" t="s">
        <v>68</v>
      </c>
      <c r="G76" s="21" t="s">
        <v>643</v>
      </c>
      <c r="H76" s="21">
        <f>15000*117/100</f>
        <v>17550</v>
      </c>
      <c r="I76" s="21">
        <f t="shared" si="0"/>
        <v>70200</v>
      </c>
      <c r="J76" s="7"/>
      <c r="K76" s="310"/>
      <c r="L76" s="320"/>
      <c r="M76" s="313"/>
    </row>
    <row r="77" spans="1:13" ht="13.9" customHeight="1" x14ac:dyDescent="0.2">
      <c r="A77" s="306"/>
      <c r="B77" s="308"/>
      <c r="C77" s="308"/>
      <c r="D77" s="7" t="s">
        <v>642</v>
      </c>
      <c r="E77" s="20">
        <v>70</v>
      </c>
      <c r="F77" s="21" t="s">
        <v>68</v>
      </c>
      <c r="G77" s="21" t="s">
        <v>643</v>
      </c>
      <c r="H77" s="21">
        <f>17000*117/100</f>
        <v>19890</v>
      </c>
      <c r="I77" s="21">
        <f t="shared" si="0"/>
        <v>79560</v>
      </c>
      <c r="J77" s="7"/>
      <c r="K77" s="310"/>
      <c r="L77" s="320"/>
      <c r="M77" s="313"/>
    </row>
    <row r="78" spans="1:13" ht="14.25" x14ac:dyDescent="0.2">
      <c r="A78" s="302"/>
      <c r="B78" s="303" t="s">
        <v>784</v>
      </c>
      <c r="C78" s="304"/>
      <c r="D78" s="304"/>
      <c r="E78" s="304"/>
      <c r="F78" s="304"/>
      <c r="G78" s="304"/>
      <c r="H78" s="304"/>
      <c r="I78" s="304"/>
      <c r="J78" s="304"/>
      <c r="K78" s="304"/>
      <c r="L78" s="304"/>
      <c r="M78" s="305"/>
    </row>
    <row r="79" spans="1:13" ht="15.75" x14ac:dyDescent="0.2">
      <c r="A79" s="298" t="s">
        <v>789</v>
      </c>
      <c r="B79" s="299"/>
      <c r="C79" s="299"/>
      <c r="D79" s="299"/>
      <c r="E79" s="299"/>
      <c r="F79" s="299"/>
      <c r="G79" s="299"/>
      <c r="H79" s="299"/>
      <c r="I79" s="299"/>
      <c r="J79" s="299"/>
      <c r="K79" s="299"/>
      <c r="L79" s="299"/>
      <c r="M79" s="300"/>
    </row>
    <row r="80" spans="1:13" ht="63" x14ac:dyDescent="0.2">
      <c r="A80" s="341">
        <v>15</v>
      </c>
      <c r="B80" s="126" t="s">
        <v>786</v>
      </c>
      <c r="C80" s="129" t="s">
        <v>506</v>
      </c>
      <c r="D80" s="17" t="s">
        <v>787</v>
      </c>
      <c r="E80" s="18">
        <v>100</v>
      </c>
      <c r="F80" s="17" t="s">
        <v>29</v>
      </c>
      <c r="G80" s="17" t="s">
        <v>1103</v>
      </c>
      <c r="H80" s="137">
        <v>150</v>
      </c>
      <c r="I80" s="137">
        <f>120*150*6</f>
        <v>108000</v>
      </c>
      <c r="J80" s="17"/>
      <c r="K80" s="130" t="s">
        <v>823</v>
      </c>
      <c r="L80" s="135"/>
      <c r="M80" s="127" t="s">
        <v>132</v>
      </c>
    </row>
    <row r="81" spans="1:13" ht="14.25" x14ac:dyDescent="0.2">
      <c r="A81" s="342"/>
      <c r="B81" s="343"/>
      <c r="C81" s="344"/>
      <c r="D81" s="344"/>
      <c r="E81" s="344"/>
      <c r="F81" s="344"/>
      <c r="G81" s="344"/>
      <c r="H81" s="344"/>
      <c r="I81" s="344"/>
      <c r="J81" s="344"/>
      <c r="K81" s="344"/>
      <c r="L81" s="344"/>
      <c r="M81" s="345"/>
    </row>
    <row r="82" spans="1:13" ht="15.75" x14ac:dyDescent="0.2">
      <c r="A82" s="298" t="s">
        <v>796</v>
      </c>
      <c r="B82" s="299"/>
      <c r="C82" s="299"/>
      <c r="D82" s="299"/>
      <c r="E82" s="299"/>
      <c r="F82" s="299"/>
      <c r="G82" s="299"/>
      <c r="H82" s="299"/>
      <c r="I82" s="299"/>
      <c r="J82" s="299"/>
      <c r="K82" s="299"/>
      <c r="L82" s="299"/>
      <c r="M82" s="300"/>
    </row>
    <row r="83" spans="1:13" ht="15.6" customHeight="1" x14ac:dyDescent="0.2">
      <c r="A83" s="301">
        <v>16</v>
      </c>
      <c r="B83" s="307" t="s">
        <v>790</v>
      </c>
      <c r="C83" s="307" t="s">
        <v>146</v>
      </c>
      <c r="D83" s="49" t="s">
        <v>791</v>
      </c>
      <c r="E83" s="50">
        <v>100</v>
      </c>
      <c r="F83" s="51" t="s">
        <v>18</v>
      </c>
      <c r="G83" s="51" t="s">
        <v>18</v>
      </c>
      <c r="H83" s="51">
        <f>295750*117/100</f>
        <v>346027.5</v>
      </c>
      <c r="I83" s="51">
        <f>295750*117/100</f>
        <v>346027.5</v>
      </c>
      <c r="J83" s="49" t="s">
        <v>20</v>
      </c>
      <c r="K83" s="309" t="s">
        <v>426</v>
      </c>
      <c r="L83" s="319"/>
      <c r="M83" s="312">
        <v>224003</v>
      </c>
    </row>
    <row r="84" spans="1:13" ht="15.6" customHeight="1" x14ac:dyDescent="0.2">
      <c r="A84" s="306"/>
      <c r="B84" s="308"/>
      <c r="C84" s="308"/>
      <c r="D84" s="138" t="s">
        <v>792</v>
      </c>
      <c r="E84" s="139">
        <v>90</v>
      </c>
      <c r="F84" s="140" t="s">
        <v>18</v>
      </c>
      <c r="G84" s="140" t="s">
        <v>18</v>
      </c>
      <c r="H84" s="140">
        <f>516871*117/100</f>
        <v>604739.06999999995</v>
      </c>
      <c r="I84" s="140">
        <f>516871*117/100</f>
        <v>604739.06999999995</v>
      </c>
      <c r="J84" s="138"/>
      <c r="K84" s="310"/>
      <c r="L84" s="320"/>
      <c r="M84" s="313"/>
    </row>
    <row r="85" spans="1:13" ht="15.6" customHeight="1" x14ac:dyDescent="0.2">
      <c r="A85" s="306"/>
      <c r="B85" s="308"/>
      <c r="C85" s="308"/>
      <c r="D85" s="138" t="s">
        <v>793</v>
      </c>
      <c r="E85" s="139">
        <v>80</v>
      </c>
      <c r="F85" s="140" t="s">
        <v>18</v>
      </c>
      <c r="G85" s="140" t="s">
        <v>18</v>
      </c>
      <c r="H85" s="140">
        <f>1534000*117/100</f>
        <v>1794780</v>
      </c>
      <c r="I85" s="140">
        <f>1534000*117/100</f>
        <v>1794780</v>
      </c>
      <c r="J85" s="138" t="s">
        <v>20</v>
      </c>
      <c r="K85" s="310"/>
      <c r="L85" s="320"/>
      <c r="M85" s="313"/>
    </row>
    <row r="86" spans="1:13" ht="25.5" x14ac:dyDescent="0.2">
      <c r="A86" s="306"/>
      <c r="B86" s="308"/>
      <c r="C86" s="308"/>
      <c r="D86" s="138" t="s">
        <v>794</v>
      </c>
      <c r="E86" s="139">
        <v>70</v>
      </c>
      <c r="F86" s="140" t="s">
        <v>18</v>
      </c>
      <c r="G86" s="140" t="s">
        <v>18</v>
      </c>
      <c r="H86" s="140">
        <f>1618000*117/100</f>
        <v>1893060</v>
      </c>
      <c r="I86" s="140">
        <f>1618000*117/100</f>
        <v>1893060</v>
      </c>
      <c r="J86" s="138" t="s">
        <v>20</v>
      </c>
      <c r="K86" s="323"/>
      <c r="L86" s="320"/>
      <c r="M86" s="313"/>
    </row>
    <row r="87" spans="1:13" ht="14.25" x14ac:dyDescent="0.2">
      <c r="A87" s="302"/>
      <c r="B87" s="303"/>
      <c r="C87" s="304"/>
      <c r="D87" s="304"/>
      <c r="E87" s="304"/>
      <c r="F87" s="304"/>
      <c r="G87" s="304"/>
      <c r="H87" s="304"/>
      <c r="I87" s="304"/>
      <c r="J87" s="304"/>
      <c r="K87" s="304"/>
      <c r="L87" s="304"/>
      <c r="M87" s="305"/>
    </row>
    <row r="88" spans="1:13" ht="15.75" x14ac:dyDescent="0.2">
      <c r="A88" s="298" t="s">
        <v>797</v>
      </c>
      <c r="B88" s="299"/>
      <c r="C88" s="299"/>
      <c r="D88" s="299"/>
      <c r="E88" s="299"/>
      <c r="F88" s="299"/>
      <c r="G88" s="299"/>
      <c r="H88" s="299"/>
      <c r="I88" s="299"/>
      <c r="J88" s="299"/>
      <c r="K88" s="299"/>
      <c r="L88" s="299"/>
      <c r="M88" s="300"/>
    </row>
    <row r="89" spans="1:13" ht="25.5" x14ac:dyDescent="0.2">
      <c r="A89" s="301">
        <v>17</v>
      </c>
      <c r="B89" s="307" t="s">
        <v>798</v>
      </c>
      <c r="C89" s="307" t="s">
        <v>799</v>
      </c>
      <c r="D89" s="17" t="s">
        <v>800</v>
      </c>
      <c r="E89" s="18">
        <v>100</v>
      </c>
      <c r="F89" s="19" t="s">
        <v>804</v>
      </c>
      <c r="G89" s="38">
        <v>0.11799999999999999</v>
      </c>
      <c r="H89" s="19"/>
      <c r="I89" s="19"/>
      <c r="J89" s="17" t="s">
        <v>20</v>
      </c>
      <c r="K89" s="309" t="s">
        <v>835</v>
      </c>
      <c r="L89" s="319"/>
      <c r="M89" s="312"/>
    </row>
    <row r="90" spans="1:13" ht="25.5" x14ac:dyDescent="0.2">
      <c r="A90" s="306"/>
      <c r="B90" s="308"/>
      <c r="C90" s="308"/>
      <c r="D90" s="17" t="s">
        <v>801</v>
      </c>
      <c r="E90" s="18">
        <v>100</v>
      </c>
      <c r="F90" s="19" t="s">
        <v>804</v>
      </c>
      <c r="G90" s="38">
        <v>0.11799999999999999</v>
      </c>
      <c r="H90" s="19"/>
      <c r="I90" s="19"/>
      <c r="J90" s="17" t="s">
        <v>20</v>
      </c>
      <c r="K90" s="310"/>
      <c r="L90" s="320"/>
      <c r="M90" s="313"/>
    </row>
    <row r="91" spans="1:13" ht="38.25" x14ac:dyDescent="0.2">
      <c r="A91" s="306"/>
      <c r="B91" s="308"/>
      <c r="C91" s="308"/>
      <c r="D91" s="17" t="s">
        <v>802</v>
      </c>
      <c r="E91" s="18">
        <v>100</v>
      </c>
      <c r="F91" s="19" t="s">
        <v>804</v>
      </c>
      <c r="G91" s="38">
        <v>0.11799999999999999</v>
      </c>
      <c r="H91" s="19"/>
      <c r="I91" s="19"/>
      <c r="J91" s="17"/>
      <c r="K91" s="310"/>
      <c r="L91" s="320"/>
      <c r="M91" s="313"/>
    </row>
    <row r="92" spans="1:13" ht="25.5" x14ac:dyDescent="0.2">
      <c r="A92" s="306"/>
      <c r="B92" s="308"/>
      <c r="C92" s="308"/>
      <c r="D92" s="17" t="s">
        <v>683</v>
      </c>
      <c r="E92" s="18">
        <v>84</v>
      </c>
      <c r="F92" s="19" t="s">
        <v>804</v>
      </c>
      <c r="G92" s="38">
        <v>0.11899999999999999</v>
      </c>
      <c r="H92" s="19"/>
      <c r="I92" s="19"/>
      <c r="J92" s="17"/>
      <c r="K92" s="310"/>
      <c r="L92" s="320"/>
      <c r="M92" s="313"/>
    </row>
    <row r="93" spans="1:13" ht="14.25" x14ac:dyDescent="0.2">
      <c r="A93" s="302"/>
      <c r="B93" s="303" t="s">
        <v>803</v>
      </c>
      <c r="C93" s="304"/>
      <c r="D93" s="304"/>
      <c r="E93" s="304"/>
      <c r="F93" s="304"/>
      <c r="G93" s="304"/>
      <c r="H93" s="304"/>
      <c r="I93" s="304"/>
      <c r="J93" s="304"/>
      <c r="K93" s="304"/>
      <c r="L93" s="304"/>
      <c r="M93" s="305"/>
    </row>
    <row r="94" spans="1:13" ht="15.75" x14ac:dyDescent="0.2">
      <c r="A94" s="298" t="s">
        <v>808</v>
      </c>
      <c r="B94" s="299"/>
      <c r="C94" s="299"/>
      <c r="D94" s="299"/>
      <c r="E94" s="299"/>
      <c r="F94" s="299"/>
      <c r="G94" s="299"/>
      <c r="H94" s="299"/>
      <c r="I94" s="299"/>
      <c r="J94" s="299"/>
      <c r="K94" s="299"/>
      <c r="L94" s="299"/>
      <c r="M94" s="300"/>
    </row>
    <row r="95" spans="1:13" ht="26.45" customHeight="1" x14ac:dyDescent="0.2">
      <c r="A95" s="301">
        <v>18</v>
      </c>
      <c r="B95" s="307" t="s">
        <v>824</v>
      </c>
      <c r="C95" s="307" t="s">
        <v>811</v>
      </c>
      <c r="D95" s="17" t="s">
        <v>812</v>
      </c>
      <c r="E95" s="18">
        <v>100</v>
      </c>
      <c r="F95" s="19" t="s">
        <v>29</v>
      </c>
      <c r="G95" s="136" t="s">
        <v>379</v>
      </c>
      <c r="H95" s="19">
        <f>159*117/100</f>
        <v>186.03</v>
      </c>
      <c r="I95" s="19">
        <f>200*H95</f>
        <v>37206</v>
      </c>
      <c r="J95" s="17"/>
      <c r="K95" s="309" t="s">
        <v>426</v>
      </c>
      <c r="L95" s="319"/>
      <c r="M95" s="312">
        <v>1621000750</v>
      </c>
    </row>
    <row r="96" spans="1:13" ht="38.25" x14ac:dyDescent="0.2">
      <c r="A96" s="306"/>
      <c r="B96" s="308"/>
      <c r="C96" s="308"/>
      <c r="D96" s="7" t="s">
        <v>813</v>
      </c>
      <c r="E96" s="20">
        <v>90</v>
      </c>
      <c r="F96" s="21" t="s">
        <v>29</v>
      </c>
      <c r="G96" s="128" t="s">
        <v>379</v>
      </c>
      <c r="H96" s="21">
        <f>160*117/100</f>
        <v>187.2</v>
      </c>
      <c r="I96" s="21">
        <f t="shared" ref="I96:I98" si="1">200*H96</f>
        <v>37440</v>
      </c>
      <c r="J96" s="7" t="s">
        <v>20</v>
      </c>
      <c r="K96" s="310"/>
      <c r="L96" s="320"/>
      <c r="M96" s="313"/>
    </row>
    <row r="97" spans="1:13" ht="14.25" x14ac:dyDescent="0.2">
      <c r="A97" s="306"/>
      <c r="B97" s="308"/>
      <c r="C97" s="308"/>
      <c r="D97" s="7" t="s">
        <v>814</v>
      </c>
      <c r="E97" s="20">
        <v>80</v>
      </c>
      <c r="F97" s="21" t="s">
        <v>29</v>
      </c>
      <c r="G97" s="128" t="s">
        <v>379</v>
      </c>
      <c r="H97" s="21">
        <f>185*117/100</f>
        <v>216.45</v>
      </c>
      <c r="I97" s="21">
        <f t="shared" si="1"/>
        <v>43290</v>
      </c>
      <c r="J97" s="7" t="s">
        <v>20</v>
      </c>
      <c r="K97" s="310"/>
      <c r="L97" s="320"/>
      <c r="M97" s="313"/>
    </row>
    <row r="98" spans="1:13" ht="38.25" x14ac:dyDescent="0.2">
      <c r="A98" s="306"/>
      <c r="B98" s="308"/>
      <c r="C98" s="308"/>
      <c r="D98" s="7" t="s">
        <v>815</v>
      </c>
      <c r="E98" s="20">
        <v>70</v>
      </c>
      <c r="F98" s="21" t="s">
        <v>29</v>
      </c>
      <c r="G98" s="128" t="s">
        <v>379</v>
      </c>
      <c r="H98" s="21">
        <f>195*117/100</f>
        <v>228.15</v>
      </c>
      <c r="I98" s="21">
        <f t="shared" si="1"/>
        <v>45630</v>
      </c>
      <c r="J98" s="7" t="s">
        <v>20</v>
      </c>
      <c r="K98" s="310"/>
      <c r="L98" s="320"/>
      <c r="M98" s="313"/>
    </row>
    <row r="99" spans="1:13" ht="14.25" x14ac:dyDescent="0.2">
      <c r="A99" s="302"/>
      <c r="B99" s="303"/>
      <c r="C99" s="304"/>
      <c r="D99" s="304"/>
      <c r="E99" s="304"/>
      <c r="F99" s="304"/>
      <c r="G99" s="304"/>
      <c r="H99" s="304"/>
      <c r="I99" s="304"/>
      <c r="J99" s="304"/>
      <c r="K99" s="304"/>
      <c r="L99" s="304"/>
      <c r="M99" s="305"/>
    </row>
    <row r="100" spans="1:13" ht="15.75" x14ac:dyDescent="0.2">
      <c r="A100" s="298" t="s">
        <v>809</v>
      </c>
      <c r="B100" s="299"/>
      <c r="C100" s="299"/>
      <c r="D100" s="299"/>
      <c r="E100" s="299"/>
      <c r="F100" s="299"/>
      <c r="G100" s="299"/>
      <c r="H100" s="299"/>
      <c r="I100" s="299"/>
      <c r="J100" s="299"/>
      <c r="K100" s="299"/>
      <c r="L100" s="299"/>
      <c r="M100" s="300"/>
    </row>
    <row r="101" spans="1:13" ht="14.25" x14ac:dyDescent="0.2">
      <c r="A101" s="301">
        <v>19</v>
      </c>
      <c r="B101" s="307" t="s">
        <v>816</v>
      </c>
      <c r="C101" s="307" t="s">
        <v>276</v>
      </c>
      <c r="D101" s="17" t="s">
        <v>817</v>
      </c>
      <c r="E101" s="18">
        <v>94</v>
      </c>
      <c r="F101" s="19" t="s">
        <v>18</v>
      </c>
      <c r="G101" s="19" t="s">
        <v>18</v>
      </c>
      <c r="H101" s="19">
        <f>9700*117/100</f>
        <v>11349</v>
      </c>
      <c r="I101" s="19">
        <f>9700*117/100</f>
        <v>11349</v>
      </c>
      <c r="J101" s="17" t="s">
        <v>20</v>
      </c>
      <c r="K101" s="309" t="s">
        <v>426</v>
      </c>
      <c r="L101" s="319"/>
      <c r="M101" s="312"/>
    </row>
    <row r="102" spans="1:13" ht="25.5" x14ac:dyDescent="0.2">
      <c r="A102" s="306"/>
      <c r="B102" s="308"/>
      <c r="C102" s="308"/>
      <c r="D102" s="7" t="s">
        <v>438</v>
      </c>
      <c r="E102" s="20">
        <v>90</v>
      </c>
      <c r="F102" s="21" t="s">
        <v>18</v>
      </c>
      <c r="G102" s="21" t="s">
        <v>18</v>
      </c>
      <c r="H102" s="21">
        <f>12000*117/100</f>
        <v>14040</v>
      </c>
      <c r="I102" s="21">
        <f>12000*117/100</f>
        <v>14040</v>
      </c>
      <c r="J102" s="7"/>
      <c r="K102" s="310"/>
      <c r="L102" s="320"/>
      <c r="M102" s="313"/>
    </row>
    <row r="103" spans="1:13" ht="14.25" x14ac:dyDescent="0.2">
      <c r="A103" s="306"/>
      <c r="B103" s="308"/>
      <c r="C103" s="308"/>
      <c r="D103" s="7" t="s">
        <v>818</v>
      </c>
      <c r="E103" s="20">
        <v>84</v>
      </c>
      <c r="F103" s="21" t="s">
        <v>18</v>
      </c>
      <c r="G103" s="21" t="s">
        <v>18</v>
      </c>
      <c r="H103" s="21">
        <f>12000*117/100</f>
        <v>14040</v>
      </c>
      <c r="I103" s="21">
        <f>12000*117/100</f>
        <v>14040</v>
      </c>
      <c r="J103" s="7" t="s">
        <v>20</v>
      </c>
      <c r="K103" s="310"/>
      <c r="L103" s="320"/>
      <c r="M103" s="313"/>
    </row>
    <row r="104" spans="1:13" ht="25.5" x14ac:dyDescent="0.2">
      <c r="A104" s="306"/>
      <c r="B104" s="308"/>
      <c r="C104" s="308"/>
      <c r="D104" s="7" t="s">
        <v>299</v>
      </c>
      <c r="E104" s="20">
        <v>70</v>
      </c>
      <c r="F104" s="21" t="s">
        <v>18</v>
      </c>
      <c r="G104" s="21" t="s">
        <v>18</v>
      </c>
      <c r="H104" s="21">
        <f>13200*117/100</f>
        <v>15444</v>
      </c>
      <c r="I104" s="21">
        <f>13200*117/100</f>
        <v>15444</v>
      </c>
      <c r="J104" s="7" t="s">
        <v>20</v>
      </c>
      <c r="K104" s="310"/>
      <c r="L104" s="320"/>
      <c r="M104" s="313"/>
    </row>
    <row r="105" spans="1:13" ht="25.5" x14ac:dyDescent="0.2">
      <c r="A105" s="306"/>
      <c r="B105" s="308"/>
      <c r="C105" s="308"/>
      <c r="D105" s="7" t="s">
        <v>819</v>
      </c>
      <c r="E105" s="20">
        <v>64</v>
      </c>
      <c r="F105" s="21" t="s">
        <v>18</v>
      </c>
      <c r="G105" s="21" t="s">
        <v>18</v>
      </c>
      <c r="H105" s="21">
        <f>14000*117/100</f>
        <v>16380</v>
      </c>
      <c r="I105" s="21">
        <f>14000*117/100</f>
        <v>16380</v>
      </c>
      <c r="J105" s="7"/>
      <c r="K105" s="310"/>
      <c r="L105" s="320"/>
      <c r="M105" s="313"/>
    </row>
    <row r="106" spans="1:13" ht="14.25" x14ac:dyDescent="0.2">
      <c r="A106" s="302"/>
      <c r="B106" s="303"/>
      <c r="C106" s="304"/>
      <c r="D106" s="304"/>
      <c r="E106" s="304"/>
      <c r="F106" s="304"/>
      <c r="G106" s="304"/>
      <c r="H106" s="304"/>
      <c r="I106" s="304"/>
      <c r="J106" s="304"/>
      <c r="K106" s="304"/>
      <c r="L106" s="304"/>
      <c r="M106" s="305"/>
    </row>
    <row r="107" spans="1:13" ht="15.75" x14ac:dyDescent="0.2">
      <c r="A107" s="298" t="s">
        <v>810</v>
      </c>
      <c r="B107" s="299"/>
      <c r="C107" s="299"/>
      <c r="D107" s="299"/>
      <c r="E107" s="299"/>
      <c r="F107" s="299"/>
      <c r="G107" s="299"/>
      <c r="H107" s="299"/>
      <c r="I107" s="299"/>
      <c r="J107" s="299"/>
      <c r="K107" s="299"/>
      <c r="L107" s="299"/>
      <c r="M107" s="300"/>
    </row>
    <row r="108" spans="1:13" ht="25.5" x14ac:dyDescent="0.2">
      <c r="A108" s="301">
        <v>20</v>
      </c>
      <c r="B108" s="307" t="s">
        <v>820</v>
      </c>
      <c r="C108" s="307" t="s">
        <v>276</v>
      </c>
      <c r="D108" s="17" t="s">
        <v>438</v>
      </c>
      <c r="E108" s="18">
        <v>94</v>
      </c>
      <c r="F108" s="19" t="s">
        <v>18</v>
      </c>
      <c r="G108" s="19" t="s">
        <v>18</v>
      </c>
      <c r="H108" s="19">
        <f>10000*117/100</f>
        <v>11700</v>
      </c>
      <c r="I108" s="19">
        <f>10000*117/100</f>
        <v>11700</v>
      </c>
      <c r="J108" s="17"/>
      <c r="K108" s="309" t="s">
        <v>426</v>
      </c>
      <c r="L108" s="319"/>
      <c r="M108" s="312"/>
    </row>
    <row r="109" spans="1:13" ht="25.5" x14ac:dyDescent="0.2">
      <c r="A109" s="306"/>
      <c r="B109" s="308"/>
      <c r="C109" s="308"/>
      <c r="D109" s="7" t="s">
        <v>299</v>
      </c>
      <c r="E109" s="20">
        <v>90</v>
      </c>
      <c r="F109" s="21" t="s">
        <v>18</v>
      </c>
      <c r="G109" s="21" t="s">
        <v>18</v>
      </c>
      <c r="H109" s="21">
        <f>11500*117/100</f>
        <v>13455</v>
      </c>
      <c r="I109" s="21">
        <f>11500*117/100</f>
        <v>13455</v>
      </c>
      <c r="J109" s="7" t="s">
        <v>20</v>
      </c>
      <c r="K109" s="310"/>
      <c r="L109" s="320"/>
      <c r="M109" s="313"/>
    </row>
    <row r="110" spans="1:13" ht="25.5" x14ac:dyDescent="0.2">
      <c r="A110" s="306"/>
      <c r="B110" s="308"/>
      <c r="C110" s="308"/>
      <c r="D110" s="7" t="s">
        <v>819</v>
      </c>
      <c r="E110" s="20">
        <v>74</v>
      </c>
      <c r="F110" s="21" t="s">
        <v>18</v>
      </c>
      <c r="G110" s="21" t="s">
        <v>18</v>
      </c>
      <c r="H110" s="21">
        <f>12100*117/100</f>
        <v>14157</v>
      </c>
      <c r="I110" s="21">
        <f>12100*117/100</f>
        <v>14157</v>
      </c>
      <c r="J110" s="7"/>
      <c r="K110" s="310"/>
      <c r="L110" s="320"/>
      <c r="M110" s="313"/>
    </row>
    <row r="111" spans="1:13" ht="14.25" x14ac:dyDescent="0.2">
      <c r="A111" s="306"/>
      <c r="B111" s="308"/>
      <c r="C111" s="308"/>
      <c r="D111" s="7" t="s">
        <v>817</v>
      </c>
      <c r="E111" s="20">
        <v>70</v>
      </c>
      <c r="F111" s="21" t="s">
        <v>18</v>
      </c>
      <c r="G111" s="21" t="s">
        <v>18</v>
      </c>
      <c r="H111" s="21">
        <f>17400*117/100</f>
        <v>20358</v>
      </c>
      <c r="I111" s="21">
        <f>17400*117/100</f>
        <v>20358</v>
      </c>
      <c r="J111" s="7" t="s">
        <v>20</v>
      </c>
      <c r="K111" s="310"/>
      <c r="L111" s="320"/>
      <c r="M111" s="313"/>
    </row>
    <row r="112" spans="1:13" ht="14.25" x14ac:dyDescent="0.2">
      <c r="A112" s="306"/>
      <c r="B112" s="308"/>
      <c r="C112" s="308"/>
      <c r="D112" s="7" t="s">
        <v>818</v>
      </c>
      <c r="E112" s="20">
        <v>64</v>
      </c>
      <c r="F112" s="21" t="s">
        <v>18</v>
      </c>
      <c r="G112" s="21" t="s">
        <v>18</v>
      </c>
      <c r="H112" s="21">
        <f>24000*117/100</f>
        <v>28080</v>
      </c>
      <c r="I112" s="21">
        <f>24000*117/100</f>
        <v>28080</v>
      </c>
      <c r="J112" s="7" t="s">
        <v>20</v>
      </c>
      <c r="K112" s="310"/>
      <c r="L112" s="320"/>
      <c r="M112" s="313"/>
    </row>
    <row r="113" spans="1:13" ht="14.25" x14ac:dyDescent="0.2">
      <c r="A113" s="302"/>
      <c r="B113" s="303"/>
      <c r="C113" s="304"/>
      <c r="D113" s="304"/>
      <c r="E113" s="304"/>
      <c r="F113" s="304"/>
      <c r="G113" s="304"/>
      <c r="H113" s="304"/>
      <c r="I113" s="304"/>
      <c r="J113" s="304"/>
      <c r="K113" s="304"/>
      <c r="L113" s="304"/>
      <c r="M113" s="305"/>
    </row>
  </sheetData>
  <mergeCells count="140">
    <mergeCell ref="A107:M107"/>
    <mergeCell ref="A108:A113"/>
    <mergeCell ref="B108:B112"/>
    <mergeCell ref="C108:C112"/>
    <mergeCell ref="K108:K112"/>
    <mergeCell ref="L108:L112"/>
    <mergeCell ref="M108:M112"/>
    <mergeCell ref="B113:M113"/>
    <mergeCell ref="A100:M100"/>
    <mergeCell ref="A101:A106"/>
    <mergeCell ref="B101:B105"/>
    <mergeCell ref="C101:C105"/>
    <mergeCell ref="K101:K105"/>
    <mergeCell ref="L101:L105"/>
    <mergeCell ref="M101:M105"/>
    <mergeCell ref="B106:M106"/>
    <mergeCell ref="A95:A99"/>
    <mergeCell ref="B95:B98"/>
    <mergeCell ref="C95:C98"/>
    <mergeCell ref="K95:K98"/>
    <mergeCell ref="L95:L98"/>
    <mergeCell ref="M95:M98"/>
    <mergeCell ref="B99:M99"/>
    <mergeCell ref="A88:M88"/>
    <mergeCell ref="A89:A93"/>
    <mergeCell ref="B89:B92"/>
    <mergeCell ref="C89:C92"/>
    <mergeCell ref="K89:K92"/>
    <mergeCell ref="L89:L92"/>
    <mergeCell ref="M89:M92"/>
    <mergeCell ref="B93:M93"/>
    <mergeCell ref="A82:M82"/>
    <mergeCell ref="A83:A87"/>
    <mergeCell ref="B83:B86"/>
    <mergeCell ref="C83:C86"/>
    <mergeCell ref="K83:K86"/>
    <mergeCell ref="L83:L86"/>
    <mergeCell ref="M83:M86"/>
    <mergeCell ref="B87:M87"/>
    <mergeCell ref="A94:M94"/>
    <mergeCell ref="A79:M79"/>
    <mergeCell ref="A80:A81"/>
    <mergeCell ref="B81:M81"/>
    <mergeCell ref="B73:B77"/>
    <mergeCell ref="C73:C77"/>
    <mergeCell ref="K73:K77"/>
    <mergeCell ref="L73:L77"/>
    <mergeCell ref="M73:M77"/>
    <mergeCell ref="B78:M78"/>
    <mergeCell ref="M61:M64"/>
    <mergeCell ref="B65:M65"/>
    <mergeCell ref="A69:M69"/>
    <mergeCell ref="A70:A71"/>
    <mergeCell ref="B71:M71"/>
    <mergeCell ref="A61:A65"/>
    <mergeCell ref="B61:B64"/>
    <mergeCell ref="C61:C64"/>
    <mergeCell ref="K61:K64"/>
    <mergeCell ref="L61:L64"/>
    <mergeCell ref="A60:M60"/>
    <mergeCell ref="A51:M51"/>
    <mergeCell ref="A52:A56"/>
    <mergeCell ref="B52:B55"/>
    <mergeCell ref="C52:C55"/>
    <mergeCell ref="K52:K55"/>
    <mergeCell ref="L52:L55"/>
    <mergeCell ref="M52:M55"/>
    <mergeCell ref="B56:M56"/>
    <mergeCell ref="B41:M41"/>
    <mergeCell ref="A42:M42"/>
    <mergeCell ref="K19:K22"/>
    <mergeCell ref="L19:L22"/>
    <mergeCell ref="M19:M22"/>
    <mergeCell ref="B23:M23"/>
    <mergeCell ref="A24:M24"/>
    <mergeCell ref="A72:M72"/>
    <mergeCell ref="A73:A78"/>
    <mergeCell ref="B68:M68"/>
    <mergeCell ref="A66:M66"/>
    <mergeCell ref="A67:A68"/>
    <mergeCell ref="M43:M46"/>
    <mergeCell ref="B47:M47"/>
    <mergeCell ref="A48:M48"/>
    <mergeCell ref="A49:A50"/>
    <mergeCell ref="B50:M50"/>
    <mergeCell ref="A43:A47"/>
    <mergeCell ref="B43:B46"/>
    <mergeCell ref="C43:C46"/>
    <mergeCell ref="K43:K46"/>
    <mergeCell ref="L43:L46"/>
    <mergeCell ref="A58:A59"/>
    <mergeCell ref="B59:M59"/>
    <mergeCell ref="C13:C16"/>
    <mergeCell ref="K13:K16"/>
    <mergeCell ref="L13:L16"/>
    <mergeCell ref="M13:M16"/>
    <mergeCell ref="B17:M17"/>
    <mergeCell ref="A18:M18"/>
    <mergeCell ref="A57:M57"/>
    <mergeCell ref="A37:A41"/>
    <mergeCell ref="B37:B40"/>
    <mergeCell ref="C37:C40"/>
    <mergeCell ref="B29:M29"/>
    <mergeCell ref="A36:M36"/>
    <mergeCell ref="A19:A23"/>
    <mergeCell ref="B19:B22"/>
    <mergeCell ref="A25:A29"/>
    <mergeCell ref="B25:B28"/>
    <mergeCell ref="C25:C28"/>
    <mergeCell ref="K25:K28"/>
    <mergeCell ref="L25:L28"/>
    <mergeCell ref="M25:M28"/>
    <mergeCell ref="C19:C22"/>
    <mergeCell ref="K37:K40"/>
    <mergeCell ref="L37:L40"/>
    <mergeCell ref="M37:M40"/>
    <mergeCell ref="A1:A5"/>
    <mergeCell ref="B1:M1"/>
    <mergeCell ref="B2:M2"/>
    <mergeCell ref="B3:M3"/>
    <mergeCell ref="B4:M4"/>
    <mergeCell ref="A30:M30"/>
    <mergeCell ref="A31:A35"/>
    <mergeCell ref="B31:B34"/>
    <mergeCell ref="C31:C34"/>
    <mergeCell ref="K31:K34"/>
    <mergeCell ref="L31:L34"/>
    <mergeCell ref="M31:M34"/>
    <mergeCell ref="B35:M35"/>
    <mergeCell ref="A6:M6"/>
    <mergeCell ref="A12:M12"/>
    <mergeCell ref="A13:A17"/>
    <mergeCell ref="B13:B16"/>
    <mergeCell ref="A7:A11"/>
    <mergeCell ref="B7:B10"/>
    <mergeCell ref="C7:C10"/>
    <mergeCell ref="K7:K10"/>
    <mergeCell ref="L7:L10"/>
    <mergeCell ref="M7:M10"/>
    <mergeCell ref="B11:M11"/>
  </mergeCells>
  <pageMargins left="0.7" right="0.7" top="0.75" bottom="0.75" header="0.3" footer="0.3"/>
  <pageSetup paperSize="9" scale="7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9"/>
  <sheetViews>
    <sheetView rightToLeft="1" zoomScale="85" zoomScaleNormal="85" workbookViewId="0">
      <pane ySplit="5" topLeftCell="A30" activePane="bottomLeft" state="frozen"/>
      <selection pane="bottomLeft" activeCell="B40" sqref="A38:M40"/>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728</v>
      </c>
      <c r="C1" s="315"/>
      <c r="D1" s="315"/>
      <c r="E1" s="315"/>
      <c r="F1" s="315"/>
      <c r="G1" s="315"/>
      <c r="H1" s="315"/>
      <c r="I1" s="315"/>
      <c r="J1" s="315"/>
      <c r="K1" s="315"/>
      <c r="L1" s="315"/>
      <c r="M1" s="315"/>
    </row>
    <row r="2" spans="1:13" ht="29.45" customHeight="1" x14ac:dyDescent="0.2">
      <c r="A2" s="314"/>
      <c r="B2" s="316" t="s">
        <v>739</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47.25" x14ac:dyDescent="0.2">
      <c r="A5" s="314"/>
      <c r="B5" s="115" t="s">
        <v>2</v>
      </c>
      <c r="C5" s="2" t="s">
        <v>3</v>
      </c>
      <c r="D5" s="3" t="s">
        <v>4</v>
      </c>
      <c r="E5" s="3" t="s">
        <v>5</v>
      </c>
      <c r="F5" s="3" t="s">
        <v>6</v>
      </c>
      <c r="G5" s="3" t="s">
        <v>7</v>
      </c>
      <c r="H5" s="4" t="s">
        <v>8</v>
      </c>
      <c r="I5" s="5" t="s">
        <v>9</v>
      </c>
      <c r="J5" s="3" t="s">
        <v>10</v>
      </c>
      <c r="K5" s="3" t="s">
        <v>11</v>
      </c>
      <c r="L5" s="6" t="s">
        <v>12</v>
      </c>
      <c r="M5" s="3" t="s">
        <v>13</v>
      </c>
    </row>
    <row r="6" spans="1:13" ht="15.75" x14ac:dyDescent="0.2">
      <c r="A6" s="298" t="s">
        <v>654</v>
      </c>
      <c r="B6" s="299"/>
      <c r="C6" s="299"/>
      <c r="D6" s="299"/>
      <c r="E6" s="299"/>
      <c r="F6" s="299"/>
      <c r="G6" s="299"/>
      <c r="H6" s="299"/>
      <c r="I6" s="299"/>
      <c r="J6" s="299"/>
      <c r="K6" s="299"/>
      <c r="L6" s="299"/>
      <c r="M6" s="300"/>
    </row>
    <row r="7" spans="1:13" ht="39.6" customHeight="1" x14ac:dyDescent="0.2">
      <c r="A7" s="301">
        <v>1</v>
      </c>
      <c r="B7" s="307" t="s">
        <v>649</v>
      </c>
      <c r="C7" s="307" t="s">
        <v>636</v>
      </c>
      <c r="D7" s="7" t="s">
        <v>650</v>
      </c>
      <c r="E7" s="20">
        <v>88</v>
      </c>
      <c r="F7" s="21" t="s">
        <v>18</v>
      </c>
      <c r="G7" s="21" t="s">
        <v>18</v>
      </c>
      <c r="H7" s="21">
        <f>169400*117/100</f>
        <v>198198</v>
      </c>
      <c r="I7" s="21">
        <f>169400*117/100</f>
        <v>198198</v>
      </c>
      <c r="J7" s="7" t="s">
        <v>20</v>
      </c>
      <c r="K7" s="309" t="s">
        <v>426</v>
      </c>
      <c r="L7" s="319"/>
      <c r="M7" s="312">
        <v>2530112750</v>
      </c>
    </row>
    <row r="8" spans="1:13" ht="13.9" customHeight="1" x14ac:dyDescent="0.2">
      <c r="A8" s="306"/>
      <c r="B8" s="308"/>
      <c r="C8" s="308"/>
      <c r="D8" s="17" t="s">
        <v>651</v>
      </c>
      <c r="E8" s="18">
        <v>90</v>
      </c>
      <c r="F8" s="19" t="s">
        <v>18</v>
      </c>
      <c r="G8" s="19" t="s">
        <v>18</v>
      </c>
      <c r="H8" s="19">
        <f>173690*117/100</f>
        <v>203217.3</v>
      </c>
      <c r="I8" s="19">
        <f>173690*117/100</f>
        <v>203217.3</v>
      </c>
      <c r="J8" s="17" t="s">
        <v>20</v>
      </c>
      <c r="K8" s="310"/>
      <c r="L8" s="320"/>
      <c r="M8" s="313"/>
    </row>
    <row r="9" spans="1:13" ht="13.9" customHeight="1" x14ac:dyDescent="0.2">
      <c r="A9" s="306"/>
      <c r="B9" s="308"/>
      <c r="C9" s="308"/>
      <c r="D9" s="7" t="s">
        <v>652</v>
      </c>
      <c r="E9" s="20">
        <v>80</v>
      </c>
      <c r="F9" s="21" t="s">
        <v>18</v>
      </c>
      <c r="G9" s="21" t="s">
        <v>18</v>
      </c>
      <c r="H9" s="21">
        <f>220000*117/100</f>
        <v>257400</v>
      </c>
      <c r="I9" s="21">
        <f>220000*117/100</f>
        <v>257400</v>
      </c>
      <c r="J9" s="7" t="s">
        <v>20</v>
      </c>
      <c r="K9" s="310"/>
      <c r="L9" s="320"/>
      <c r="M9" s="313"/>
    </row>
    <row r="10" spans="1:13" ht="38.25" x14ac:dyDescent="0.2">
      <c r="A10" s="306"/>
      <c r="B10" s="328"/>
      <c r="C10" s="328"/>
      <c r="D10" s="7" t="s">
        <v>653</v>
      </c>
      <c r="E10" s="20">
        <v>58</v>
      </c>
      <c r="F10" s="21" t="s">
        <v>18</v>
      </c>
      <c r="G10" s="21" t="s">
        <v>18</v>
      </c>
      <c r="H10" s="21">
        <f>276000*117/100</f>
        <v>322920</v>
      </c>
      <c r="I10" s="21">
        <f>276000*117/100</f>
        <v>322920</v>
      </c>
      <c r="J10" s="7" t="s">
        <v>20</v>
      </c>
      <c r="K10" s="323"/>
      <c r="L10" s="332"/>
      <c r="M10" s="327"/>
    </row>
    <row r="11" spans="1:13" ht="13.9" customHeight="1" x14ac:dyDescent="0.2">
      <c r="A11" s="302"/>
      <c r="B11" s="303"/>
      <c r="C11" s="304"/>
      <c r="D11" s="304"/>
      <c r="E11" s="304"/>
      <c r="F11" s="304"/>
      <c r="G11" s="304"/>
      <c r="H11" s="304"/>
      <c r="I11" s="304"/>
      <c r="J11" s="304"/>
      <c r="K11" s="304"/>
      <c r="L11" s="304"/>
      <c r="M11" s="305"/>
    </row>
    <row r="12" spans="1:13" ht="15.75" x14ac:dyDescent="0.2">
      <c r="A12" s="298" t="s">
        <v>655</v>
      </c>
      <c r="B12" s="299"/>
      <c r="C12" s="299"/>
      <c r="D12" s="299"/>
      <c r="E12" s="299"/>
      <c r="F12" s="299"/>
      <c r="G12" s="299"/>
      <c r="H12" s="299"/>
      <c r="I12" s="299"/>
      <c r="J12" s="299"/>
      <c r="K12" s="299"/>
      <c r="L12" s="299"/>
      <c r="M12" s="300"/>
    </row>
    <row r="13" spans="1:13" ht="39.6" customHeight="1" x14ac:dyDescent="0.2">
      <c r="A13" s="301">
        <v>2</v>
      </c>
      <c r="B13" s="307" t="s">
        <v>664</v>
      </c>
      <c r="C13" s="307" t="s">
        <v>636</v>
      </c>
      <c r="D13" s="17" t="s">
        <v>665</v>
      </c>
      <c r="E13" s="18">
        <v>88</v>
      </c>
      <c r="F13" s="19" t="s">
        <v>18</v>
      </c>
      <c r="G13" s="19" t="s">
        <v>18</v>
      </c>
      <c r="H13" s="19">
        <f>44000*117/100</f>
        <v>51480</v>
      </c>
      <c r="I13" s="19">
        <f>44000*117/100</f>
        <v>51480</v>
      </c>
      <c r="J13" s="17" t="s">
        <v>20</v>
      </c>
      <c r="K13" s="309" t="s">
        <v>734</v>
      </c>
      <c r="L13" s="319"/>
      <c r="M13" s="312">
        <v>2530112750</v>
      </c>
    </row>
    <row r="14" spans="1:13" ht="38.25" x14ac:dyDescent="0.2">
      <c r="A14" s="306"/>
      <c r="B14" s="308"/>
      <c r="C14" s="308"/>
      <c r="D14" s="17" t="s">
        <v>702</v>
      </c>
      <c r="E14" s="18">
        <v>90</v>
      </c>
      <c r="F14" s="19" t="s">
        <v>18</v>
      </c>
      <c r="G14" s="19" t="s">
        <v>18</v>
      </c>
      <c r="H14" s="19">
        <f>116779*117/100</f>
        <v>136631.43</v>
      </c>
      <c r="I14" s="19">
        <f>116779*117/100</f>
        <v>136631.43</v>
      </c>
      <c r="J14" s="17" t="s">
        <v>20</v>
      </c>
      <c r="K14" s="310"/>
      <c r="L14" s="320"/>
      <c r="M14" s="313"/>
    </row>
    <row r="15" spans="1:13" ht="25.5" x14ac:dyDescent="0.2">
      <c r="A15" s="306"/>
      <c r="B15" s="308"/>
      <c r="C15" s="308"/>
      <c r="D15" s="7" t="s">
        <v>666</v>
      </c>
      <c r="E15" s="20">
        <v>80</v>
      </c>
      <c r="F15" s="21" t="s">
        <v>18</v>
      </c>
      <c r="G15" s="21" t="s">
        <v>18</v>
      </c>
      <c r="H15" s="21">
        <f>152689*117/100</f>
        <v>178646.13</v>
      </c>
      <c r="I15" s="21">
        <f>152689*117/100</f>
        <v>178646.13</v>
      </c>
      <c r="J15" s="7" t="s">
        <v>20</v>
      </c>
      <c r="K15" s="310"/>
      <c r="L15" s="320"/>
      <c r="M15" s="313"/>
    </row>
    <row r="16" spans="1:13" ht="14.25" x14ac:dyDescent="0.2">
      <c r="A16" s="306"/>
      <c r="B16" s="308"/>
      <c r="C16" s="308"/>
      <c r="D16" s="7" t="s">
        <v>667</v>
      </c>
      <c r="E16" s="20">
        <v>70</v>
      </c>
      <c r="F16" s="21" t="s">
        <v>18</v>
      </c>
      <c r="G16" s="21" t="s">
        <v>18</v>
      </c>
      <c r="H16" s="21">
        <f>169655*117/100</f>
        <v>198496.35</v>
      </c>
      <c r="I16" s="21">
        <f>169655*117/100</f>
        <v>198496.35</v>
      </c>
      <c r="J16" s="7" t="s">
        <v>20</v>
      </c>
      <c r="K16" s="310"/>
      <c r="L16" s="320"/>
      <c r="M16" s="313"/>
    </row>
    <row r="17" spans="1:13" ht="25.5" x14ac:dyDescent="0.2">
      <c r="A17" s="306"/>
      <c r="B17" s="308"/>
      <c r="C17" s="308"/>
      <c r="D17" s="7" t="s">
        <v>668</v>
      </c>
      <c r="E17" s="20">
        <v>60</v>
      </c>
      <c r="F17" s="21" t="s">
        <v>18</v>
      </c>
      <c r="G17" s="21" t="s">
        <v>18</v>
      </c>
      <c r="H17" s="21">
        <f>186620*117/100</f>
        <v>218345.4</v>
      </c>
      <c r="I17" s="21">
        <f>186620*117/100</f>
        <v>218345.4</v>
      </c>
      <c r="J17" s="7" t="s">
        <v>20</v>
      </c>
      <c r="K17" s="310"/>
      <c r="L17" s="320"/>
      <c r="M17" s="313"/>
    </row>
    <row r="18" spans="1:13" ht="25.5" x14ac:dyDescent="0.2">
      <c r="A18" s="306"/>
      <c r="B18" s="308"/>
      <c r="C18" s="308"/>
      <c r="D18" s="7" t="s">
        <v>669</v>
      </c>
      <c r="E18" s="20">
        <v>50</v>
      </c>
      <c r="F18" s="21" t="s">
        <v>18</v>
      </c>
      <c r="G18" s="21" t="s">
        <v>18</v>
      </c>
      <c r="H18" s="21">
        <f>254482*117/100</f>
        <v>297743.94</v>
      </c>
      <c r="I18" s="21">
        <f>254482*117/100</f>
        <v>297743.94</v>
      </c>
      <c r="J18" s="7" t="s">
        <v>20</v>
      </c>
      <c r="K18" s="310"/>
      <c r="L18" s="320"/>
      <c r="M18" s="313"/>
    </row>
    <row r="19" spans="1:13" ht="25.5" x14ac:dyDescent="0.2">
      <c r="A19" s="306"/>
      <c r="B19" s="328"/>
      <c r="C19" s="328"/>
      <c r="D19" s="7" t="s">
        <v>670</v>
      </c>
      <c r="E19" s="20">
        <v>40</v>
      </c>
      <c r="F19" s="21" t="s">
        <v>18</v>
      </c>
      <c r="G19" s="21" t="s">
        <v>18</v>
      </c>
      <c r="H19" s="21">
        <f>272000*117/100</f>
        <v>318240</v>
      </c>
      <c r="I19" s="21">
        <f>272000*117/100</f>
        <v>318240</v>
      </c>
      <c r="J19" s="7" t="s">
        <v>20</v>
      </c>
      <c r="K19" s="323"/>
      <c r="L19" s="332"/>
      <c r="M19" s="327"/>
    </row>
    <row r="20" spans="1:13" ht="13.9" customHeight="1" x14ac:dyDescent="0.2">
      <c r="A20" s="302"/>
      <c r="B20" s="303"/>
      <c r="C20" s="304"/>
      <c r="D20" s="304"/>
      <c r="E20" s="304"/>
      <c r="F20" s="304"/>
      <c r="G20" s="304"/>
      <c r="H20" s="304"/>
      <c r="I20" s="304"/>
      <c r="J20" s="304"/>
      <c r="K20" s="304"/>
      <c r="L20" s="304"/>
      <c r="M20" s="305"/>
    </row>
    <row r="21" spans="1:13" ht="15.75" x14ac:dyDescent="0.2">
      <c r="A21" s="298" t="s">
        <v>656</v>
      </c>
      <c r="B21" s="299"/>
      <c r="C21" s="299"/>
      <c r="D21" s="299"/>
      <c r="E21" s="299"/>
      <c r="F21" s="299"/>
      <c r="G21" s="299"/>
      <c r="H21" s="299"/>
      <c r="I21" s="299"/>
      <c r="J21" s="299"/>
      <c r="K21" s="299"/>
      <c r="L21" s="299"/>
      <c r="M21" s="300"/>
    </row>
    <row r="22" spans="1:13" ht="13.9" customHeight="1" x14ac:dyDescent="0.2">
      <c r="A22" s="301">
        <v>3</v>
      </c>
      <c r="B22" s="307" t="s">
        <v>671</v>
      </c>
      <c r="C22" s="307" t="s">
        <v>636</v>
      </c>
      <c r="D22" s="17" t="s">
        <v>162</v>
      </c>
      <c r="E22" s="18">
        <v>100</v>
      </c>
      <c r="F22" s="19" t="s">
        <v>18</v>
      </c>
      <c r="G22" s="19" t="s">
        <v>18</v>
      </c>
      <c r="H22" s="19">
        <f>29000*117/100</f>
        <v>33930</v>
      </c>
      <c r="I22" s="19">
        <f>29000*117/100</f>
        <v>33930</v>
      </c>
      <c r="J22" s="17" t="s">
        <v>20</v>
      </c>
      <c r="K22" s="309" t="s">
        <v>46</v>
      </c>
      <c r="L22" s="319"/>
      <c r="M22" s="312">
        <v>2830092763</v>
      </c>
    </row>
    <row r="23" spans="1:13" ht="13.9" customHeight="1" x14ac:dyDescent="0.2">
      <c r="A23" s="306"/>
      <c r="B23" s="308"/>
      <c r="C23" s="308"/>
      <c r="D23" s="7" t="s">
        <v>672</v>
      </c>
      <c r="E23" s="20">
        <v>90</v>
      </c>
      <c r="F23" s="21" t="s">
        <v>18</v>
      </c>
      <c r="G23" s="21" t="s">
        <v>18</v>
      </c>
      <c r="H23" s="21">
        <f>35000*117/100</f>
        <v>40950</v>
      </c>
      <c r="I23" s="21">
        <f>35000*117/100</f>
        <v>40950</v>
      </c>
      <c r="J23" s="7" t="s">
        <v>20</v>
      </c>
      <c r="K23" s="310"/>
      <c r="L23" s="320"/>
      <c r="M23" s="313"/>
    </row>
    <row r="24" spans="1:13" ht="25.5" x14ac:dyDescent="0.2">
      <c r="A24" s="306"/>
      <c r="B24" s="308"/>
      <c r="C24" s="308"/>
      <c r="D24" s="7" t="s">
        <v>673</v>
      </c>
      <c r="E24" s="20">
        <v>80</v>
      </c>
      <c r="F24" s="21" t="s">
        <v>18</v>
      </c>
      <c r="G24" s="21" t="s">
        <v>18</v>
      </c>
      <c r="H24" s="21">
        <f>48000*117/100</f>
        <v>56160</v>
      </c>
      <c r="I24" s="21">
        <f>48000*117/100</f>
        <v>56160</v>
      </c>
      <c r="J24" s="7" t="s">
        <v>20</v>
      </c>
      <c r="K24" s="310"/>
      <c r="L24" s="320"/>
      <c r="M24" s="313"/>
    </row>
    <row r="25" spans="1:13" ht="13.9" customHeight="1" x14ac:dyDescent="0.2">
      <c r="A25" s="306"/>
      <c r="B25" s="328"/>
      <c r="C25" s="328"/>
      <c r="D25" s="7" t="s">
        <v>490</v>
      </c>
      <c r="E25" s="20">
        <v>70</v>
      </c>
      <c r="F25" s="21" t="s">
        <v>18</v>
      </c>
      <c r="G25" s="21" t="s">
        <v>18</v>
      </c>
      <c r="H25" s="21">
        <f>55000*117/100</f>
        <v>64350</v>
      </c>
      <c r="I25" s="21">
        <f>55000*117/100</f>
        <v>64350</v>
      </c>
      <c r="J25" s="7" t="s">
        <v>20</v>
      </c>
      <c r="K25" s="323"/>
      <c r="L25" s="332"/>
      <c r="M25" s="327"/>
    </row>
    <row r="26" spans="1:13" ht="13.9" customHeight="1" x14ac:dyDescent="0.2">
      <c r="A26" s="302"/>
      <c r="B26" s="303" t="s">
        <v>735</v>
      </c>
      <c r="C26" s="304"/>
      <c r="D26" s="304"/>
      <c r="E26" s="304"/>
      <c r="F26" s="304"/>
      <c r="G26" s="304"/>
      <c r="H26" s="304"/>
      <c r="I26" s="304"/>
      <c r="J26" s="304"/>
      <c r="K26" s="304"/>
      <c r="L26" s="304"/>
      <c r="M26" s="305"/>
    </row>
    <row r="27" spans="1:13" ht="15.75" x14ac:dyDescent="0.2">
      <c r="A27" s="298" t="s">
        <v>657</v>
      </c>
      <c r="B27" s="299"/>
      <c r="C27" s="299"/>
      <c r="D27" s="299"/>
      <c r="E27" s="299"/>
      <c r="F27" s="299"/>
      <c r="G27" s="299"/>
      <c r="H27" s="299"/>
      <c r="I27" s="299"/>
      <c r="J27" s="299"/>
      <c r="K27" s="299"/>
      <c r="L27" s="299"/>
      <c r="M27" s="300"/>
    </row>
    <row r="28" spans="1:13" ht="51" x14ac:dyDescent="0.2">
      <c r="A28" s="301">
        <v>4</v>
      </c>
      <c r="B28" s="116" t="s">
        <v>674</v>
      </c>
      <c r="C28" s="116" t="s">
        <v>636</v>
      </c>
      <c r="D28" s="17" t="s">
        <v>675</v>
      </c>
      <c r="E28" s="18">
        <v>100</v>
      </c>
      <c r="F28" s="19" t="s">
        <v>18</v>
      </c>
      <c r="G28" s="19" t="s">
        <v>18</v>
      </c>
      <c r="H28" s="19">
        <f>52000*117/100</f>
        <v>60840</v>
      </c>
      <c r="I28" s="19">
        <f>52000*117/100</f>
        <v>60840</v>
      </c>
      <c r="J28" s="17" t="s">
        <v>20</v>
      </c>
      <c r="K28" s="117" t="s">
        <v>583</v>
      </c>
      <c r="L28" s="118"/>
      <c r="M28" s="119">
        <v>2530092769</v>
      </c>
    </row>
    <row r="29" spans="1:13" ht="13.9" customHeight="1" x14ac:dyDescent="0.2">
      <c r="A29" s="302"/>
      <c r="B29" s="303" t="s">
        <v>698</v>
      </c>
      <c r="C29" s="304"/>
      <c r="D29" s="304"/>
      <c r="E29" s="304"/>
      <c r="F29" s="304"/>
      <c r="G29" s="304"/>
      <c r="H29" s="304"/>
      <c r="I29" s="304"/>
      <c r="J29" s="304"/>
      <c r="K29" s="304"/>
      <c r="L29" s="304"/>
      <c r="M29" s="305"/>
    </row>
    <row r="30" spans="1:13" ht="15.75" x14ac:dyDescent="0.2">
      <c r="A30" s="298" t="s">
        <v>658</v>
      </c>
      <c r="B30" s="299"/>
      <c r="C30" s="299"/>
      <c r="D30" s="299"/>
      <c r="E30" s="299"/>
      <c r="F30" s="299"/>
      <c r="G30" s="299"/>
      <c r="H30" s="299"/>
      <c r="I30" s="299"/>
      <c r="J30" s="299"/>
      <c r="K30" s="299"/>
      <c r="L30" s="299"/>
      <c r="M30" s="300"/>
    </row>
    <row r="31" spans="1:13" ht="51" x14ac:dyDescent="0.2">
      <c r="A31" s="301">
        <v>5</v>
      </c>
      <c r="B31" s="307" t="s">
        <v>676</v>
      </c>
      <c r="C31" s="307" t="s">
        <v>506</v>
      </c>
      <c r="D31" s="17" t="s">
        <v>678</v>
      </c>
      <c r="E31" s="18">
        <v>100</v>
      </c>
      <c r="F31" s="19" t="s">
        <v>18</v>
      </c>
      <c r="G31" s="19" t="s">
        <v>18</v>
      </c>
      <c r="H31" s="19">
        <f>266000*117/100</f>
        <v>311220</v>
      </c>
      <c r="I31" s="19">
        <f>266000*117/100</f>
        <v>311220</v>
      </c>
      <c r="J31" s="17" t="s">
        <v>20</v>
      </c>
      <c r="K31" s="309" t="s">
        <v>46</v>
      </c>
      <c r="L31" s="319"/>
      <c r="M31" s="312" t="s">
        <v>681</v>
      </c>
    </row>
    <row r="32" spans="1:13" ht="63.75" x14ac:dyDescent="0.2">
      <c r="A32" s="306"/>
      <c r="B32" s="308"/>
      <c r="C32" s="308"/>
      <c r="D32" s="7" t="s">
        <v>680</v>
      </c>
      <c r="E32" s="20">
        <v>84</v>
      </c>
      <c r="F32" s="21" t="s">
        <v>18</v>
      </c>
      <c r="G32" s="21" t="s">
        <v>18</v>
      </c>
      <c r="H32" s="21">
        <f>315000*117/100</f>
        <v>368550</v>
      </c>
      <c r="I32" s="21">
        <f>315000*117/100</f>
        <v>368550</v>
      </c>
      <c r="J32" s="7" t="s">
        <v>20</v>
      </c>
      <c r="K32" s="310"/>
      <c r="L32" s="320"/>
      <c r="M32" s="313"/>
    </row>
    <row r="33" spans="1:13" ht="76.5" x14ac:dyDescent="0.2">
      <c r="A33" s="306"/>
      <c r="B33" s="328"/>
      <c r="C33" s="328"/>
      <c r="D33" s="7" t="s">
        <v>679</v>
      </c>
      <c r="E33" s="20">
        <v>80</v>
      </c>
      <c r="F33" s="21" t="s">
        <v>18</v>
      </c>
      <c r="G33" s="21" t="s">
        <v>18</v>
      </c>
      <c r="H33" s="21">
        <f>336000*117/100</f>
        <v>393120</v>
      </c>
      <c r="I33" s="21">
        <f>336000*117/100</f>
        <v>393120</v>
      </c>
      <c r="J33" s="7" t="s">
        <v>20</v>
      </c>
      <c r="K33" s="323"/>
      <c r="L33" s="332"/>
      <c r="M33" s="327"/>
    </row>
    <row r="34" spans="1:13" ht="13.9" customHeight="1" x14ac:dyDescent="0.2">
      <c r="A34" s="302"/>
      <c r="B34" s="303" t="s">
        <v>677</v>
      </c>
      <c r="C34" s="304"/>
      <c r="D34" s="304"/>
      <c r="E34" s="304"/>
      <c r="F34" s="304"/>
      <c r="G34" s="304"/>
      <c r="H34" s="304"/>
      <c r="I34" s="304"/>
      <c r="J34" s="304"/>
      <c r="K34" s="304"/>
      <c r="L34" s="304"/>
      <c r="M34" s="305"/>
    </row>
    <row r="35" spans="1:13" ht="15.75" x14ac:dyDescent="0.2">
      <c r="A35" s="298" t="s">
        <v>659</v>
      </c>
      <c r="B35" s="299"/>
      <c r="C35" s="299"/>
      <c r="D35" s="299"/>
      <c r="E35" s="299"/>
      <c r="F35" s="299"/>
      <c r="G35" s="299"/>
      <c r="H35" s="299"/>
      <c r="I35" s="299"/>
      <c r="J35" s="299"/>
      <c r="K35" s="299"/>
      <c r="L35" s="299"/>
      <c r="M35" s="300"/>
    </row>
    <row r="36" spans="1:13" ht="38.25" x14ac:dyDescent="0.2">
      <c r="A36" s="301">
        <v>6</v>
      </c>
      <c r="B36" s="116" t="s">
        <v>682</v>
      </c>
      <c r="C36" s="116" t="s">
        <v>506</v>
      </c>
      <c r="D36" s="17" t="s">
        <v>683</v>
      </c>
      <c r="E36" s="18">
        <v>100</v>
      </c>
      <c r="F36" s="19" t="s">
        <v>29</v>
      </c>
      <c r="G36" s="19" t="s">
        <v>684</v>
      </c>
      <c r="H36" s="19">
        <f>198*117/100</f>
        <v>231.66</v>
      </c>
      <c r="I36" s="19">
        <f>198*35*4*117/100</f>
        <v>32432.400000000001</v>
      </c>
      <c r="J36" s="17" t="s">
        <v>20</v>
      </c>
      <c r="K36" s="117" t="s">
        <v>583</v>
      </c>
      <c r="L36" s="118"/>
      <c r="M36" s="119" t="s">
        <v>132</v>
      </c>
    </row>
    <row r="37" spans="1:13" ht="14.25" x14ac:dyDescent="0.2">
      <c r="A37" s="302"/>
      <c r="B37" s="303" t="s">
        <v>701</v>
      </c>
      <c r="C37" s="304"/>
      <c r="D37" s="304"/>
      <c r="E37" s="304"/>
      <c r="F37" s="304"/>
      <c r="G37" s="304"/>
      <c r="H37" s="304"/>
      <c r="I37" s="304"/>
      <c r="J37" s="304"/>
      <c r="K37" s="304"/>
      <c r="L37" s="304"/>
      <c r="M37" s="305"/>
    </row>
    <row r="38" spans="1:13" ht="15.75" x14ac:dyDescent="0.2">
      <c r="A38" s="298" t="s">
        <v>660</v>
      </c>
      <c r="B38" s="299"/>
      <c r="C38" s="299"/>
      <c r="D38" s="299"/>
      <c r="E38" s="299"/>
      <c r="F38" s="299"/>
      <c r="G38" s="299"/>
      <c r="H38" s="299"/>
      <c r="I38" s="299"/>
      <c r="J38" s="299"/>
      <c r="K38" s="299"/>
      <c r="L38" s="299"/>
      <c r="M38" s="300"/>
    </row>
    <row r="39" spans="1:13" ht="38.25" x14ac:dyDescent="0.2">
      <c r="A39" s="301">
        <v>7</v>
      </c>
      <c r="B39" s="116" t="s">
        <v>699</v>
      </c>
      <c r="C39" s="116" t="s">
        <v>506</v>
      </c>
      <c r="D39" s="49" t="s">
        <v>695</v>
      </c>
      <c r="E39" s="50">
        <v>100</v>
      </c>
      <c r="F39" s="51" t="s">
        <v>18</v>
      </c>
      <c r="G39" s="51" t="s">
        <v>18</v>
      </c>
      <c r="H39" s="51">
        <f>25600*117/100</f>
        <v>29952</v>
      </c>
      <c r="I39" s="51">
        <f>25600*117/100</f>
        <v>29952</v>
      </c>
      <c r="J39" s="49" t="s">
        <v>20</v>
      </c>
      <c r="K39" s="117" t="s">
        <v>583</v>
      </c>
      <c r="L39" s="118"/>
      <c r="M39" s="119" t="s">
        <v>452</v>
      </c>
    </row>
    <row r="40" spans="1:13" ht="31.15" customHeight="1" x14ac:dyDescent="0.2">
      <c r="A40" s="302"/>
      <c r="B40" s="303" t="s">
        <v>700</v>
      </c>
      <c r="C40" s="304"/>
      <c r="D40" s="304"/>
      <c r="E40" s="304"/>
      <c r="F40" s="304"/>
      <c r="G40" s="304"/>
      <c r="H40" s="304"/>
      <c r="I40" s="304"/>
      <c r="J40" s="304"/>
      <c r="K40" s="304"/>
      <c r="L40" s="304"/>
      <c r="M40" s="305"/>
    </row>
    <row r="41" spans="1:13" ht="15.75" x14ac:dyDescent="0.2">
      <c r="A41" s="298" t="s">
        <v>661</v>
      </c>
      <c r="B41" s="299"/>
      <c r="C41" s="299"/>
      <c r="D41" s="299"/>
      <c r="E41" s="299"/>
      <c r="F41" s="299"/>
      <c r="G41" s="299"/>
      <c r="H41" s="299"/>
      <c r="I41" s="299"/>
      <c r="J41" s="299"/>
      <c r="K41" s="299"/>
      <c r="L41" s="299"/>
      <c r="M41" s="300"/>
    </row>
    <row r="42" spans="1:13" ht="78.75" x14ac:dyDescent="0.2">
      <c r="A42" s="301">
        <v>8</v>
      </c>
      <c r="B42" s="116" t="s">
        <v>363</v>
      </c>
      <c r="C42" s="116" t="s">
        <v>361</v>
      </c>
      <c r="D42" s="49" t="s">
        <v>365</v>
      </c>
      <c r="E42" s="50">
        <v>100</v>
      </c>
      <c r="F42" s="51" t="s">
        <v>29</v>
      </c>
      <c r="G42" s="51" t="s">
        <v>366</v>
      </c>
      <c r="H42" s="51">
        <f>315*117/100</f>
        <v>368.55</v>
      </c>
      <c r="I42" s="51">
        <f>H42*416</f>
        <v>153316.80000000002</v>
      </c>
      <c r="J42" s="49" t="s">
        <v>20</v>
      </c>
      <c r="K42" s="117" t="s">
        <v>736</v>
      </c>
      <c r="L42" s="118"/>
      <c r="M42" s="119">
        <v>2550022758</v>
      </c>
    </row>
    <row r="43" spans="1:13" ht="39" customHeight="1" x14ac:dyDescent="0.2">
      <c r="A43" s="302"/>
      <c r="B43" s="303" t="s">
        <v>685</v>
      </c>
      <c r="C43" s="304"/>
      <c r="D43" s="304"/>
      <c r="E43" s="304"/>
      <c r="F43" s="304"/>
      <c r="G43" s="304"/>
      <c r="H43" s="304"/>
      <c r="I43" s="304"/>
      <c r="J43" s="304"/>
      <c r="K43" s="304"/>
      <c r="L43" s="304"/>
      <c r="M43" s="305"/>
    </row>
    <row r="44" spans="1:13" ht="15.75" x14ac:dyDescent="0.2">
      <c r="A44" s="298" t="s">
        <v>740</v>
      </c>
      <c r="B44" s="299"/>
      <c r="C44" s="299"/>
      <c r="D44" s="299"/>
      <c r="E44" s="299"/>
      <c r="F44" s="299"/>
      <c r="G44" s="299"/>
      <c r="H44" s="299"/>
      <c r="I44" s="299"/>
      <c r="J44" s="299"/>
      <c r="K44" s="299"/>
      <c r="L44" s="299"/>
      <c r="M44" s="300"/>
    </row>
    <row r="45" spans="1:13" ht="39.6" customHeight="1" x14ac:dyDescent="0.2">
      <c r="A45" s="301">
        <v>9</v>
      </c>
      <c r="B45" s="307" t="s">
        <v>686</v>
      </c>
      <c r="C45" s="307" t="s">
        <v>276</v>
      </c>
      <c r="D45" s="17" t="s">
        <v>687</v>
      </c>
      <c r="E45" s="18">
        <v>76</v>
      </c>
      <c r="F45" s="19" t="s">
        <v>691</v>
      </c>
      <c r="G45" s="19">
        <f>50000*117/100</f>
        <v>58500</v>
      </c>
      <c r="H45" s="19">
        <f>1600*117/100</f>
        <v>1872</v>
      </c>
      <c r="I45" s="19">
        <f>50000*117/100</f>
        <v>58500</v>
      </c>
      <c r="J45" s="17" t="s">
        <v>20</v>
      </c>
      <c r="K45" s="309" t="s">
        <v>738</v>
      </c>
      <c r="L45" s="319"/>
      <c r="M45" s="312" t="s">
        <v>132</v>
      </c>
    </row>
    <row r="46" spans="1:13" ht="38.25" x14ac:dyDescent="0.2">
      <c r="A46" s="306"/>
      <c r="B46" s="308"/>
      <c r="C46" s="308"/>
      <c r="D46" s="17" t="s">
        <v>697</v>
      </c>
      <c r="E46" s="18">
        <v>72</v>
      </c>
      <c r="F46" s="19" t="s">
        <v>691</v>
      </c>
      <c r="G46" s="19">
        <f t="shared" ref="G46:I51" si="0">50000*117/100</f>
        <v>58500</v>
      </c>
      <c r="H46" s="19">
        <f>1850</f>
        <v>1850</v>
      </c>
      <c r="I46" s="19">
        <f t="shared" si="0"/>
        <v>58500</v>
      </c>
      <c r="J46" s="17" t="s">
        <v>20</v>
      </c>
      <c r="K46" s="310"/>
      <c r="L46" s="320"/>
      <c r="M46" s="313"/>
    </row>
    <row r="47" spans="1:13" ht="38.25" x14ac:dyDescent="0.2">
      <c r="A47" s="306"/>
      <c r="B47" s="308"/>
      <c r="C47" s="308"/>
      <c r="D47" s="17" t="s">
        <v>670</v>
      </c>
      <c r="E47" s="18">
        <v>68</v>
      </c>
      <c r="F47" s="19" t="s">
        <v>691</v>
      </c>
      <c r="G47" s="19">
        <f t="shared" si="0"/>
        <v>58500</v>
      </c>
      <c r="H47" s="19">
        <f>1880*117/100</f>
        <v>2199.6</v>
      </c>
      <c r="I47" s="19">
        <f t="shared" si="0"/>
        <v>58500</v>
      </c>
      <c r="J47" s="17" t="s">
        <v>20</v>
      </c>
      <c r="K47" s="310"/>
      <c r="L47" s="320"/>
      <c r="M47" s="313"/>
    </row>
    <row r="48" spans="1:13" ht="51" x14ac:dyDescent="0.2">
      <c r="A48" s="306"/>
      <c r="B48" s="308"/>
      <c r="C48" s="308"/>
      <c r="D48" s="7" t="s">
        <v>696</v>
      </c>
      <c r="E48" s="20">
        <v>48</v>
      </c>
      <c r="F48" s="21" t="s">
        <v>691</v>
      </c>
      <c r="G48" s="21">
        <f t="shared" si="0"/>
        <v>58500</v>
      </c>
      <c r="H48" s="21">
        <f>1950*117/100</f>
        <v>2281.5</v>
      </c>
      <c r="I48" s="21">
        <f t="shared" si="0"/>
        <v>58500</v>
      </c>
      <c r="J48" s="7" t="s">
        <v>20</v>
      </c>
      <c r="K48" s="310"/>
      <c r="L48" s="320"/>
      <c r="M48" s="313"/>
    </row>
    <row r="49" spans="1:13" ht="38.25" x14ac:dyDescent="0.2">
      <c r="A49" s="306"/>
      <c r="B49" s="308"/>
      <c r="C49" s="308"/>
      <c r="D49" s="17" t="s">
        <v>688</v>
      </c>
      <c r="E49" s="18">
        <v>60</v>
      </c>
      <c r="F49" s="19" t="s">
        <v>691</v>
      </c>
      <c r="G49" s="19">
        <f t="shared" si="0"/>
        <v>58500</v>
      </c>
      <c r="H49" s="19">
        <f>2000*117/100</f>
        <v>2340</v>
      </c>
      <c r="I49" s="19">
        <f t="shared" si="0"/>
        <v>58500</v>
      </c>
      <c r="J49" s="17" t="s">
        <v>20</v>
      </c>
      <c r="K49" s="310"/>
      <c r="L49" s="320"/>
      <c r="M49" s="313"/>
    </row>
    <row r="50" spans="1:13" ht="38.25" x14ac:dyDescent="0.2">
      <c r="A50" s="306"/>
      <c r="B50" s="308"/>
      <c r="C50" s="308"/>
      <c r="D50" s="17" t="s">
        <v>689</v>
      </c>
      <c r="E50" s="18">
        <v>50</v>
      </c>
      <c r="F50" s="19" t="s">
        <v>691</v>
      </c>
      <c r="G50" s="19">
        <f t="shared" si="0"/>
        <v>58500</v>
      </c>
      <c r="H50" s="19">
        <f>2300*117/100</f>
        <v>2691</v>
      </c>
      <c r="I50" s="19">
        <f t="shared" si="0"/>
        <v>58500</v>
      </c>
      <c r="J50" s="17" t="s">
        <v>20</v>
      </c>
      <c r="K50" s="310"/>
      <c r="L50" s="320"/>
      <c r="M50" s="313"/>
    </row>
    <row r="51" spans="1:13" ht="38.25" x14ac:dyDescent="0.2">
      <c r="A51" s="306"/>
      <c r="B51" s="328"/>
      <c r="C51" s="328"/>
      <c r="D51" s="7" t="s">
        <v>690</v>
      </c>
      <c r="E51" s="20">
        <v>40</v>
      </c>
      <c r="F51" s="21" t="s">
        <v>691</v>
      </c>
      <c r="G51" s="21">
        <f t="shared" si="0"/>
        <v>58500</v>
      </c>
      <c r="H51" s="21">
        <f>3200*117/100</f>
        <v>3744</v>
      </c>
      <c r="I51" s="21">
        <f t="shared" si="0"/>
        <v>58500</v>
      </c>
      <c r="J51" s="7"/>
      <c r="K51" s="323"/>
      <c r="L51" s="332"/>
      <c r="M51" s="327"/>
    </row>
    <row r="52" spans="1:13" ht="13.9" customHeight="1" x14ac:dyDescent="0.2">
      <c r="A52" s="302"/>
      <c r="B52" s="303" t="s">
        <v>737</v>
      </c>
      <c r="C52" s="304"/>
      <c r="D52" s="304"/>
      <c r="E52" s="304"/>
      <c r="F52" s="304"/>
      <c r="G52" s="304"/>
      <c r="H52" s="304"/>
      <c r="I52" s="304"/>
      <c r="J52" s="304"/>
      <c r="K52" s="304"/>
      <c r="L52" s="304"/>
      <c r="M52" s="305"/>
    </row>
    <row r="53" spans="1:13" ht="15.75" x14ac:dyDescent="0.2">
      <c r="A53" s="298" t="s">
        <v>662</v>
      </c>
      <c r="B53" s="299"/>
      <c r="C53" s="299"/>
      <c r="D53" s="299"/>
      <c r="E53" s="299"/>
      <c r="F53" s="299"/>
      <c r="G53" s="299"/>
      <c r="H53" s="299"/>
      <c r="I53" s="299"/>
      <c r="J53" s="299"/>
      <c r="K53" s="299"/>
      <c r="L53" s="299"/>
      <c r="M53" s="300"/>
    </row>
    <row r="54" spans="1:13" ht="13.9" customHeight="1" x14ac:dyDescent="0.2">
      <c r="A54" s="301">
        <v>10</v>
      </c>
      <c r="B54" s="307" t="s">
        <v>692</v>
      </c>
      <c r="C54" s="307" t="s">
        <v>693</v>
      </c>
      <c r="D54" s="17" t="s">
        <v>733</v>
      </c>
      <c r="E54" s="18">
        <v>100</v>
      </c>
      <c r="F54" s="19" t="s">
        <v>29</v>
      </c>
      <c r="G54" s="19" t="s">
        <v>379</v>
      </c>
      <c r="H54" s="19">
        <f>210*117/100</f>
        <v>245.7</v>
      </c>
      <c r="I54" s="19">
        <f>200*H54</f>
        <v>49140</v>
      </c>
      <c r="J54" s="17" t="s">
        <v>20</v>
      </c>
      <c r="K54" s="309" t="s">
        <v>46</v>
      </c>
      <c r="L54" s="319"/>
      <c r="M54" s="312"/>
    </row>
    <row r="55" spans="1:13" ht="13.9" customHeight="1" x14ac:dyDescent="0.2">
      <c r="A55" s="306"/>
      <c r="B55" s="308"/>
      <c r="C55" s="308"/>
      <c r="D55" s="7" t="s">
        <v>40</v>
      </c>
      <c r="E55" s="20">
        <v>94</v>
      </c>
      <c r="F55" s="21" t="s">
        <v>29</v>
      </c>
      <c r="G55" s="21" t="s">
        <v>379</v>
      </c>
      <c r="H55" s="21">
        <f>210*117/100</f>
        <v>245.7</v>
      </c>
      <c r="I55" s="21">
        <f t="shared" ref="I55:I57" si="1">200*H55</f>
        <v>49140</v>
      </c>
      <c r="J55" s="7" t="s">
        <v>20</v>
      </c>
      <c r="K55" s="310"/>
      <c r="L55" s="320"/>
      <c r="M55" s="313"/>
    </row>
    <row r="56" spans="1:13" ht="25.5" x14ac:dyDescent="0.2">
      <c r="A56" s="306"/>
      <c r="B56" s="308"/>
      <c r="C56" s="308"/>
      <c r="D56" s="7" t="s">
        <v>694</v>
      </c>
      <c r="E56" s="20">
        <v>84</v>
      </c>
      <c r="F56" s="21" t="s">
        <v>29</v>
      </c>
      <c r="G56" s="21" t="s">
        <v>379</v>
      </c>
      <c r="H56" s="21">
        <f>220*117/100</f>
        <v>257.39999999999998</v>
      </c>
      <c r="I56" s="21">
        <f t="shared" si="1"/>
        <v>51479.999999999993</v>
      </c>
      <c r="J56" s="7" t="s">
        <v>20</v>
      </c>
      <c r="K56" s="310"/>
      <c r="L56" s="320"/>
      <c r="M56" s="313"/>
    </row>
    <row r="57" spans="1:13" ht="25.5" x14ac:dyDescent="0.2">
      <c r="A57" s="306"/>
      <c r="B57" s="328"/>
      <c r="C57" s="328"/>
      <c r="D57" s="7" t="s">
        <v>42</v>
      </c>
      <c r="E57" s="20">
        <v>74</v>
      </c>
      <c r="F57" s="21" t="s">
        <v>29</v>
      </c>
      <c r="G57" s="21" t="s">
        <v>379</v>
      </c>
      <c r="H57" s="21">
        <f>228*117/100</f>
        <v>266.76</v>
      </c>
      <c r="I57" s="21">
        <f t="shared" si="1"/>
        <v>53352</v>
      </c>
      <c r="J57" s="7" t="s">
        <v>20</v>
      </c>
      <c r="K57" s="323"/>
      <c r="L57" s="332"/>
      <c r="M57" s="327"/>
    </row>
    <row r="58" spans="1:13" ht="13.9" customHeight="1" x14ac:dyDescent="0.2">
      <c r="A58" s="302"/>
      <c r="B58" s="303"/>
      <c r="C58" s="304"/>
      <c r="D58" s="304"/>
      <c r="E58" s="304"/>
      <c r="F58" s="304"/>
      <c r="G58" s="304"/>
      <c r="H58" s="304"/>
      <c r="I58" s="304"/>
      <c r="J58" s="304"/>
      <c r="K58" s="304"/>
      <c r="L58" s="304"/>
      <c r="M58" s="305"/>
    </row>
    <row r="59" spans="1:13" ht="15.75" x14ac:dyDescent="0.2">
      <c r="A59" s="298" t="s">
        <v>663</v>
      </c>
      <c r="B59" s="299"/>
      <c r="C59" s="299"/>
      <c r="D59" s="299"/>
      <c r="E59" s="299"/>
      <c r="F59" s="299"/>
      <c r="G59" s="299"/>
      <c r="H59" s="299"/>
      <c r="I59" s="299"/>
      <c r="J59" s="299"/>
      <c r="K59" s="299"/>
      <c r="L59" s="299"/>
      <c r="M59" s="300"/>
    </row>
    <row r="60" spans="1:13" ht="51" x14ac:dyDescent="0.2">
      <c r="A60" s="301">
        <v>11</v>
      </c>
      <c r="B60" s="307" t="s">
        <v>742</v>
      </c>
      <c r="C60" s="307" t="s">
        <v>708</v>
      </c>
      <c r="D60" s="17" t="s">
        <v>709</v>
      </c>
      <c r="E60" s="18">
        <v>100</v>
      </c>
      <c r="F60" s="19" t="s">
        <v>715</v>
      </c>
      <c r="G60" s="19" t="s">
        <v>716</v>
      </c>
      <c r="H60" s="18" t="s">
        <v>713</v>
      </c>
      <c r="I60" s="19">
        <f>1/100*20000000</f>
        <v>200000</v>
      </c>
      <c r="J60" s="17" t="s">
        <v>20</v>
      </c>
      <c r="K60" s="309" t="s">
        <v>46</v>
      </c>
      <c r="L60" s="319"/>
      <c r="M60" s="312" t="s">
        <v>717</v>
      </c>
    </row>
    <row r="61" spans="1:13" ht="51" x14ac:dyDescent="0.2">
      <c r="A61" s="306"/>
      <c r="B61" s="308"/>
      <c r="C61" s="308"/>
      <c r="D61" s="7" t="s">
        <v>710</v>
      </c>
      <c r="E61" s="20">
        <v>90</v>
      </c>
      <c r="F61" s="21" t="s">
        <v>715</v>
      </c>
      <c r="G61" s="21" t="s">
        <v>716</v>
      </c>
      <c r="H61" s="20" t="s">
        <v>714</v>
      </c>
      <c r="I61" s="21">
        <f>1.5/100*20000000</f>
        <v>300000</v>
      </c>
      <c r="J61" s="7" t="s">
        <v>20</v>
      </c>
      <c r="K61" s="310"/>
      <c r="L61" s="320"/>
      <c r="M61" s="313"/>
    </row>
    <row r="62" spans="1:13" ht="25.5" x14ac:dyDescent="0.2">
      <c r="A62" s="306"/>
      <c r="B62" s="308"/>
      <c r="C62" s="308"/>
      <c r="D62" s="7" t="s">
        <v>711</v>
      </c>
      <c r="E62" s="20">
        <v>80</v>
      </c>
      <c r="F62" s="21" t="s">
        <v>715</v>
      </c>
      <c r="G62" s="21" t="s">
        <v>716</v>
      </c>
      <c r="H62" s="120">
        <v>0.03</v>
      </c>
      <c r="I62" s="21">
        <f>3/100*20000000</f>
        <v>600000</v>
      </c>
      <c r="J62" s="7" t="s">
        <v>20</v>
      </c>
      <c r="K62" s="310"/>
      <c r="L62" s="320"/>
      <c r="M62" s="313"/>
    </row>
    <row r="63" spans="1:13" ht="25.5" x14ac:dyDescent="0.2">
      <c r="A63" s="306"/>
      <c r="B63" s="328"/>
      <c r="C63" s="328"/>
      <c r="D63" s="7" t="s">
        <v>712</v>
      </c>
      <c r="E63" s="20">
        <v>70</v>
      </c>
      <c r="F63" s="21" t="s">
        <v>715</v>
      </c>
      <c r="G63" s="21" t="s">
        <v>716</v>
      </c>
      <c r="H63" s="120">
        <v>0.04</v>
      </c>
      <c r="I63" s="21">
        <f>4/100*20000000</f>
        <v>800000</v>
      </c>
      <c r="J63" s="7" t="s">
        <v>20</v>
      </c>
      <c r="K63" s="323"/>
      <c r="L63" s="332"/>
      <c r="M63" s="327"/>
    </row>
    <row r="64" spans="1:13" ht="13.9" customHeight="1" x14ac:dyDescent="0.2">
      <c r="A64" s="302"/>
      <c r="B64" s="303"/>
      <c r="C64" s="304"/>
      <c r="D64" s="304"/>
      <c r="E64" s="304"/>
      <c r="F64" s="304"/>
      <c r="G64" s="304"/>
      <c r="H64" s="304"/>
      <c r="I64" s="304"/>
      <c r="J64" s="304"/>
      <c r="K64" s="304"/>
      <c r="L64" s="304"/>
      <c r="M64" s="305"/>
    </row>
    <row r="65" spans="1:13" ht="15.75" x14ac:dyDescent="0.2">
      <c r="A65" s="298" t="s">
        <v>741</v>
      </c>
      <c r="B65" s="299"/>
      <c r="C65" s="299"/>
      <c r="D65" s="299"/>
      <c r="E65" s="299"/>
      <c r="F65" s="299"/>
      <c r="G65" s="299"/>
      <c r="H65" s="299"/>
      <c r="I65" s="299"/>
      <c r="J65" s="299"/>
      <c r="K65" s="299"/>
      <c r="L65" s="299"/>
      <c r="M65" s="300"/>
    </row>
    <row r="66" spans="1:13" ht="13.9" customHeight="1" x14ac:dyDescent="0.2">
      <c r="A66" s="301">
        <v>12</v>
      </c>
      <c r="B66" s="307" t="s">
        <v>706</v>
      </c>
      <c r="C66" s="307" t="s">
        <v>210</v>
      </c>
      <c r="D66" s="7" t="s">
        <v>707</v>
      </c>
      <c r="E66" s="20">
        <v>88</v>
      </c>
      <c r="F66" s="21" t="s">
        <v>18</v>
      </c>
      <c r="G66" s="21" t="s">
        <v>18</v>
      </c>
      <c r="H66" s="21">
        <f>37300*117/100</f>
        <v>43641</v>
      </c>
      <c r="I66" s="21">
        <f>37300*117/100</f>
        <v>43641</v>
      </c>
      <c r="J66" s="7" t="s">
        <v>20</v>
      </c>
      <c r="K66" s="309" t="s">
        <v>46</v>
      </c>
      <c r="L66" s="319"/>
      <c r="M66" s="312" t="s">
        <v>725</v>
      </c>
    </row>
    <row r="67" spans="1:13" ht="25.5" x14ac:dyDescent="0.2">
      <c r="A67" s="306"/>
      <c r="B67" s="308"/>
      <c r="C67" s="308"/>
      <c r="D67" s="7" t="s">
        <v>718</v>
      </c>
      <c r="E67" s="20">
        <v>78</v>
      </c>
      <c r="F67" s="21" t="s">
        <v>18</v>
      </c>
      <c r="G67" s="21" t="s">
        <v>18</v>
      </c>
      <c r="H67" s="21">
        <f>40000*117/100</f>
        <v>46800</v>
      </c>
      <c r="I67" s="21">
        <f>40000*117/100</f>
        <v>46800</v>
      </c>
      <c r="J67" s="7" t="s">
        <v>20</v>
      </c>
      <c r="K67" s="310"/>
      <c r="L67" s="320"/>
      <c r="M67" s="313"/>
    </row>
    <row r="68" spans="1:13" ht="13.9" customHeight="1" x14ac:dyDescent="0.2">
      <c r="A68" s="306"/>
      <c r="B68" s="308"/>
      <c r="C68" s="308"/>
      <c r="D68" s="17" t="s">
        <v>346</v>
      </c>
      <c r="E68" s="18">
        <v>90</v>
      </c>
      <c r="F68" s="19" t="s">
        <v>18</v>
      </c>
      <c r="G68" s="19" t="s">
        <v>18</v>
      </c>
      <c r="H68" s="19">
        <f>40000*117/100</f>
        <v>46800</v>
      </c>
      <c r="I68" s="19">
        <f>40000*117/100</f>
        <v>46800</v>
      </c>
      <c r="J68" s="17" t="s">
        <v>20</v>
      </c>
      <c r="K68" s="310"/>
      <c r="L68" s="320"/>
      <c r="M68" s="313"/>
    </row>
    <row r="69" spans="1:13" ht="13.9" customHeight="1" x14ac:dyDescent="0.2">
      <c r="A69" s="306"/>
      <c r="B69" s="328"/>
      <c r="C69" s="328"/>
      <c r="D69" s="7" t="s">
        <v>719</v>
      </c>
      <c r="E69" s="20">
        <v>62</v>
      </c>
      <c r="F69" s="21" t="s">
        <v>18</v>
      </c>
      <c r="G69" s="21" t="s">
        <v>18</v>
      </c>
      <c r="H69" s="21">
        <f>40178*117/100</f>
        <v>47008.26</v>
      </c>
      <c r="I69" s="21">
        <f>40178*117/100</f>
        <v>47008.26</v>
      </c>
      <c r="J69" s="7" t="s">
        <v>20</v>
      </c>
      <c r="K69" s="323"/>
      <c r="L69" s="332"/>
      <c r="M69" s="327"/>
    </row>
    <row r="70" spans="1:13" ht="13.9" customHeight="1" x14ac:dyDescent="0.2">
      <c r="A70" s="302"/>
      <c r="B70" s="303"/>
      <c r="C70" s="304"/>
      <c r="D70" s="304"/>
      <c r="E70" s="304"/>
      <c r="F70" s="304"/>
      <c r="G70" s="304"/>
      <c r="H70" s="304"/>
      <c r="I70" s="304"/>
      <c r="J70" s="304"/>
      <c r="K70" s="304"/>
      <c r="L70" s="304"/>
      <c r="M70" s="305"/>
    </row>
    <row r="71" spans="1:13" ht="15.75" x14ac:dyDescent="0.2">
      <c r="A71" s="298" t="s">
        <v>703</v>
      </c>
      <c r="B71" s="299"/>
      <c r="C71" s="299"/>
      <c r="D71" s="299"/>
      <c r="E71" s="299"/>
      <c r="F71" s="299"/>
      <c r="G71" s="299"/>
      <c r="H71" s="299"/>
      <c r="I71" s="299"/>
      <c r="J71" s="299"/>
      <c r="K71" s="299"/>
      <c r="L71" s="299"/>
      <c r="M71" s="300"/>
    </row>
    <row r="72" spans="1:13" ht="13.9" customHeight="1" x14ac:dyDescent="0.2">
      <c r="A72" s="301">
        <v>13</v>
      </c>
      <c r="B72" s="307" t="s">
        <v>720</v>
      </c>
      <c r="C72" s="307" t="s">
        <v>210</v>
      </c>
      <c r="D72" s="7" t="s">
        <v>719</v>
      </c>
      <c r="E72" s="20">
        <v>76</v>
      </c>
      <c r="F72" s="21" t="s">
        <v>18</v>
      </c>
      <c r="G72" s="21" t="s">
        <v>18</v>
      </c>
      <c r="H72" s="21">
        <f>15665*117/100</f>
        <v>18328.05</v>
      </c>
      <c r="I72" s="21">
        <f>15665*117/100</f>
        <v>18328.05</v>
      </c>
      <c r="J72" s="7" t="s">
        <v>20</v>
      </c>
      <c r="K72" s="309" t="s">
        <v>46</v>
      </c>
      <c r="L72" s="319"/>
      <c r="M72" s="312" t="s">
        <v>726</v>
      </c>
    </row>
    <row r="73" spans="1:13" ht="25.5" x14ac:dyDescent="0.2">
      <c r="A73" s="306"/>
      <c r="B73" s="308"/>
      <c r="C73" s="308"/>
      <c r="D73" s="7" t="s">
        <v>721</v>
      </c>
      <c r="E73" s="20">
        <v>66</v>
      </c>
      <c r="F73" s="21" t="s">
        <v>18</v>
      </c>
      <c r="G73" s="21" t="s">
        <v>18</v>
      </c>
      <c r="H73" s="21">
        <f>17000*117/100</f>
        <v>19890</v>
      </c>
      <c r="I73" s="21">
        <f>17000*117/100</f>
        <v>19890</v>
      </c>
      <c r="J73" s="7" t="s">
        <v>20</v>
      </c>
      <c r="K73" s="310"/>
      <c r="L73" s="320"/>
      <c r="M73" s="313"/>
    </row>
    <row r="74" spans="1:13" ht="13.9" customHeight="1" x14ac:dyDescent="0.2">
      <c r="A74" s="306"/>
      <c r="B74" s="308"/>
      <c r="C74" s="308"/>
      <c r="D74" s="17" t="s">
        <v>707</v>
      </c>
      <c r="E74" s="18">
        <v>78</v>
      </c>
      <c r="F74" s="19" t="s">
        <v>18</v>
      </c>
      <c r="G74" s="19" t="s">
        <v>18</v>
      </c>
      <c r="H74" s="19">
        <f>17470*117/100</f>
        <v>20439.900000000001</v>
      </c>
      <c r="I74" s="19">
        <f>17470*117/100</f>
        <v>20439.900000000001</v>
      </c>
      <c r="J74" s="17" t="s">
        <v>20</v>
      </c>
      <c r="K74" s="310"/>
      <c r="L74" s="320"/>
      <c r="M74" s="313"/>
    </row>
    <row r="75" spans="1:13" ht="25.5" x14ac:dyDescent="0.2">
      <c r="A75" s="306"/>
      <c r="B75" s="328"/>
      <c r="C75" s="328"/>
      <c r="D75" s="7" t="s">
        <v>209</v>
      </c>
      <c r="E75" s="20">
        <v>70</v>
      </c>
      <c r="F75" s="21" t="s">
        <v>18</v>
      </c>
      <c r="G75" s="21" t="s">
        <v>18</v>
      </c>
      <c r="H75" s="21">
        <f>21261*117/100</f>
        <v>24875.37</v>
      </c>
      <c r="I75" s="21">
        <f>21261*117/100</f>
        <v>24875.37</v>
      </c>
      <c r="J75" s="7" t="s">
        <v>20</v>
      </c>
      <c r="K75" s="323"/>
      <c r="L75" s="332"/>
      <c r="M75" s="327"/>
    </row>
    <row r="76" spans="1:13" ht="13.9" customHeight="1" x14ac:dyDescent="0.2">
      <c r="A76" s="302"/>
      <c r="B76" s="303"/>
      <c r="C76" s="304"/>
      <c r="D76" s="304"/>
      <c r="E76" s="304"/>
      <c r="F76" s="304"/>
      <c r="G76" s="304"/>
      <c r="H76" s="304"/>
      <c r="I76" s="304"/>
      <c r="J76" s="304"/>
      <c r="K76" s="304"/>
      <c r="L76" s="304"/>
      <c r="M76" s="305"/>
    </row>
    <row r="77" spans="1:13" ht="15.75" x14ac:dyDescent="0.2">
      <c r="A77" s="298" t="s">
        <v>704</v>
      </c>
      <c r="B77" s="299"/>
      <c r="C77" s="299"/>
      <c r="D77" s="299"/>
      <c r="E77" s="299"/>
      <c r="F77" s="299"/>
      <c r="G77" s="299"/>
      <c r="H77" s="299"/>
      <c r="I77" s="299"/>
      <c r="J77" s="299"/>
      <c r="K77" s="299"/>
      <c r="L77" s="299"/>
      <c r="M77" s="300"/>
    </row>
    <row r="78" spans="1:13" ht="26.45" customHeight="1" x14ac:dyDescent="0.2">
      <c r="A78" s="301">
        <v>14</v>
      </c>
      <c r="B78" s="307" t="s">
        <v>731</v>
      </c>
      <c r="C78" s="307" t="s">
        <v>210</v>
      </c>
      <c r="D78" s="7" t="s">
        <v>722</v>
      </c>
      <c r="E78" s="20">
        <v>88</v>
      </c>
      <c r="F78" s="21" t="s">
        <v>18</v>
      </c>
      <c r="G78" s="21" t="s">
        <v>18</v>
      </c>
      <c r="H78" s="21">
        <f>95000*117/100</f>
        <v>111150</v>
      </c>
      <c r="I78" s="21">
        <f>95000*117/100</f>
        <v>111150</v>
      </c>
      <c r="J78" s="7" t="s">
        <v>20</v>
      </c>
      <c r="K78" s="309" t="s">
        <v>46</v>
      </c>
      <c r="L78" s="319"/>
      <c r="M78" s="312" t="s">
        <v>727</v>
      </c>
    </row>
    <row r="79" spans="1:13" ht="13.9" customHeight="1" x14ac:dyDescent="0.2">
      <c r="A79" s="306"/>
      <c r="B79" s="308"/>
      <c r="C79" s="308"/>
      <c r="D79" s="17" t="s">
        <v>346</v>
      </c>
      <c r="E79" s="18">
        <v>90</v>
      </c>
      <c r="F79" s="19" t="s">
        <v>18</v>
      </c>
      <c r="G79" s="19" t="s">
        <v>18</v>
      </c>
      <c r="H79" s="19">
        <f>102000*117/100</f>
        <v>119340</v>
      </c>
      <c r="I79" s="19">
        <f>102000*117/100</f>
        <v>119340</v>
      </c>
      <c r="J79" s="17" t="s">
        <v>20</v>
      </c>
      <c r="K79" s="310"/>
      <c r="L79" s="320"/>
      <c r="M79" s="313"/>
    </row>
    <row r="80" spans="1:13" ht="13.9" customHeight="1" x14ac:dyDescent="0.2">
      <c r="A80" s="306"/>
      <c r="B80" s="308"/>
      <c r="C80" s="308"/>
      <c r="D80" s="7" t="s">
        <v>732</v>
      </c>
      <c r="E80" s="20">
        <v>80</v>
      </c>
      <c r="F80" s="21" t="s">
        <v>18</v>
      </c>
      <c r="G80" s="21" t="s">
        <v>18</v>
      </c>
      <c r="H80" s="21">
        <f>110000*117/100</f>
        <v>128700</v>
      </c>
      <c r="I80" s="21">
        <f>110000*117/100</f>
        <v>128700</v>
      </c>
      <c r="J80" s="7" t="s">
        <v>20</v>
      </c>
      <c r="K80" s="310"/>
      <c r="L80" s="320"/>
      <c r="M80" s="313"/>
    </row>
    <row r="81" spans="1:13" ht="13.9" customHeight="1" x14ac:dyDescent="0.2">
      <c r="A81" s="306"/>
      <c r="B81" s="308"/>
      <c r="C81" s="308"/>
      <c r="D81" s="7" t="s">
        <v>723</v>
      </c>
      <c r="E81" s="20">
        <v>70</v>
      </c>
      <c r="F81" s="21" t="s">
        <v>18</v>
      </c>
      <c r="G81" s="21" t="s">
        <v>18</v>
      </c>
      <c r="H81" s="21">
        <f>119000*117/100</f>
        <v>139230</v>
      </c>
      <c r="I81" s="21">
        <f>119000*117/100</f>
        <v>139230</v>
      </c>
      <c r="J81" s="7" t="s">
        <v>20</v>
      </c>
      <c r="K81" s="310"/>
      <c r="L81" s="320"/>
      <c r="M81" s="313"/>
    </row>
    <row r="82" spans="1:13" ht="13.9" customHeight="1" x14ac:dyDescent="0.2">
      <c r="A82" s="306"/>
      <c r="B82" s="328"/>
      <c r="C82" s="328"/>
      <c r="D82" s="7" t="s">
        <v>724</v>
      </c>
      <c r="E82" s="20">
        <v>60</v>
      </c>
      <c r="F82" s="21" t="s">
        <v>18</v>
      </c>
      <c r="G82" s="21" t="s">
        <v>18</v>
      </c>
      <c r="H82" s="21">
        <f>285000*117/100</f>
        <v>333450</v>
      </c>
      <c r="I82" s="21">
        <f>285000*117/100</f>
        <v>333450</v>
      </c>
      <c r="J82" s="7"/>
      <c r="K82" s="323"/>
      <c r="L82" s="332"/>
      <c r="M82" s="327"/>
    </row>
    <row r="83" spans="1:13" ht="13.9" customHeight="1" x14ac:dyDescent="0.2">
      <c r="A83" s="302"/>
      <c r="B83" s="303"/>
      <c r="C83" s="304"/>
      <c r="D83" s="304"/>
      <c r="E83" s="304"/>
      <c r="F83" s="304"/>
      <c r="G83" s="304"/>
      <c r="H83" s="304"/>
      <c r="I83" s="304"/>
      <c r="J83" s="304"/>
      <c r="K83" s="304"/>
      <c r="L83" s="304"/>
      <c r="M83" s="305"/>
    </row>
    <row r="84" spans="1:13" ht="15.75" x14ac:dyDescent="0.2">
      <c r="A84" s="298" t="s">
        <v>705</v>
      </c>
      <c r="B84" s="299"/>
      <c r="C84" s="299"/>
      <c r="D84" s="299"/>
      <c r="E84" s="299"/>
      <c r="F84" s="299"/>
      <c r="G84" s="299"/>
      <c r="H84" s="299"/>
      <c r="I84" s="299"/>
      <c r="J84" s="299"/>
      <c r="K84" s="299"/>
      <c r="L84" s="299"/>
      <c r="M84" s="300"/>
    </row>
    <row r="85" spans="1:13" ht="13.9" customHeight="1" x14ac:dyDescent="0.2">
      <c r="A85" s="301">
        <v>15</v>
      </c>
      <c r="B85" s="307" t="s">
        <v>729</v>
      </c>
      <c r="C85" s="307" t="s">
        <v>210</v>
      </c>
      <c r="D85" s="7" t="s">
        <v>707</v>
      </c>
      <c r="E85" s="20">
        <v>88</v>
      </c>
      <c r="F85" s="21" t="s">
        <v>18</v>
      </c>
      <c r="G85" s="21" t="s">
        <v>18</v>
      </c>
      <c r="H85" s="21">
        <f>37950*117/100</f>
        <v>44401.5</v>
      </c>
      <c r="I85" s="21">
        <f>37950*117/100</f>
        <v>44401.5</v>
      </c>
      <c r="J85" s="7" t="s">
        <v>20</v>
      </c>
      <c r="K85" s="309" t="s">
        <v>46</v>
      </c>
      <c r="L85" s="319"/>
      <c r="M85" s="312" t="s">
        <v>730</v>
      </c>
    </row>
    <row r="86" spans="1:13" ht="25.5" x14ac:dyDescent="0.2">
      <c r="A86" s="306"/>
      <c r="B86" s="308"/>
      <c r="C86" s="308"/>
      <c r="D86" s="7" t="s">
        <v>721</v>
      </c>
      <c r="E86" s="20">
        <v>66</v>
      </c>
      <c r="F86" s="21" t="s">
        <v>18</v>
      </c>
      <c r="G86" s="21" t="s">
        <v>18</v>
      </c>
      <c r="H86" s="21">
        <f>45000*117/100</f>
        <v>52650</v>
      </c>
      <c r="I86" s="21">
        <f>45000*117/100</f>
        <v>52650</v>
      </c>
      <c r="J86" s="7" t="s">
        <v>20</v>
      </c>
      <c r="K86" s="310"/>
      <c r="L86" s="320"/>
      <c r="M86" s="313"/>
    </row>
    <row r="87" spans="1:13" ht="13.9" customHeight="1" x14ac:dyDescent="0.2">
      <c r="A87" s="306"/>
      <c r="B87" s="308"/>
      <c r="C87" s="308"/>
      <c r="D87" s="17" t="s">
        <v>346</v>
      </c>
      <c r="E87" s="18">
        <v>90</v>
      </c>
      <c r="F87" s="19" t="s">
        <v>18</v>
      </c>
      <c r="G87" s="19" t="s">
        <v>18</v>
      </c>
      <c r="H87" s="19">
        <f>45000*117/100</f>
        <v>52650</v>
      </c>
      <c r="I87" s="19">
        <f>45000*117/100</f>
        <v>52650</v>
      </c>
      <c r="J87" s="17" t="s">
        <v>20</v>
      </c>
      <c r="K87" s="310"/>
      <c r="L87" s="320"/>
      <c r="M87" s="313"/>
    </row>
    <row r="88" spans="1:13" ht="25.5" x14ac:dyDescent="0.2">
      <c r="A88" s="306"/>
      <c r="B88" s="328"/>
      <c r="C88" s="328"/>
      <c r="D88" s="7" t="s">
        <v>718</v>
      </c>
      <c r="E88" s="20">
        <v>68</v>
      </c>
      <c r="F88" s="21" t="s">
        <v>18</v>
      </c>
      <c r="G88" s="21" t="s">
        <v>18</v>
      </c>
      <c r="H88" s="21">
        <f>47000*117/100</f>
        <v>54990</v>
      </c>
      <c r="I88" s="21">
        <f>47000*117/100</f>
        <v>54990</v>
      </c>
      <c r="J88" s="7" t="s">
        <v>20</v>
      </c>
      <c r="K88" s="323"/>
      <c r="L88" s="332"/>
      <c r="M88" s="327"/>
    </row>
    <row r="89" spans="1:13" ht="13.9" customHeight="1" x14ac:dyDescent="0.2">
      <c r="A89" s="302"/>
      <c r="B89" s="303"/>
      <c r="C89" s="304"/>
      <c r="D89" s="304"/>
      <c r="E89" s="304"/>
      <c r="F89" s="304"/>
      <c r="G89" s="304"/>
      <c r="H89" s="304"/>
      <c r="I89" s="304"/>
      <c r="J89" s="304"/>
      <c r="K89" s="304"/>
      <c r="L89" s="304"/>
      <c r="M89" s="305"/>
    </row>
  </sheetData>
  <mergeCells count="105">
    <mergeCell ref="B34:M34"/>
    <mergeCell ref="M31:M33"/>
    <mergeCell ref="L31:L33"/>
    <mergeCell ref="K31:K33"/>
    <mergeCell ref="C31:C33"/>
    <mergeCell ref="B31:B33"/>
    <mergeCell ref="A31:A34"/>
    <mergeCell ref="A30:M30"/>
    <mergeCell ref="A84:M84"/>
    <mergeCell ref="A71:M71"/>
    <mergeCell ref="A72:A76"/>
    <mergeCell ref="B72:B75"/>
    <mergeCell ref="C72:C75"/>
    <mergeCell ref="K72:K75"/>
    <mergeCell ref="L72:L75"/>
    <mergeCell ref="M72:M75"/>
    <mergeCell ref="B76:M76"/>
    <mergeCell ref="A65:M65"/>
    <mergeCell ref="A66:A70"/>
    <mergeCell ref="B66:B69"/>
    <mergeCell ref="C66:C69"/>
    <mergeCell ref="K66:K69"/>
    <mergeCell ref="L66:L69"/>
    <mergeCell ref="M66:M69"/>
    <mergeCell ref="A85:A89"/>
    <mergeCell ref="B85:B88"/>
    <mergeCell ref="C85:C88"/>
    <mergeCell ref="K85:K88"/>
    <mergeCell ref="L85:L88"/>
    <mergeCell ref="M85:M88"/>
    <mergeCell ref="B89:M89"/>
    <mergeCell ref="A77:M77"/>
    <mergeCell ref="A78:A83"/>
    <mergeCell ref="B78:B82"/>
    <mergeCell ref="C78:C82"/>
    <mergeCell ref="K78:K82"/>
    <mergeCell ref="L78:L82"/>
    <mergeCell ref="M78:M82"/>
    <mergeCell ref="B83:M83"/>
    <mergeCell ref="B70:M70"/>
    <mergeCell ref="A59:M59"/>
    <mergeCell ref="A60:A64"/>
    <mergeCell ref="B60:B63"/>
    <mergeCell ref="C60:C63"/>
    <mergeCell ref="K60:K63"/>
    <mergeCell ref="L60:L63"/>
    <mergeCell ref="M60:M63"/>
    <mergeCell ref="B64:M64"/>
    <mergeCell ref="A53:M53"/>
    <mergeCell ref="A54:A58"/>
    <mergeCell ref="B54:B57"/>
    <mergeCell ref="C54:C57"/>
    <mergeCell ref="K54:K57"/>
    <mergeCell ref="L54:L57"/>
    <mergeCell ref="M54:M57"/>
    <mergeCell ref="B58:M58"/>
    <mergeCell ref="A44:M44"/>
    <mergeCell ref="A45:A52"/>
    <mergeCell ref="B45:B51"/>
    <mergeCell ref="C45:C51"/>
    <mergeCell ref="K45:K51"/>
    <mergeCell ref="L45:L51"/>
    <mergeCell ref="M45:M51"/>
    <mergeCell ref="B52:M52"/>
    <mergeCell ref="A41:M41"/>
    <mergeCell ref="A42:A43"/>
    <mergeCell ref="B43:M43"/>
    <mergeCell ref="A38:M38"/>
    <mergeCell ref="A39:A40"/>
    <mergeCell ref="B40:M40"/>
    <mergeCell ref="A35:M35"/>
    <mergeCell ref="A36:A37"/>
    <mergeCell ref="B37:M37"/>
    <mergeCell ref="A27:M27"/>
    <mergeCell ref="A28:A29"/>
    <mergeCell ref="B29:M29"/>
    <mergeCell ref="A21:M21"/>
    <mergeCell ref="A22:A26"/>
    <mergeCell ref="B22:B25"/>
    <mergeCell ref="C22:C25"/>
    <mergeCell ref="K22:K25"/>
    <mergeCell ref="L22:L25"/>
    <mergeCell ref="M22:M25"/>
    <mergeCell ref="B26:M26"/>
    <mergeCell ref="A12:M12"/>
    <mergeCell ref="A13:A20"/>
    <mergeCell ref="B13:B19"/>
    <mergeCell ref="C13:C19"/>
    <mergeCell ref="K13:K19"/>
    <mergeCell ref="L13:L19"/>
    <mergeCell ref="M13:M19"/>
    <mergeCell ref="B20:M20"/>
    <mergeCell ref="A1:A5"/>
    <mergeCell ref="B1:M1"/>
    <mergeCell ref="B2:M2"/>
    <mergeCell ref="B3:M3"/>
    <mergeCell ref="B4:M4"/>
    <mergeCell ref="A6:M6"/>
    <mergeCell ref="A7:A11"/>
    <mergeCell ref="B7:B10"/>
    <mergeCell ref="C7:C10"/>
    <mergeCell ref="K7:K10"/>
    <mergeCell ref="L7:L10"/>
    <mergeCell ref="M7:M10"/>
    <mergeCell ref="B11:M11"/>
  </mergeCells>
  <pageMargins left="0.7" right="0.7" top="0.75" bottom="0.75" header="0.3" footer="0.3"/>
  <pageSetup paperSize="9" scale="7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rightToLeft="1" zoomScale="85" zoomScaleNormal="85" workbookViewId="0">
      <pane ySplit="7" topLeftCell="A8" activePane="bottomLeft" state="frozen"/>
      <selection pane="bottomLeft" activeCell="A8" sqref="A8:M8"/>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646</v>
      </c>
      <c r="C1" s="315"/>
      <c r="D1" s="315"/>
      <c r="E1" s="315"/>
      <c r="F1" s="315"/>
      <c r="G1" s="315"/>
      <c r="H1" s="315"/>
      <c r="I1" s="315"/>
      <c r="J1" s="315"/>
      <c r="K1" s="315"/>
      <c r="L1" s="315"/>
      <c r="M1" s="315"/>
    </row>
    <row r="2" spans="1:13" ht="14.25" x14ac:dyDescent="0.2">
      <c r="A2" s="314"/>
      <c r="B2" s="346" t="s">
        <v>585</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14.25" x14ac:dyDescent="0.2">
      <c r="A5" s="314"/>
      <c r="B5" s="347" t="s">
        <v>647</v>
      </c>
      <c r="C5" s="348"/>
      <c r="D5" s="348"/>
      <c r="E5" s="348"/>
      <c r="F5" s="348"/>
      <c r="G5" s="348"/>
      <c r="H5" s="348"/>
      <c r="I5" s="348"/>
      <c r="J5" s="348"/>
      <c r="K5" s="348"/>
      <c r="L5" s="348"/>
      <c r="M5" s="349"/>
    </row>
    <row r="6" spans="1:13" ht="14.25" x14ac:dyDescent="0.2">
      <c r="A6" s="314"/>
      <c r="B6" s="318" t="s">
        <v>648</v>
      </c>
      <c r="C6" s="318"/>
      <c r="D6" s="318"/>
      <c r="E6" s="318"/>
      <c r="F6" s="318"/>
      <c r="G6" s="318"/>
      <c r="H6" s="318"/>
      <c r="I6" s="318"/>
      <c r="J6" s="318"/>
      <c r="K6" s="318"/>
      <c r="L6" s="318"/>
      <c r="M6" s="318"/>
    </row>
    <row r="7" spans="1:13" ht="47.25" x14ac:dyDescent="0.2">
      <c r="A7" s="314"/>
      <c r="B7" s="110" t="s">
        <v>2</v>
      </c>
      <c r="C7" s="2" t="s">
        <v>3</v>
      </c>
      <c r="D7" s="3" t="s">
        <v>4</v>
      </c>
      <c r="E7" s="3" t="s">
        <v>5</v>
      </c>
      <c r="F7" s="3" t="s">
        <v>6</v>
      </c>
      <c r="G7" s="3" t="s">
        <v>7</v>
      </c>
      <c r="H7" s="4" t="s">
        <v>8</v>
      </c>
      <c r="I7" s="5" t="s">
        <v>9</v>
      </c>
      <c r="J7" s="3" t="s">
        <v>10</v>
      </c>
      <c r="K7" s="3" t="s">
        <v>11</v>
      </c>
      <c r="L7" s="6" t="s">
        <v>12</v>
      </c>
      <c r="M7" s="3" t="s">
        <v>13</v>
      </c>
    </row>
    <row r="8" spans="1:13" ht="15.75" x14ac:dyDescent="0.2">
      <c r="A8" s="298" t="s">
        <v>618</v>
      </c>
      <c r="B8" s="299"/>
      <c r="C8" s="299"/>
      <c r="D8" s="299"/>
      <c r="E8" s="299"/>
      <c r="F8" s="299"/>
      <c r="G8" s="299"/>
      <c r="H8" s="299"/>
      <c r="I8" s="299"/>
      <c r="J8" s="299"/>
      <c r="K8" s="299"/>
      <c r="L8" s="299"/>
      <c r="M8" s="300"/>
    </row>
    <row r="9" spans="1:13" ht="38.25" x14ac:dyDescent="0.2">
      <c r="A9" s="301">
        <v>1</v>
      </c>
      <c r="B9" s="307" t="s">
        <v>620</v>
      </c>
      <c r="C9" s="307" t="s">
        <v>506</v>
      </c>
      <c r="D9" s="17" t="s">
        <v>95</v>
      </c>
      <c r="E9" s="18">
        <v>100</v>
      </c>
      <c r="F9" s="19" t="s">
        <v>29</v>
      </c>
      <c r="G9" s="19" t="s">
        <v>623</v>
      </c>
      <c r="H9" s="19">
        <f>150*117/100</f>
        <v>175.5</v>
      </c>
      <c r="I9" s="19">
        <f>100*12*H9</f>
        <v>210600</v>
      </c>
      <c r="J9" s="17" t="s">
        <v>20</v>
      </c>
      <c r="K9" s="309" t="s">
        <v>426</v>
      </c>
      <c r="L9" s="319"/>
      <c r="M9" s="312"/>
    </row>
    <row r="10" spans="1:13" ht="38.25" x14ac:dyDescent="0.2">
      <c r="A10" s="306"/>
      <c r="B10" s="308"/>
      <c r="C10" s="308"/>
      <c r="D10" s="7" t="s">
        <v>621</v>
      </c>
      <c r="E10" s="20">
        <v>90</v>
      </c>
      <c r="F10" s="21" t="s">
        <v>29</v>
      </c>
      <c r="G10" s="21" t="s">
        <v>623</v>
      </c>
      <c r="H10" s="21">
        <f>350*117/100</f>
        <v>409.5</v>
      </c>
      <c r="I10" s="21">
        <f t="shared" ref="I10:I11" si="0">100*12*H10</f>
        <v>491400</v>
      </c>
      <c r="J10" s="7" t="s">
        <v>624</v>
      </c>
      <c r="K10" s="310"/>
      <c r="L10" s="320"/>
      <c r="M10" s="313"/>
    </row>
    <row r="11" spans="1:13" ht="38.25" x14ac:dyDescent="0.2">
      <c r="A11" s="306"/>
      <c r="B11" s="308"/>
      <c r="C11" s="308"/>
      <c r="D11" s="7" t="s">
        <v>622</v>
      </c>
      <c r="E11" s="20">
        <v>80</v>
      </c>
      <c r="F11" s="21" t="s">
        <v>29</v>
      </c>
      <c r="G11" s="21" t="s">
        <v>623</v>
      </c>
      <c r="H11" s="21">
        <f>360*117/100</f>
        <v>421.2</v>
      </c>
      <c r="I11" s="21">
        <f t="shared" si="0"/>
        <v>505440</v>
      </c>
      <c r="J11" s="7" t="s">
        <v>624</v>
      </c>
      <c r="K11" s="310"/>
      <c r="L11" s="320"/>
      <c r="M11" s="313"/>
    </row>
    <row r="12" spans="1:13" ht="14.25" x14ac:dyDescent="0.2">
      <c r="A12" s="302"/>
      <c r="B12" s="303" t="s">
        <v>626</v>
      </c>
      <c r="C12" s="304"/>
      <c r="D12" s="304"/>
      <c r="E12" s="304"/>
      <c r="F12" s="304"/>
      <c r="G12" s="304"/>
      <c r="H12" s="304"/>
      <c r="I12" s="304"/>
      <c r="J12" s="304"/>
      <c r="K12" s="304"/>
      <c r="L12" s="304"/>
      <c r="M12" s="305"/>
    </row>
    <row r="13" spans="1:13" ht="15.75" x14ac:dyDescent="0.2">
      <c r="A13" s="298" t="s">
        <v>619</v>
      </c>
      <c r="B13" s="299"/>
      <c r="C13" s="299"/>
      <c r="D13" s="299"/>
      <c r="E13" s="299"/>
      <c r="F13" s="299"/>
      <c r="G13" s="299"/>
      <c r="H13" s="299"/>
      <c r="I13" s="299"/>
      <c r="J13" s="299"/>
      <c r="K13" s="299"/>
      <c r="L13" s="299"/>
      <c r="M13" s="300"/>
    </row>
    <row r="14" spans="1:13" ht="38.25" x14ac:dyDescent="0.2">
      <c r="A14" s="301">
        <v>2</v>
      </c>
      <c r="B14" s="111" t="s">
        <v>628</v>
      </c>
      <c r="C14" s="111" t="s">
        <v>506</v>
      </c>
      <c r="D14" s="17" t="s">
        <v>448</v>
      </c>
      <c r="E14" s="18">
        <v>100</v>
      </c>
      <c r="F14" s="19" t="s">
        <v>29</v>
      </c>
      <c r="G14" s="19" t="s">
        <v>629</v>
      </c>
      <c r="H14" s="19">
        <f>250*117/100</f>
        <v>292.5</v>
      </c>
      <c r="I14" s="19">
        <f>70*H14</f>
        <v>20475</v>
      </c>
      <c r="J14" s="17" t="s">
        <v>20</v>
      </c>
      <c r="K14" s="112" t="s">
        <v>583</v>
      </c>
      <c r="L14" s="113"/>
      <c r="M14" s="114"/>
    </row>
    <row r="15" spans="1:13" ht="36.6" customHeight="1" x14ac:dyDescent="0.2">
      <c r="A15" s="302"/>
      <c r="B15" s="303" t="s">
        <v>630</v>
      </c>
      <c r="C15" s="304"/>
      <c r="D15" s="304"/>
      <c r="E15" s="304"/>
      <c r="F15" s="304"/>
      <c r="G15" s="304"/>
      <c r="H15" s="304"/>
      <c r="I15" s="304"/>
      <c r="J15" s="304"/>
      <c r="K15" s="304"/>
      <c r="L15" s="304"/>
      <c r="M15" s="305"/>
    </row>
    <row r="16" spans="1:13" ht="15.75" x14ac:dyDescent="0.2">
      <c r="A16" s="298" t="s">
        <v>625</v>
      </c>
      <c r="B16" s="299"/>
      <c r="C16" s="299"/>
      <c r="D16" s="299"/>
      <c r="E16" s="299"/>
      <c r="F16" s="299"/>
      <c r="G16" s="299"/>
      <c r="H16" s="299"/>
      <c r="I16" s="299"/>
      <c r="J16" s="299"/>
      <c r="K16" s="299"/>
      <c r="L16" s="299"/>
      <c r="M16" s="300"/>
    </row>
    <row r="17" spans="1:13" ht="25.5" x14ac:dyDescent="0.2">
      <c r="A17" s="301">
        <v>3</v>
      </c>
      <c r="B17" s="307" t="s">
        <v>924</v>
      </c>
      <c r="C17" s="307" t="s">
        <v>636</v>
      </c>
      <c r="D17" s="7" t="s">
        <v>631</v>
      </c>
      <c r="E17" s="20">
        <v>88</v>
      </c>
      <c r="F17" s="21" t="s">
        <v>18</v>
      </c>
      <c r="G17" s="21">
        <f>113000*117/100</f>
        <v>132210</v>
      </c>
      <c r="H17" s="21">
        <f>113000*117/100</f>
        <v>132210</v>
      </c>
      <c r="I17" s="21">
        <f>113000*117/100</f>
        <v>132210</v>
      </c>
      <c r="J17" s="7"/>
      <c r="K17" s="309" t="s">
        <v>426</v>
      </c>
      <c r="L17" s="319"/>
      <c r="M17" s="312">
        <v>2530112750</v>
      </c>
    </row>
    <row r="18" spans="1:13" ht="25.5" x14ac:dyDescent="0.2">
      <c r="A18" s="306"/>
      <c r="B18" s="308"/>
      <c r="C18" s="308"/>
      <c r="D18" s="17" t="s">
        <v>632</v>
      </c>
      <c r="E18" s="18">
        <v>90</v>
      </c>
      <c r="F18" s="19" t="s">
        <v>18</v>
      </c>
      <c r="G18" s="19">
        <f>135000*117/100</f>
        <v>157950</v>
      </c>
      <c r="H18" s="19">
        <f>135000*117/100</f>
        <v>157950</v>
      </c>
      <c r="I18" s="19">
        <f>135000*117/100</f>
        <v>157950</v>
      </c>
      <c r="J18" s="17"/>
      <c r="K18" s="310"/>
      <c r="L18" s="320"/>
      <c r="M18" s="313"/>
    </row>
    <row r="19" spans="1:13" ht="25.5" x14ac:dyDescent="0.2">
      <c r="A19" s="306"/>
      <c r="B19" s="308"/>
      <c r="C19" s="308"/>
      <c r="D19" s="7" t="s">
        <v>633</v>
      </c>
      <c r="E19" s="20">
        <v>80</v>
      </c>
      <c r="F19" s="21" t="s">
        <v>18</v>
      </c>
      <c r="G19" s="21">
        <f>203586*117/100</f>
        <v>238195.62</v>
      </c>
      <c r="H19" s="21">
        <f>203586*117/100</f>
        <v>238195.62</v>
      </c>
      <c r="I19" s="21">
        <f>203586*117/100</f>
        <v>238195.62</v>
      </c>
      <c r="J19" s="7"/>
      <c r="K19" s="310"/>
      <c r="L19" s="320"/>
      <c r="M19" s="313"/>
    </row>
    <row r="20" spans="1:13" ht="25.5" x14ac:dyDescent="0.2">
      <c r="A20" s="306"/>
      <c r="B20" s="308"/>
      <c r="C20" s="308"/>
      <c r="D20" s="7" t="s">
        <v>634</v>
      </c>
      <c r="E20" s="20">
        <v>70</v>
      </c>
      <c r="F20" s="21" t="s">
        <v>18</v>
      </c>
      <c r="G20" s="21">
        <f>585583*117/100</f>
        <v>685132.11</v>
      </c>
      <c r="H20" s="21">
        <f>585583*117/100</f>
        <v>685132.11</v>
      </c>
      <c r="I20" s="21">
        <f>585583*117/100</f>
        <v>685132.11</v>
      </c>
      <c r="J20" s="7"/>
      <c r="K20" s="310"/>
      <c r="L20" s="320"/>
      <c r="M20" s="313"/>
    </row>
    <row r="21" spans="1:13" ht="42.6" customHeight="1" x14ac:dyDescent="0.2">
      <c r="A21" s="302"/>
      <c r="B21" s="303" t="s">
        <v>635</v>
      </c>
      <c r="C21" s="304"/>
      <c r="D21" s="304"/>
      <c r="E21" s="304"/>
      <c r="F21" s="304"/>
      <c r="G21" s="304"/>
      <c r="H21" s="304"/>
      <c r="I21" s="304"/>
      <c r="J21" s="304"/>
      <c r="K21" s="304"/>
      <c r="L21" s="304"/>
      <c r="M21" s="305"/>
    </row>
    <row r="22" spans="1:13" ht="15.75" x14ac:dyDescent="0.2">
      <c r="A22" s="298" t="s">
        <v>627</v>
      </c>
      <c r="B22" s="299"/>
      <c r="C22" s="299"/>
      <c r="D22" s="299"/>
      <c r="E22" s="299"/>
      <c r="F22" s="299"/>
      <c r="G22" s="299"/>
      <c r="H22" s="299"/>
      <c r="I22" s="299"/>
      <c r="J22" s="299"/>
      <c r="K22" s="299"/>
      <c r="L22" s="299"/>
      <c r="M22" s="300"/>
    </row>
    <row r="23" spans="1:13" ht="14.25" x14ac:dyDescent="0.2">
      <c r="A23" s="301">
        <v>4</v>
      </c>
      <c r="B23" s="307" t="s">
        <v>645</v>
      </c>
      <c r="C23" s="307" t="s">
        <v>637</v>
      </c>
      <c r="D23" s="17" t="s">
        <v>638</v>
      </c>
      <c r="E23" s="18">
        <v>100</v>
      </c>
      <c r="F23" s="19" t="s">
        <v>68</v>
      </c>
      <c r="G23" s="19" t="s">
        <v>643</v>
      </c>
      <c r="H23" s="19">
        <f>8000*117/100</f>
        <v>9360</v>
      </c>
      <c r="I23" s="19">
        <f>H23*4</f>
        <v>37440</v>
      </c>
      <c r="J23" s="17"/>
      <c r="K23" s="309" t="s">
        <v>426</v>
      </c>
      <c r="L23" s="319"/>
      <c r="M23" s="312" t="s">
        <v>644</v>
      </c>
    </row>
    <row r="24" spans="1:13" ht="38.25" x14ac:dyDescent="0.2">
      <c r="A24" s="306"/>
      <c r="B24" s="308"/>
      <c r="C24" s="308"/>
      <c r="D24" s="7" t="s">
        <v>639</v>
      </c>
      <c r="E24" s="20">
        <v>90</v>
      </c>
      <c r="F24" s="21" t="s">
        <v>68</v>
      </c>
      <c r="G24" s="21" t="s">
        <v>643</v>
      </c>
      <c r="H24" s="21">
        <f>13000*117/100</f>
        <v>15210</v>
      </c>
      <c r="I24" s="21">
        <f t="shared" ref="I24:I27" si="1">H24*4</f>
        <v>60840</v>
      </c>
      <c r="J24" s="7"/>
      <c r="K24" s="310"/>
      <c r="L24" s="320"/>
      <c r="M24" s="313"/>
    </row>
    <row r="25" spans="1:13" ht="25.5" x14ac:dyDescent="0.2">
      <c r="A25" s="306"/>
      <c r="B25" s="308"/>
      <c r="C25" s="308"/>
      <c r="D25" s="7" t="s">
        <v>640</v>
      </c>
      <c r="E25" s="20">
        <v>80</v>
      </c>
      <c r="F25" s="21" t="s">
        <v>68</v>
      </c>
      <c r="G25" s="21" t="s">
        <v>643</v>
      </c>
      <c r="H25" s="21">
        <f>15000*117/100</f>
        <v>17550</v>
      </c>
      <c r="I25" s="21">
        <f t="shared" si="1"/>
        <v>70200</v>
      </c>
      <c r="J25" s="7"/>
      <c r="K25" s="310"/>
      <c r="L25" s="320"/>
      <c r="M25" s="313"/>
    </row>
    <row r="26" spans="1:13" ht="25.5" x14ac:dyDescent="0.2">
      <c r="A26" s="306"/>
      <c r="B26" s="308"/>
      <c r="C26" s="308"/>
      <c r="D26" s="7" t="s">
        <v>641</v>
      </c>
      <c r="E26" s="20">
        <v>80</v>
      </c>
      <c r="F26" s="21" t="s">
        <v>68</v>
      </c>
      <c r="G26" s="21" t="s">
        <v>643</v>
      </c>
      <c r="H26" s="21">
        <f>15000*117/100</f>
        <v>17550</v>
      </c>
      <c r="I26" s="21">
        <f t="shared" si="1"/>
        <v>70200</v>
      </c>
      <c r="J26" s="7"/>
      <c r="K26" s="310"/>
      <c r="L26" s="320"/>
      <c r="M26" s="313"/>
    </row>
    <row r="27" spans="1:13" ht="14.25" x14ac:dyDescent="0.2">
      <c r="A27" s="306"/>
      <c r="B27" s="308"/>
      <c r="C27" s="308"/>
      <c r="D27" s="7" t="s">
        <v>642</v>
      </c>
      <c r="E27" s="20">
        <v>70</v>
      </c>
      <c r="F27" s="21" t="s">
        <v>68</v>
      </c>
      <c r="G27" s="21" t="s">
        <v>643</v>
      </c>
      <c r="H27" s="21">
        <f>17000*117/100</f>
        <v>19890</v>
      </c>
      <c r="I27" s="21">
        <f t="shared" si="1"/>
        <v>79560</v>
      </c>
      <c r="J27" s="7"/>
      <c r="K27" s="310"/>
      <c r="L27" s="320"/>
      <c r="M27" s="313"/>
    </row>
    <row r="28" spans="1:13" ht="14.25" x14ac:dyDescent="0.2">
      <c r="A28" s="302"/>
      <c r="B28" s="303"/>
      <c r="C28" s="304"/>
      <c r="D28" s="304"/>
      <c r="E28" s="304"/>
      <c r="F28" s="304"/>
      <c r="G28" s="304"/>
      <c r="H28" s="304"/>
      <c r="I28" s="304"/>
      <c r="J28" s="304"/>
      <c r="K28" s="304"/>
      <c r="L28" s="304"/>
      <c r="M28" s="305"/>
    </row>
  </sheetData>
  <mergeCells count="34">
    <mergeCell ref="A1:A7"/>
    <mergeCell ref="B1:M1"/>
    <mergeCell ref="B2:M2"/>
    <mergeCell ref="B3:M3"/>
    <mergeCell ref="B6:M6"/>
    <mergeCell ref="B4:M4"/>
    <mergeCell ref="B5:M5"/>
    <mergeCell ref="A13:M13"/>
    <mergeCell ref="A14:A15"/>
    <mergeCell ref="B15:M15"/>
    <mergeCell ref="A8:M8"/>
    <mergeCell ref="A9:A12"/>
    <mergeCell ref="B9:B11"/>
    <mergeCell ref="C9:C11"/>
    <mergeCell ref="K9:K11"/>
    <mergeCell ref="L9:L11"/>
    <mergeCell ref="M9:M11"/>
    <mergeCell ref="B12:M12"/>
    <mergeCell ref="A16:M16"/>
    <mergeCell ref="A17:A21"/>
    <mergeCell ref="B17:B20"/>
    <mergeCell ref="C17:C20"/>
    <mergeCell ref="K17:K20"/>
    <mergeCell ref="L17:L20"/>
    <mergeCell ref="M17:M20"/>
    <mergeCell ref="B21:M21"/>
    <mergeCell ref="A22:M22"/>
    <mergeCell ref="A23:A28"/>
    <mergeCell ref="B23:B27"/>
    <mergeCell ref="C23:C27"/>
    <mergeCell ref="K23:K27"/>
    <mergeCell ref="L23:L27"/>
    <mergeCell ref="M23:M27"/>
    <mergeCell ref="B28:M28"/>
  </mergeCells>
  <pageMargins left="0.7" right="0.7" top="0.75" bottom="0.75" header="0.3" footer="0.3"/>
  <pageSetup paperSize="9" scale="7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rightToLeft="1" zoomScale="85" zoomScaleNormal="85" workbookViewId="0">
      <pane ySplit="5" topLeftCell="A12" activePane="bottomLeft" state="frozen"/>
      <selection pane="bottomLeft" activeCell="G22" sqref="G22"/>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614</v>
      </c>
      <c r="C1" s="315"/>
      <c r="D1" s="315"/>
      <c r="E1" s="315"/>
      <c r="F1" s="315"/>
      <c r="G1" s="315"/>
      <c r="H1" s="315"/>
      <c r="I1" s="315"/>
      <c r="J1" s="315"/>
      <c r="K1" s="315"/>
      <c r="L1" s="315"/>
      <c r="M1" s="315"/>
    </row>
    <row r="2" spans="1:13" ht="14.25" x14ac:dyDescent="0.2">
      <c r="A2" s="314"/>
      <c r="B2" s="346" t="s">
        <v>585</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47.25" x14ac:dyDescent="0.2">
      <c r="A5" s="314"/>
      <c r="B5" s="100" t="s">
        <v>2</v>
      </c>
      <c r="C5" s="2" t="s">
        <v>3</v>
      </c>
      <c r="D5" s="3" t="s">
        <v>4</v>
      </c>
      <c r="E5" s="3" t="s">
        <v>5</v>
      </c>
      <c r="F5" s="3" t="s">
        <v>6</v>
      </c>
      <c r="G5" s="3" t="s">
        <v>7</v>
      </c>
      <c r="H5" s="4" t="s">
        <v>8</v>
      </c>
      <c r="I5" s="5" t="s">
        <v>9</v>
      </c>
      <c r="J5" s="3" t="s">
        <v>10</v>
      </c>
      <c r="K5" s="3" t="s">
        <v>11</v>
      </c>
      <c r="L5" s="6" t="s">
        <v>12</v>
      </c>
      <c r="M5" s="3" t="s">
        <v>13</v>
      </c>
    </row>
    <row r="6" spans="1:13" ht="15.75" x14ac:dyDescent="0.2">
      <c r="A6" s="298" t="s">
        <v>589</v>
      </c>
      <c r="B6" s="299"/>
      <c r="C6" s="299"/>
      <c r="D6" s="299"/>
      <c r="E6" s="299"/>
      <c r="F6" s="299"/>
      <c r="G6" s="299"/>
      <c r="H6" s="299"/>
      <c r="I6" s="299"/>
      <c r="J6" s="299"/>
      <c r="K6" s="299"/>
      <c r="L6" s="299"/>
      <c r="M6" s="300"/>
    </row>
    <row r="7" spans="1:13" ht="110.25" x14ac:dyDescent="0.2">
      <c r="A7" s="301"/>
      <c r="B7" s="96" t="s">
        <v>590</v>
      </c>
      <c r="C7" s="96" t="s">
        <v>74</v>
      </c>
      <c r="D7" s="17" t="s">
        <v>591</v>
      </c>
      <c r="E7" s="18">
        <v>100</v>
      </c>
      <c r="F7" s="19" t="s">
        <v>29</v>
      </c>
      <c r="G7" s="19" t="s">
        <v>608</v>
      </c>
      <c r="H7" s="19">
        <v>234</v>
      </c>
      <c r="I7" s="19">
        <f>120*234</f>
        <v>28080</v>
      </c>
      <c r="J7" s="17" t="s">
        <v>20</v>
      </c>
      <c r="K7" s="97" t="s">
        <v>617</v>
      </c>
      <c r="L7" s="98"/>
      <c r="M7" s="99"/>
    </row>
    <row r="8" spans="1:13" ht="13.9" customHeight="1" x14ac:dyDescent="0.2">
      <c r="A8" s="302"/>
      <c r="B8" s="303" t="s">
        <v>599</v>
      </c>
      <c r="C8" s="304"/>
      <c r="D8" s="304"/>
      <c r="E8" s="304"/>
      <c r="F8" s="304"/>
      <c r="G8" s="304"/>
      <c r="H8" s="304"/>
      <c r="I8" s="304"/>
      <c r="J8" s="304"/>
      <c r="K8" s="304"/>
      <c r="L8" s="304"/>
      <c r="M8" s="305"/>
    </row>
    <row r="9" spans="1:13" ht="15.75" x14ac:dyDescent="0.2">
      <c r="A9" s="298" t="s">
        <v>592</v>
      </c>
      <c r="B9" s="299"/>
      <c r="C9" s="299"/>
      <c r="D9" s="299"/>
      <c r="E9" s="299"/>
      <c r="F9" s="299"/>
      <c r="G9" s="299"/>
      <c r="H9" s="299"/>
      <c r="I9" s="299"/>
      <c r="J9" s="299"/>
      <c r="K9" s="299"/>
      <c r="L9" s="299"/>
      <c r="M9" s="300"/>
    </row>
    <row r="10" spans="1:13" ht="110.25" x14ac:dyDescent="0.2">
      <c r="A10" s="301">
        <v>2</v>
      </c>
      <c r="B10" s="96" t="s">
        <v>602</v>
      </c>
      <c r="C10" s="96" t="s">
        <v>210</v>
      </c>
      <c r="D10" s="17" t="s">
        <v>209</v>
      </c>
      <c r="E10" s="18">
        <v>100</v>
      </c>
      <c r="F10" s="19" t="s">
        <v>29</v>
      </c>
      <c r="G10" s="19" t="s">
        <v>609</v>
      </c>
      <c r="H10" s="19">
        <f>270*117/100</f>
        <v>315.89999999999998</v>
      </c>
      <c r="I10" s="19">
        <f>H10*225</f>
        <v>71077.5</v>
      </c>
      <c r="J10" s="17" t="s">
        <v>20</v>
      </c>
      <c r="K10" s="97" t="s">
        <v>616</v>
      </c>
      <c r="L10" s="98"/>
      <c r="M10" s="99" t="s">
        <v>132</v>
      </c>
    </row>
    <row r="11" spans="1:13" ht="14.25" x14ac:dyDescent="0.2">
      <c r="A11" s="302"/>
      <c r="B11" s="303" t="s">
        <v>600</v>
      </c>
      <c r="C11" s="304"/>
      <c r="D11" s="304"/>
      <c r="E11" s="304"/>
      <c r="F11" s="304"/>
      <c r="G11" s="304"/>
      <c r="H11" s="304"/>
      <c r="I11" s="304"/>
      <c r="J11" s="304"/>
      <c r="K11" s="304"/>
      <c r="L11" s="304"/>
      <c r="M11" s="305"/>
    </row>
    <row r="12" spans="1:13" ht="15.75" x14ac:dyDescent="0.2">
      <c r="A12" s="298" t="s">
        <v>593</v>
      </c>
      <c r="B12" s="299"/>
      <c r="C12" s="299"/>
      <c r="D12" s="299"/>
      <c r="E12" s="299"/>
      <c r="F12" s="299"/>
      <c r="G12" s="299"/>
      <c r="H12" s="299"/>
      <c r="I12" s="299"/>
      <c r="J12" s="299"/>
      <c r="K12" s="299"/>
      <c r="L12" s="299"/>
      <c r="M12" s="300"/>
    </row>
    <row r="13" spans="1:13" ht="14.25" x14ac:dyDescent="0.2">
      <c r="A13" s="301">
        <v>3</v>
      </c>
      <c r="B13" s="307" t="s">
        <v>594</v>
      </c>
      <c r="C13" s="307" t="s">
        <v>595</v>
      </c>
      <c r="D13" s="17" t="s">
        <v>596</v>
      </c>
      <c r="E13" s="18">
        <v>100</v>
      </c>
      <c r="F13" s="19" t="s">
        <v>18</v>
      </c>
      <c r="G13" s="19" t="s">
        <v>18</v>
      </c>
      <c r="H13" s="19">
        <f>51000*117/100</f>
        <v>59670</v>
      </c>
      <c r="I13" s="19">
        <f>51000*117/100</f>
        <v>59670</v>
      </c>
      <c r="J13" s="17" t="s">
        <v>20</v>
      </c>
      <c r="K13" s="309" t="s">
        <v>426</v>
      </c>
      <c r="L13" s="319"/>
      <c r="M13" s="312">
        <v>224005</v>
      </c>
    </row>
    <row r="14" spans="1:13" ht="25.5" x14ac:dyDescent="0.2">
      <c r="A14" s="306"/>
      <c r="B14" s="308"/>
      <c r="C14" s="308"/>
      <c r="D14" s="7" t="s">
        <v>381</v>
      </c>
      <c r="E14" s="20">
        <v>90</v>
      </c>
      <c r="F14" s="21" t="s">
        <v>18</v>
      </c>
      <c r="G14" s="21" t="s">
        <v>18</v>
      </c>
      <c r="H14" s="21">
        <f>85000*117/100</f>
        <v>99450</v>
      </c>
      <c r="I14" s="21">
        <f>85000*117/100</f>
        <v>99450</v>
      </c>
      <c r="J14" s="7" t="s">
        <v>20</v>
      </c>
      <c r="K14" s="310"/>
      <c r="L14" s="320"/>
      <c r="M14" s="313"/>
    </row>
    <row r="15" spans="1:13" ht="25.5" x14ac:dyDescent="0.2">
      <c r="A15" s="306"/>
      <c r="B15" s="308"/>
      <c r="C15" s="308"/>
      <c r="D15" s="7" t="s">
        <v>598</v>
      </c>
      <c r="E15" s="20">
        <v>80</v>
      </c>
      <c r="F15" s="21" t="s">
        <v>18</v>
      </c>
      <c r="G15" s="21" t="s">
        <v>18</v>
      </c>
      <c r="H15" s="21">
        <f>92000*117/100</f>
        <v>107640</v>
      </c>
      <c r="I15" s="21">
        <f>92000*117/100</f>
        <v>107640</v>
      </c>
      <c r="J15" s="7" t="s">
        <v>20</v>
      </c>
      <c r="K15" s="310"/>
      <c r="L15" s="320"/>
      <c r="M15" s="313"/>
    </row>
    <row r="16" spans="1:13" ht="25.5" x14ac:dyDescent="0.2">
      <c r="A16" s="306"/>
      <c r="B16" s="308"/>
      <c r="C16" s="308"/>
      <c r="D16" s="7" t="s">
        <v>597</v>
      </c>
      <c r="E16" s="20">
        <v>70</v>
      </c>
      <c r="F16" s="21" t="s">
        <v>18</v>
      </c>
      <c r="G16" s="21" t="s">
        <v>18</v>
      </c>
      <c r="H16" s="21">
        <f>100000*117/100</f>
        <v>117000</v>
      </c>
      <c r="I16" s="21">
        <f>100000*117/100</f>
        <v>117000</v>
      </c>
      <c r="J16" s="7" t="s">
        <v>20</v>
      </c>
      <c r="K16" s="310"/>
      <c r="L16" s="320"/>
      <c r="M16" s="313"/>
    </row>
    <row r="17" spans="1:13" ht="14.25" x14ac:dyDescent="0.2">
      <c r="A17" s="302"/>
      <c r="B17" s="303"/>
      <c r="C17" s="304"/>
      <c r="D17" s="304"/>
      <c r="E17" s="304"/>
      <c r="F17" s="304"/>
      <c r="G17" s="304"/>
      <c r="H17" s="304"/>
      <c r="I17" s="304"/>
      <c r="J17" s="304"/>
      <c r="K17" s="304"/>
      <c r="L17" s="304"/>
      <c r="M17" s="305"/>
    </row>
    <row r="18" spans="1:13" ht="15.75" x14ac:dyDescent="0.2">
      <c r="A18" s="298" t="s">
        <v>607</v>
      </c>
      <c r="B18" s="299"/>
      <c r="C18" s="299"/>
      <c r="D18" s="299"/>
      <c r="E18" s="299"/>
      <c r="F18" s="299"/>
      <c r="G18" s="299"/>
      <c r="H18" s="299"/>
      <c r="I18" s="299"/>
      <c r="J18" s="299"/>
      <c r="K18" s="299"/>
      <c r="L18" s="299"/>
      <c r="M18" s="300"/>
    </row>
    <row r="19" spans="1:13" ht="51" x14ac:dyDescent="0.2">
      <c r="A19" s="301">
        <v>4</v>
      </c>
      <c r="B19" s="307" t="s">
        <v>601</v>
      </c>
      <c r="C19" s="307" t="s">
        <v>83</v>
      </c>
      <c r="D19" s="17" t="s">
        <v>603</v>
      </c>
      <c r="E19" s="18">
        <v>100</v>
      </c>
      <c r="F19" s="19" t="s">
        <v>68</v>
      </c>
      <c r="G19" s="19" t="s">
        <v>69</v>
      </c>
      <c r="H19" s="19">
        <f>7500*117/100</f>
        <v>8775</v>
      </c>
      <c r="I19" s="19">
        <f>12*H19</f>
        <v>105300</v>
      </c>
      <c r="J19" s="17" t="s">
        <v>20</v>
      </c>
      <c r="K19" s="309" t="s">
        <v>426</v>
      </c>
      <c r="L19" s="319"/>
      <c r="M19" s="312" t="s">
        <v>132</v>
      </c>
    </row>
    <row r="20" spans="1:13" ht="14.25" x14ac:dyDescent="0.2">
      <c r="A20" s="306"/>
      <c r="B20" s="308"/>
      <c r="C20" s="308"/>
      <c r="D20" s="7" t="s">
        <v>604</v>
      </c>
      <c r="E20" s="20">
        <v>94</v>
      </c>
      <c r="F20" s="21" t="s">
        <v>68</v>
      </c>
      <c r="G20" s="21" t="s">
        <v>69</v>
      </c>
      <c r="H20" s="21">
        <f>7500*117/100</f>
        <v>8775</v>
      </c>
      <c r="I20" s="21">
        <f t="shared" ref="I20:I22" si="0">12*H20</f>
        <v>105300</v>
      </c>
      <c r="J20" s="7" t="s">
        <v>20</v>
      </c>
      <c r="K20" s="310"/>
      <c r="L20" s="320"/>
      <c r="M20" s="313"/>
    </row>
    <row r="21" spans="1:13" ht="38.25" x14ac:dyDescent="0.2">
      <c r="A21" s="306"/>
      <c r="B21" s="308"/>
      <c r="C21" s="308"/>
      <c r="D21" s="7" t="s">
        <v>605</v>
      </c>
      <c r="E21" s="20">
        <v>68</v>
      </c>
      <c r="F21" s="21" t="s">
        <v>68</v>
      </c>
      <c r="G21" s="21" t="s">
        <v>69</v>
      </c>
      <c r="H21" s="21">
        <f>8160*117/100</f>
        <v>9547.2000000000007</v>
      </c>
      <c r="I21" s="21">
        <f t="shared" si="0"/>
        <v>114566.40000000001</v>
      </c>
      <c r="J21" s="7" t="s">
        <v>20</v>
      </c>
      <c r="K21" s="310"/>
      <c r="L21" s="320"/>
      <c r="M21" s="313"/>
    </row>
    <row r="22" spans="1:13" ht="25.5" x14ac:dyDescent="0.2">
      <c r="A22" s="306"/>
      <c r="B22" s="308"/>
      <c r="C22" s="308"/>
      <c r="D22" s="7" t="s">
        <v>606</v>
      </c>
      <c r="E22" s="20">
        <v>64</v>
      </c>
      <c r="F22" s="21" t="s">
        <v>68</v>
      </c>
      <c r="G22" s="21" t="s">
        <v>69</v>
      </c>
      <c r="H22" s="21">
        <f>12000*117/100</f>
        <v>14040</v>
      </c>
      <c r="I22" s="21">
        <f t="shared" si="0"/>
        <v>168480</v>
      </c>
      <c r="J22" s="7" t="s">
        <v>20</v>
      </c>
      <c r="K22" s="310"/>
      <c r="L22" s="320"/>
      <c r="M22" s="313"/>
    </row>
    <row r="23" spans="1:13" ht="14.25" x14ac:dyDescent="0.2">
      <c r="A23" s="302"/>
      <c r="B23" s="303"/>
      <c r="C23" s="304"/>
      <c r="D23" s="304"/>
      <c r="E23" s="304"/>
      <c r="F23" s="304"/>
      <c r="G23" s="304"/>
      <c r="H23" s="304"/>
      <c r="I23" s="304"/>
      <c r="J23" s="304"/>
      <c r="K23" s="304"/>
      <c r="L23" s="304"/>
      <c r="M23" s="305"/>
    </row>
  </sheetData>
  <mergeCells count="27">
    <mergeCell ref="A1:A5"/>
    <mergeCell ref="B1:M1"/>
    <mergeCell ref="B2:M2"/>
    <mergeCell ref="B3:M3"/>
    <mergeCell ref="B4:M4"/>
    <mergeCell ref="A7:A8"/>
    <mergeCell ref="B8:M8"/>
    <mergeCell ref="A9:M9"/>
    <mergeCell ref="A10:A11"/>
    <mergeCell ref="A6:M6"/>
    <mergeCell ref="A18:M18"/>
    <mergeCell ref="A19:A23"/>
    <mergeCell ref="B19:B22"/>
    <mergeCell ref="C19:C22"/>
    <mergeCell ref="K19:K22"/>
    <mergeCell ref="L19:L22"/>
    <mergeCell ref="M19:M22"/>
    <mergeCell ref="B23:M23"/>
    <mergeCell ref="B17:M17"/>
    <mergeCell ref="B11:M11"/>
    <mergeCell ref="A12:M12"/>
    <mergeCell ref="A13:A17"/>
    <mergeCell ref="B13:B16"/>
    <mergeCell ref="C13:C16"/>
    <mergeCell ref="K13:K16"/>
    <mergeCell ref="L13:L16"/>
    <mergeCell ref="M13:M16"/>
  </mergeCells>
  <pageMargins left="0.7" right="0.7" top="0.75" bottom="0.75" header="0.3" footer="0.3"/>
  <pageSetup paperSize="9" scale="7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rightToLeft="1" zoomScale="85" zoomScaleNormal="85" workbookViewId="0">
      <pane ySplit="5" topLeftCell="A29" activePane="bottomLeft" state="frozen"/>
      <selection pane="bottomLeft" activeCell="B38" sqref="B38:M38"/>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588</v>
      </c>
      <c r="C1" s="315"/>
      <c r="D1" s="315"/>
      <c r="E1" s="315"/>
      <c r="F1" s="315"/>
      <c r="G1" s="315"/>
      <c r="H1" s="315"/>
      <c r="I1" s="315"/>
      <c r="J1" s="315"/>
      <c r="K1" s="315"/>
      <c r="L1" s="315"/>
      <c r="M1" s="315"/>
    </row>
    <row r="2" spans="1:13" ht="14.25" x14ac:dyDescent="0.2">
      <c r="A2" s="314"/>
      <c r="B2" s="346" t="s">
        <v>585</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587</v>
      </c>
      <c r="C4" s="318"/>
      <c r="D4" s="318"/>
      <c r="E4" s="318"/>
      <c r="F4" s="318"/>
      <c r="G4" s="318"/>
      <c r="H4" s="318"/>
      <c r="I4" s="318"/>
      <c r="J4" s="318"/>
      <c r="K4" s="318"/>
      <c r="L4" s="318"/>
      <c r="M4" s="318"/>
    </row>
    <row r="5" spans="1:13" ht="47.25" x14ac:dyDescent="0.2">
      <c r="A5" s="314"/>
      <c r="B5" s="91" t="s">
        <v>2</v>
      </c>
      <c r="C5" s="2" t="s">
        <v>3</v>
      </c>
      <c r="D5" s="3" t="s">
        <v>4</v>
      </c>
      <c r="E5" s="3" t="s">
        <v>5</v>
      </c>
      <c r="F5" s="3" t="s">
        <v>6</v>
      </c>
      <c r="G5" s="3" t="s">
        <v>7</v>
      </c>
      <c r="H5" s="4" t="s">
        <v>8</v>
      </c>
      <c r="I5" s="5" t="s">
        <v>9</v>
      </c>
      <c r="J5" s="3" t="s">
        <v>10</v>
      </c>
      <c r="K5" s="3" t="s">
        <v>11</v>
      </c>
      <c r="L5" s="6" t="s">
        <v>12</v>
      </c>
      <c r="M5" s="3" t="s">
        <v>13</v>
      </c>
    </row>
    <row r="6" spans="1:13" ht="15.75" x14ac:dyDescent="0.2">
      <c r="A6" s="298" t="s">
        <v>547</v>
      </c>
      <c r="B6" s="299"/>
      <c r="C6" s="299"/>
      <c r="D6" s="299"/>
      <c r="E6" s="299"/>
      <c r="F6" s="299"/>
      <c r="G6" s="299"/>
      <c r="H6" s="299"/>
      <c r="I6" s="299"/>
      <c r="J6" s="299"/>
      <c r="K6" s="299"/>
      <c r="L6" s="299"/>
      <c r="M6" s="300"/>
    </row>
    <row r="7" spans="1:13" ht="26.45" customHeight="1" x14ac:dyDescent="0.2">
      <c r="A7" s="301">
        <v>1</v>
      </c>
      <c r="B7" s="307" t="s">
        <v>549</v>
      </c>
      <c r="C7" s="307" t="s">
        <v>276</v>
      </c>
      <c r="D7" s="17" t="s">
        <v>32</v>
      </c>
      <c r="E7" s="18">
        <v>94</v>
      </c>
      <c r="F7" s="19" t="s">
        <v>18</v>
      </c>
      <c r="G7" s="19" t="s">
        <v>18</v>
      </c>
      <c r="H7" s="19">
        <f>16350*117/100</f>
        <v>19129.5</v>
      </c>
      <c r="I7" s="19">
        <f>16350*117/100</f>
        <v>19129.5</v>
      </c>
      <c r="J7" s="17" t="s">
        <v>20</v>
      </c>
      <c r="K7" s="309" t="s">
        <v>426</v>
      </c>
      <c r="L7" s="319"/>
      <c r="M7" s="312"/>
    </row>
    <row r="8" spans="1:13" ht="25.5" x14ac:dyDescent="0.2">
      <c r="A8" s="306"/>
      <c r="B8" s="308"/>
      <c r="C8" s="308"/>
      <c r="D8" s="7" t="s">
        <v>290</v>
      </c>
      <c r="E8" s="20">
        <v>84</v>
      </c>
      <c r="F8" s="21" t="s">
        <v>18</v>
      </c>
      <c r="G8" s="21" t="s">
        <v>18</v>
      </c>
      <c r="H8" s="21">
        <f>18000*117/100</f>
        <v>21060</v>
      </c>
      <c r="I8" s="21">
        <f>18000*117/100</f>
        <v>21060</v>
      </c>
      <c r="J8" s="7" t="s">
        <v>20</v>
      </c>
      <c r="K8" s="310"/>
      <c r="L8" s="320"/>
      <c r="M8" s="313"/>
    </row>
    <row r="9" spans="1:13" ht="25.5" x14ac:dyDescent="0.2">
      <c r="A9" s="306"/>
      <c r="B9" s="308"/>
      <c r="C9" s="308"/>
      <c r="D9" s="7" t="s">
        <v>28</v>
      </c>
      <c r="E9" s="20">
        <v>74</v>
      </c>
      <c r="F9" s="21" t="s">
        <v>18</v>
      </c>
      <c r="G9" s="21" t="s">
        <v>18</v>
      </c>
      <c r="H9" s="21">
        <f>20000*117/100</f>
        <v>23400</v>
      </c>
      <c r="I9" s="21">
        <f>20000*117/100</f>
        <v>23400</v>
      </c>
      <c r="J9" s="7" t="s">
        <v>20</v>
      </c>
      <c r="K9" s="310"/>
      <c r="L9" s="320"/>
      <c r="M9" s="313"/>
    </row>
    <row r="10" spans="1:13" ht="25.5" x14ac:dyDescent="0.2">
      <c r="A10" s="306"/>
      <c r="B10" s="308"/>
      <c r="C10" s="308"/>
      <c r="D10" s="7" t="s">
        <v>550</v>
      </c>
      <c r="E10" s="20">
        <v>64</v>
      </c>
      <c r="F10" s="21" t="s">
        <v>18</v>
      </c>
      <c r="G10" s="21" t="s">
        <v>18</v>
      </c>
      <c r="H10" s="21">
        <f>20400*117/100</f>
        <v>23868</v>
      </c>
      <c r="I10" s="21">
        <f>20400*117/100</f>
        <v>23868</v>
      </c>
      <c r="J10" s="7"/>
      <c r="K10" s="310"/>
      <c r="L10" s="320"/>
      <c r="M10" s="313"/>
    </row>
    <row r="11" spans="1:13" ht="25.5" x14ac:dyDescent="0.2">
      <c r="A11" s="306"/>
      <c r="B11" s="328"/>
      <c r="C11" s="328"/>
      <c r="D11" s="7" t="s">
        <v>355</v>
      </c>
      <c r="E11" s="20">
        <v>54</v>
      </c>
      <c r="F11" s="21" t="s">
        <v>18</v>
      </c>
      <c r="G11" s="21" t="s">
        <v>18</v>
      </c>
      <c r="H11" s="21">
        <f>20946*117/100</f>
        <v>24506.82</v>
      </c>
      <c r="I11" s="21">
        <f>20946*117/100</f>
        <v>24506.82</v>
      </c>
      <c r="J11" s="7" t="s">
        <v>20</v>
      </c>
      <c r="K11" s="323"/>
      <c r="L11" s="332"/>
      <c r="M11" s="327"/>
    </row>
    <row r="12" spans="1:13" ht="13.9" customHeight="1" x14ac:dyDescent="0.2">
      <c r="A12" s="302"/>
      <c r="B12" s="303"/>
      <c r="C12" s="304"/>
      <c r="D12" s="304"/>
      <c r="E12" s="304"/>
      <c r="F12" s="304"/>
      <c r="G12" s="304"/>
      <c r="H12" s="304"/>
      <c r="I12" s="304"/>
      <c r="J12" s="304"/>
      <c r="K12" s="304"/>
      <c r="L12" s="304"/>
      <c r="M12" s="305"/>
    </row>
    <row r="13" spans="1:13" ht="15.75" x14ac:dyDescent="0.2">
      <c r="A13" s="298" t="s">
        <v>574</v>
      </c>
      <c r="B13" s="299"/>
      <c r="C13" s="299"/>
      <c r="D13" s="299"/>
      <c r="E13" s="299"/>
      <c r="F13" s="299"/>
      <c r="G13" s="299"/>
      <c r="H13" s="299"/>
      <c r="I13" s="299"/>
      <c r="J13" s="299"/>
      <c r="K13" s="299"/>
      <c r="L13" s="299"/>
      <c r="M13" s="300"/>
    </row>
    <row r="14" spans="1:13" ht="13.9" customHeight="1" x14ac:dyDescent="0.2">
      <c r="A14" s="301">
        <v>2</v>
      </c>
      <c r="B14" s="307" t="s">
        <v>551</v>
      </c>
      <c r="C14" s="307" t="s">
        <v>557</v>
      </c>
      <c r="D14" s="17" t="s">
        <v>53</v>
      </c>
      <c r="E14" s="18">
        <v>100</v>
      </c>
      <c r="F14" s="19" t="s">
        <v>18</v>
      </c>
      <c r="G14" s="19" t="s">
        <v>18</v>
      </c>
      <c r="H14" s="19">
        <f>16500*117/100</f>
        <v>19305</v>
      </c>
      <c r="I14" s="19">
        <f>16500*117/100</f>
        <v>19305</v>
      </c>
      <c r="J14" s="17" t="s">
        <v>20</v>
      </c>
      <c r="K14" s="309" t="s">
        <v>426</v>
      </c>
      <c r="L14" s="319"/>
      <c r="M14" s="312">
        <v>2530092770</v>
      </c>
    </row>
    <row r="15" spans="1:13" ht="25.5" x14ac:dyDescent="0.2">
      <c r="A15" s="306"/>
      <c r="B15" s="308"/>
      <c r="C15" s="308"/>
      <c r="D15" s="7" t="s">
        <v>552</v>
      </c>
      <c r="E15" s="20">
        <v>90</v>
      </c>
      <c r="F15" s="21" t="s">
        <v>18</v>
      </c>
      <c r="G15" s="21" t="s">
        <v>18</v>
      </c>
      <c r="H15" s="21">
        <f>20000*117/100</f>
        <v>23400</v>
      </c>
      <c r="I15" s="21">
        <f>20000*117/100</f>
        <v>23400</v>
      </c>
      <c r="J15" s="7" t="s">
        <v>20</v>
      </c>
      <c r="K15" s="310"/>
      <c r="L15" s="320"/>
      <c r="M15" s="313"/>
    </row>
    <row r="16" spans="1:13" ht="14.25" x14ac:dyDescent="0.2">
      <c r="A16" s="306"/>
      <c r="B16" s="308"/>
      <c r="C16" s="308"/>
      <c r="D16" s="7" t="s">
        <v>163</v>
      </c>
      <c r="E16" s="20">
        <v>80</v>
      </c>
      <c r="F16" s="21" t="s">
        <v>18</v>
      </c>
      <c r="G16" s="21" t="s">
        <v>18</v>
      </c>
      <c r="H16" s="21">
        <f>28000*117/100</f>
        <v>32760</v>
      </c>
      <c r="I16" s="21">
        <f>28000*117/100</f>
        <v>32760</v>
      </c>
      <c r="J16" s="7" t="s">
        <v>20</v>
      </c>
      <c r="K16" s="310"/>
      <c r="L16" s="320"/>
      <c r="M16" s="313"/>
    </row>
    <row r="17" spans="1:13" ht="25.5" x14ac:dyDescent="0.2">
      <c r="A17" s="306"/>
      <c r="B17" s="308"/>
      <c r="C17" s="308"/>
      <c r="D17" s="7" t="s">
        <v>55</v>
      </c>
      <c r="E17" s="20">
        <v>70</v>
      </c>
      <c r="F17" s="21" t="s">
        <v>18</v>
      </c>
      <c r="G17" s="21" t="s">
        <v>18</v>
      </c>
      <c r="H17" s="21">
        <f>34000*117/100</f>
        <v>39780</v>
      </c>
      <c r="I17" s="21">
        <f>34000*117/100</f>
        <v>39780</v>
      </c>
      <c r="J17" s="7" t="s">
        <v>20</v>
      </c>
      <c r="K17" s="310"/>
      <c r="L17" s="320"/>
      <c r="M17" s="313"/>
    </row>
    <row r="18" spans="1:13" ht="25.5" x14ac:dyDescent="0.2">
      <c r="A18" s="306"/>
      <c r="B18" s="308"/>
      <c r="C18" s="308"/>
      <c r="D18" s="7" t="s">
        <v>553</v>
      </c>
      <c r="E18" s="20">
        <v>60</v>
      </c>
      <c r="F18" s="21" t="s">
        <v>18</v>
      </c>
      <c r="G18" s="21" t="s">
        <v>18</v>
      </c>
      <c r="H18" s="21">
        <f>36000*117/100</f>
        <v>42120</v>
      </c>
      <c r="I18" s="21">
        <f>36000*117/100</f>
        <v>42120</v>
      </c>
      <c r="J18" s="7" t="s">
        <v>20</v>
      </c>
      <c r="K18" s="310"/>
      <c r="L18" s="320"/>
      <c r="M18" s="313"/>
    </row>
    <row r="19" spans="1:13" ht="25.5" x14ac:dyDescent="0.2">
      <c r="A19" s="306"/>
      <c r="B19" s="308"/>
      <c r="C19" s="308"/>
      <c r="D19" s="7" t="s">
        <v>554</v>
      </c>
      <c r="E19" s="20">
        <v>50</v>
      </c>
      <c r="F19" s="21" t="s">
        <v>18</v>
      </c>
      <c r="G19" s="21" t="s">
        <v>18</v>
      </c>
      <c r="H19" s="21">
        <f>62000*117/100</f>
        <v>72540</v>
      </c>
      <c r="I19" s="21">
        <f>62000*117/100</f>
        <v>72540</v>
      </c>
      <c r="J19" s="7" t="s">
        <v>20</v>
      </c>
      <c r="K19" s="310"/>
      <c r="L19" s="320"/>
      <c r="M19" s="313"/>
    </row>
    <row r="20" spans="1:13" ht="14.25" x14ac:dyDescent="0.2">
      <c r="A20" s="302"/>
      <c r="B20" s="303"/>
      <c r="C20" s="304"/>
      <c r="D20" s="304"/>
      <c r="E20" s="304"/>
      <c r="F20" s="304"/>
      <c r="G20" s="304"/>
      <c r="H20" s="304"/>
      <c r="I20" s="304"/>
      <c r="J20" s="304"/>
      <c r="K20" s="304"/>
      <c r="L20" s="304"/>
      <c r="M20" s="305"/>
    </row>
    <row r="21" spans="1:13" ht="15.75" x14ac:dyDescent="0.2">
      <c r="A21" s="298" t="s">
        <v>548</v>
      </c>
      <c r="B21" s="299"/>
      <c r="C21" s="299"/>
      <c r="D21" s="299"/>
      <c r="E21" s="299"/>
      <c r="F21" s="299"/>
      <c r="G21" s="299"/>
      <c r="H21" s="299"/>
      <c r="I21" s="299"/>
      <c r="J21" s="299"/>
      <c r="K21" s="299"/>
      <c r="L21" s="299"/>
      <c r="M21" s="300"/>
    </row>
    <row r="22" spans="1:13" ht="25.5" x14ac:dyDescent="0.2">
      <c r="A22" s="301">
        <v>3</v>
      </c>
      <c r="B22" s="307" t="s">
        <v>558</v>
      </c>
      <c r="C22" s="307" t="s">
        <v>557</v>
      </c>
      <c r="D22" s="17" t="s">
        <v>559</v>
      </c>
      <c r="E22" s="18">
        <v>100</v>
      </c>
      <c r="F22" s="19" t="s">
        <v>18</v>
      </c>
      <c r="G22" s="19" t="s">
        <v>18</v>
      </c>
      <c r="H22" s="19">
        <f>114000*117/100</f>
        <v>133380</v>
      </c>
      <c r="I22" s="19">
        <f>114000*117/100</f>
        <v>133380</v>
      </c>
      <c r="J22" s="17" t="s">
        <v>20</v>
      </c>
      <c r="K22" s="309" t="s">
        <v>426</v>
      </c>
      <c r="L22" s="319"/>
      <c r="M22" s="312">
        <v>2530092770</v>
      </c>
    </row>
    <row r="23" spans="1:13" ht="25.5" x14ac:dyDescent="0.2">
      <c r="A23" s="306"/>
      <c r="B23" s="308"/>
      <c r="C23" s="308"/>
      <c r="D23" s="7" t="s">
        <v>560</v>
      </c>
      <c r="E23" s="20">
        <v>90</v>
      </c>
      <c r="F23" s="21" t="s">
        <v>18</v>
      </c>
      <c r="G23" s="21" t="s">
        <v>18</v>
      </c>
      <c r="H23" s="21">
        <f>153000*117/100</f>
        <v>179010</v>
      </c>
      <c r="I23" s="21">
        <f>153000*117/100</f>
        <v>179010</v>
      </c>
      <c r="J23" s="7" t="s">
        <v>20</v>
      </c>
      <c r="K23" s="310"/>
      <c r="L23" s="320"/>
      <c r="M23" s="313"/>
    </row>
    <row r="24" spans="1:13" ht="25.5" x14ac:dyDescent="0.2">
      <c r="A24" s="306"/>
      <c r="B24" s="308"/>
      <c r="C24" s="308"/>
      <c r="D24" s="7" t="s">
        <v>287</v>
      </c>
      <c r="E24" s="20">
        <v>80</v>
      </c>
      <c r="F24" s="21" t="s">
        <v>18</v>
      </c>
      <c r="G24" s="21" t="s">
        <v>18</v>
      </c>
      <c r="H24" s="21">
        <f>219000*117/100</f>
        <v>256230</v>
      </c>
      <c r="I24" s="21">
        <f>219000*117/100</f>
        <v>256230</v>
      </c>
      <c r="J24" s="7" t="s">
        <v>20</v>
      </c>
      <c r="K24" s="310"/>
      <c r="L24" s="320"/>
      <c r="M24" s="313"/>
    </row>
    <row r="25" spans="1:13" ht="14.25" x14ac:dyDescent="0.2">
      <c r="A25" s="306"/>
      <c r="B25" s="308"/>
      <c r="C25" s="308"/>
      <c r="D25" s="7" t="s">
        <v>561</v>
      </c>
      <c r="E25" s="20">
        <v>70</v>
      </c>
      <c r="F25" s="21" t="s">
        <v>18</v>
      </c>
      <c r="G25" s="21" t="s">
        <v>18</v>
      </c>
      <c r="H25" s="21">
        <f>529000*117/100</f>
        <v>618930</v>
      </c>
      <c r="I25" s="21">
        <f>529000*117/100</f>
        <v>618930</v>
      </c>
      <c r="J25" s="7" t="s">
        <v>20</v>
      </c>
      <c r="K25" s="310"/>
      <c r="L25" s="320"/>
      <c r="M25" s="313"/>
    </row>
    <row r="26" spans="1:13" ht="14.25" x14ac:dyDescent="0.2">
      <c r="A26" s="302"/>
      <c r="B26" s="303"/>
      <c r="C26" s="304"/>
      <c r="D26" s="304"/>
      <c r="E26" s="304"/>
      <c r="F26" s="304"/>
      <c r="G26" s="304"/>
      <c r="H26" s="304"/>
      <c r="I26" s="304"/>
      <c r="J26" s="304"/>
      <c r="K26" s="304"/>
      <c r="L26" s="304"/>
      <c r="M26" s="305"/>
    </row>
    <row r="27" spans="1:13" ht="15.75" x14ac:dyDescent="0.2">
      <c r="A27" s="298" t="s">
        <v>555</v>
      </c>
      <c r="B27" s="299"/>
      <c r="C27" s="299"/>
      <c r="D27" s="299"/>
      <c r="E27" s="299"/>
      <c r="F27" s="299"/>
      <c r="G27" s="299"/>
      <c r="H27" s="299"/>
      <c r="I27" s="299"/>
      <c r="J27" s="299"/>
      <c r="K27" s="299"/>
      <c r="L27" s="299"/>
      <c r="M27" s="300"/>
    </row>
    <row r="28" spans="1:13" ht="38.25" x14ac:dyDescent="0.2">
      <c r="A28" s="301">
        <v>4</v>
      </c>
      <c r="B28" s="87" t="s">
        <v>562</v>
      </c>
      <c r="C28" s="87" t="s">
        <v>146</v>
      </c>
      <c r="D28" s="67" t="s">
        <v>563</v>
      </c>
      <c r="E28" s="68">
        <v>100</v>
      </c>
      <c r="F28" s="69" t="s">
        <v>565</v>
      </c>
      <c r="G28" s="69" t="s">
        <v>564</v>
      </c>
      <c r="H28" s="69">
        <f>980*117/100</f>
        <v>1146.5999999999999</v>
      </c>
      <c r="I28" s="69">
        <f>100*H28</f>
        <v>114659.99999999999</v>
      </c>
      <c r="J28" s="67" t="s">
        <v>20</v>
      </c>
      <c r="K28" s="88" t="s">
        <v>582</v>
      </c>
      <c r="L28" s="89"/>
      <c r="M28" s="90">
        <v>24003</v>
      </c>
    </row>
    <row r="29" spans="1:13" ht="14.25" x14ac:dyDescent="0.2">
      <c r="A29" s="302"/>
      <c r="B29" s="303"/>
      <c r="C29" s="304"/>
      <c r="D29" s="304"/>
      <c r="E29" s="304"/>
      <c r="F29" s="304"/>
      <c r="G29" s="304"/>
      <c r="H29" s="304"/>
      <c r="I29" s="304"/>
      <c r="J29" s="304"/>
      <c r="K29" s="304"/>
      <c r="L29" s="304"/>
      <c r="M29" s="305"/>
    </row>
    <row r="30" spans="1:13" ht="15.75" x14ac:dyDescent="0.2">
      <c r="A30" s="298" t="s">
        <v>556</v>
      </c>
      <c r="B30" s="299"/>
      <c r="C30" s="299"/>
      <c r="D30" s="299"/>
      <c r="E30" s="299"/>
      <c r="F30" s="299"/>
      <c r="G30" s="299"/>
      <c r="H30" s="299"/>
      <c r="I30" s="299"/>
      <c r="J30" s="299"/>
      <c r="K30" s="299"/>
      <c r="L30" s="299"/>
      <c r="M30" s="300"/>
    </row>
    <row r="31" spans="1:13" ht="63.75" x14ac:dyDescent="0.2">
      <c r="A31" s="301">
        <v>5</v>
      </c>
      <c r="B31" s="307" t="s">
        <v>566</v>
      </c>
      <c r="C31" s="307" t="s">
        <v>567</v>
      </c>
      <c r="D31" s="17" t="s">
        <v>568</v>
      </c>
      <c r="E31" s="18">
        <v>94</v>
      </c>
      <c r="F31" s="19" t="s">
        <v>571</v>
      </c>
      <c r="G31" s="19" t="s">
        <v>572</v>
      </c>
      <c r="H31" s="19">
        <f>750*117/100</f>
        <v>877.5</v>
      </c>
      <c r="I31" s="19">
        <f>70*H31</f>
        <v>61425</v>
      </c>
      <c r="J31" s="17"/>
      <c r="K31" s="309" t="s">
        <v>426</v>
      </c>
      <c r="L31" s="319"/>
      <c r="M31" s="312">
        <v>1744000752</v>
      </c>
    </row>
    <row r="32" spans="1:13" ht="51" x14ac:dyDescent="0.2">
      <c r="A32" s="306"/>
      <c r="B32" s="308"/>
      <c r="C32" s="308"/>
      <c r="D32" s="7" t="s">
        <v>569</v>
      </c>
      <c r="E32" s="20">
        <v>84</v>
      </c>
      <c r="F32" s="21" t="s">
        <v>571</v>
      </c>
      <c r="G32" s="21" t="s">
        <v>572</v>
      </c>
      <c r="H32" s="21">
        <f>770*117/100</f>
        <v>900.9</v>
      </c>
      <c r="I32" s="21">
        <f t="shared" ref="I32:I34" si="0">70*H32</f>
        <v>63063</v>
      </c>
      <c r="J32" s="7"/>
      <c r="K32" s="310"/>
      <c r="L32" s="320"/>
      <c r="M32" s="313"/>
    </row>
    <row r="33" spans="1:13" ht="51" x14ac:dyDescent="0.2">
      <c r="A33" s="306"/>
      <c r="B33" s="308"/>
      <c r="C33" s="308"/>
      <c r="D33" s="7" t="s">
        <v>570</v>
      </c>
      <c r="E33" s="20">
        <v>74</v>
      </c>
      <c r="F33" s="21" t="s">
        <v>571</v>
      </c>
      <c r="G33" s="21" t="s">
        <v>572</v>
      </c>
      <c r="H33" s="21">
        <f>928*117/100</f>
        <v>1085.76</v>
      </c>
      <c r="I33" s="21">
        <f t="shared" si="0"/>
        <v>76003.199999999997</v>
      </c>
      <c r="J33" s="7"/>
      <c r="K33" s="310"/>
      <c r="L33" s="320"/>
      <c r="M33" s="313"/>
    </row>
    <row r="34" spans="1:13" ht="25.5" x14ac:dyDescent="0.2">
      <c r="A34" s="306"/>
      <c r="B34" s="308"/>
      <c r="C34" s="308"/>
      <c r="D34" s="7" t="s">
        <v>488</v>
      </c>
      <c r="E34" s="20">
        <v>64</v>
      </c>
      <c r="F34" s="21" t="s">
        <v>571</v>
      </c>
      <c r="G34" s="21" t="s">
        <v>572</v>
      </c>
      <c r="H34" s="21">
        <f>1260*117/100</f>
        <v>1474.2</v>
      </c>
      <c r="I34" s="21">
        <f t="shared" si="0"/>
        <v>103194</v>
      </c>
      <c r="J34" s="7"/>
      <c r="K34" s="310"/>
      <c r="L34" s="320"/>
      <c r="M34" s="313"/>
    </row>
    <row r="35" spans="1:13" ht="14.25" x14ac:dyDescent="0.2">
      <c r="A35" s="302"/>
      <c r="B35" s="303"/>
      <c r="C35" s="304"/>
      <c r="D35" s="304"/>
      <c r="E35" s="304"/>
      <c r="F35" s="304"/>
      <c r="G35" s="304"/>
      <c r="H35" s="304"/>
      <c r="I35" s="304"/>
      <c r="J35" s="304"/>
      <c r="K35" s="304"/>
      <c r="L35" s="304"/>
      <c r="M35" s="305"/>
    </row>
    <row r="36" spans="1:13" ht="15.75" x14ac:dyDescent="0.2">
      <c r="A36" s="298" t="s">
        <v>1252</v>
      </c>
      <c r="B36" s="299"/>
      <c r="C36" s="299"/>
      <c r="D36" s="299"/>
      <c r="E36" s="299"/>
      <c r="F36" s="299"/>
      <c r="G36" s="299"/>
      <c r="H36" s="299"/>
      <c r="I36" s="299"/>
      <c r="J36" s="299"/>
      <c r="K36" s="299"/>
      <c r="L36" s="299"/>
      <c r="M36" s="300"/>
    </row>
    <row r="37" spans="1:13" ht="63.75" x14ac:dyDescent="0.2">
      <c r="A37" s="301">
        <v>6</v>
      </c>
      <c r="B37" s="95" t="s">
        <v>576</v>
      </c>
      <c r="C37" s="95" t="s">
        <v>134</v>
      </c>
      <c r="D37" s="17" t="s">
        <v>450</v>
      </c>
      <c r="E37" s="18">
        <v>94</v>
      </c>
      <c r="F37" s="19" t="s">
        <v>29</v>
      </c>
      <c r="G37" s="19" t="s">
        <v>575</v>
      </c>
      <c r="H37" s="19">
        <f>322*117/100</f>
        <v>376.74</v>
      </c>
      <c r="I37" s="19">
        <f>150*H37</f>
        <v>56511</v>
      </c>
      <c r="J37" s="17"/>
      <c r="K37" s="92" t="s">
        <v>583</v>
      </c>
      <c r="L37" s="94"/>
      <c r="M37" s="93"/>
    </row>
    <row r="38" spans="1:13" ht="14.25" x14ac:dyDescent="0.2">
      <c r="A38" s="302"/>
      <c r="B38" s="303" t="s">
        <v>584</v>
      </c>
      <c r="C38" s="304"/>
      <c r="D38" s="304"/>
      <c r="E38" s="304"/>
      <c r="F38" s="304"/>
      <c r="G38" s="304"/>
      <c r="H38" s="304"/>
      <c r="I38" s="304"/>
      <c r="J38" s="304"/>
      <c r="K38" s="304"/>
      <c r="L38" s="304"/>
      <c r="M38" s="305"/>
    </row>
    <row r="39" spans="1:13" ht="15.75" x14ac:dyDescent="0.2">
      <c r="A39" s="298" t="s">
        <v>581</v>
      </c>
      <c r="B39" s="299"/>
      <c r="C39" s="299"/>
      <c r="D39" s="299"/>
      <c r="E39" s="299"/>
      <c r="F39" s="299"/>
      <c r="G39" s="299"/>
      <c r="H39" s="299"/>
      <c r="I39" s="299"/>
      <c r="J39" s="299"/>
      <c r="K39" s="299"/>
      <c r="L39" s="299"/>
      <c r="M39" s="300"/>
    </row>
    <row r="40" spans="1:13" ht="25.5" x14ac:dyDescent="0.2">
      <c r="A40" s="301">
        <v>7</v>
      </c>
      <c r="B40" s="307" t="s">
        <v>580</v>
      </c>
      <c r="C40" s="307" t="s">
        <v>210</v>
      </c>
      <c r="D40" s="7" t="s">
        <v>209</v>
      </c>
      <c r="E40" s="20">
        <v>88</v>
      </c>
      <c r="F40" s="21" t="s">
        <v>18</v>
      </c>
      <c r="G40" s="21" t="s">
        <v>18</v>
      </c>
      <c r="H40" s="21">
        <f>80000*117/100</f>
        <v>93600</v>
      </c>
      <c r="I40" s="21">
        <f>80000*117/100</f>
        <v>93600</v>
      </c>
      <c r="J40" s="7" t="s">
        <v>20</v>
      </c>
      <c r="K40" s="309" t="s">
        <v>426</v>
      </c>
      <c r="L40" s="319"/>
      <c r="M40" s="312" t="s">
        <v>586</v>
      </c>
    </row>
    <row r="41" spans="1:13" ht="51" x14ac:dyDescent="0.2">
      <c r="A41" s="306"/>
      <c r="B41" s="308"/>
      <c r="C41" s="308"/>
      <c r="D41" s="17" t="s">
        <v>577</v>
      </c>
      <c r="E41" s="18">
        <v>90</v>
      </c>
      <c r="F41" s="19" t="s">
        <v>18</v>
      </c>
      <c r="G41" s="19" t="s">
        <v>18</v>
      </c>
      <c r="H41" s="19">
        <f>110000*117/100</f>
        <v>128700</v>
      </c>
      <c r="I41" s="19">
        <f>110000*117/100</f>
        <v>128700</v>
      </c>
      <c r="J41" s="17" t="s">
        <v>20</v>
      </c>
      <c r="K41" s="310"/>
      <c r="L41" s="320"/>
      <c r="M41" s="313"/>
    </row>
    <row r="42" spans="1:13" ht="14.25" x14ac:dyDescent="0.2">
      <c r="A42" s="306"/>
      <c r="B42" s="308"/>
      <c r="C42" s="308"/>
      <c r="D42" s="7" t="s">
        <v>578</v>
      </c>
      <c r="E42" s="20">
        <v>74</v>
      </c>
      <c r="F42" s="21" t="s">
        <v>18</v>
      </c>
      <c r="G42" s="21" t="s">
        <v>18</v>
      </c>
      <c r="H42" s="21">
        <f>120000*117/100</f>
        <v>140400</v>
      </c>
      <c r="I42" s="21">
        <f>120000*117/100</f>
        <v>140400</v>
      </c>
      <c r="J42" s="7" t="s">
        <v>20</v>
      </c>
      <c r="K42" s="310"/>
      <c r="L42" s="320"/>
      <c r="M42" s="313"/>
    </row>
    <row r="43" spans="1:13" ht="38.25" x14ac:dyDescent="0.2">
      <c r="A43" s="306"/>
      <c r="B43" s="308"/>
      <c r="C43" s="308"/>
      <c r="D43" s="7" t="s">
        <v>579</v>
      </c>
      <c r="E43" s="20">
        <v>64</v>
      </c>
      <c r="F43" s="21" t="s">
        <v>18</v>
      </c>
      <c r="G43" s="21" t="s">
        <v>18</v>
      </c>
      <c r="H43" s="21">
        <f>123000*117/100</f>
        <v>143910</v>
      </c>
      <c r="I43" s="21">
        <f>123000*117/100</f>
        <v>143910</v>
      </c>
      <c r="J43" s="7" t="s">
        <v>20</v>
      </c>
      <c r="K43" s="310"/>
      <c r="L43" s="320"/>
      <c r="M43" s="313"/>
    </row>
    <row r="44" spans="1:13" ht="14.25" x14ac:dyDescent="0.2">
      <c r="A44" s="302"/>
      <c r="B44" s="303"/>
      <c r="C44" s="304"/>
      <c r="D44" s="304"/>
      <c r="E44" s="304"/>
      <c r="F44" s="304"/>
      <c r="G44" s="304"/>
      <c r="H44" s="304"/>
      <c r="I44" s="304"/>
      <c r="J44" s="304"/>
      <c r="K44" s="304"/>
      <c r="L44" s="304"/>
      <c r="M44" s="305"/>
    </row>
  </sheetData>
  <mergeCells count="51">
    <mergeCell ref="M31:M34"/>
    <mergeCell ref="B35:M35"/>
    <mergeCell ref="A27:M27"/>
    <mergeCell ref="A28:A29"/>
    <mergeCell ref="B29:M29"/>
    <mergeCell ref="A30:M30"/>
    <mergeCell ref="A31:A35"/>
    <mergeCell ref="B31:B34"/>
    <mergeCell ref="C31:C34"/>
    <mergeCell ref="K31:K34"/>
    <mergeCell ref="L31:L34"/>
    <mergeCell ref="L22:L25"/>
    <mergeCell ref="M22:M25"/>
    <mergeCell ref="B26:M26"/>
    <mergeCell ref="A14:A20"/>
    <mergeCell ref="B14:B19"/>
    <mergeCell ref="C14:C19"/>
    <mergeCell ref="K14:K19"/>
    <mergeCell ref="L14:L19"/>
    <mergeCell ref="M14:M19"/>
    <mergeCell ref="A6:M6"/>
    <mergeCell ref="A1:A5"/>
    <mergeCell ref="B1:M1"/>
    <mergeCell ref="B2:M2"/>
    <mergeCell ref="B3:M3"/>
    <mergeCell ref="B4:M4"/>
    <mergeCell ref="A13:M13"/>
    <mergeCell ref="A21:M21"/>
    <mergeCell ref="A36:M36"/>
    <mergeCell ref="A37:A38"/>
    <mergeCell ref="C7:C11"/>
    <mergeCell ref="B7:B11"/>
    <mergeCell ref="A7:A12"/>
    <mergeCell ref="B12:M12"/>
    <mergeCell ref="K7:K11"/>
    <mergeCell ref="M7:M11"/>
    <mergeCell ref="L7:L11"/>
    <mergeCell ref="B20:M20"/>
    <mergeCell ref="A22:A26"/>
    <mergeCell ref="B22:B25"/>
    <mergeCell ref="C22:C25"/>
    <mergeCell ref="K22:K25"/>
    <mergeCell ref="B38:M38"/>
    <mergeCell ref="A39:M39"/>
    <mergeCell ref="A40:A44"/>
    <mergeCell ref="B40:B43"/>
    <mergeCell ref="C40:C43"/>
    <mergeCell ref="K40:K43"/>
    <mergeCell ref="L40:L43"/>
    <mergeCell ref="M40:M43"/>
    <mergeCell ref="B44:M44"/>
  </mergeCells>
  <pageMargins left="0.7" right="0.7" top="0.75" bottom="0.75" header="0.3" footer="0.3"/>
  <pageSetup paperSize="9" scale="7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rightToLeft="1" zoomScale="85" zoomScaleNormal="85" workbookViewId="0">
      <pane ySplit="5" topLeftCell="A6" activePane="bottomLeft" state="frozen"/>
      <selection pane="bottomLeft" activeCell="G27" sqref="G27"/>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545</v>
      </c>
      <c r="C1" s="315"/>
      <c r="D1" s="315"/>
      <c r="E1" s="315"/>
      <c r="F1" s="315"/>
      <c r="G1" s="315"/>
      <c r="H1" s="315"/>
      <c r="I1" s="315"/>
      <c r="J1" s="315"/>
      <c r="K1" s="315"/>
      <c r="L1" s="315"/>
      <c r="M1" s="315"/>
    </row>
    <row r="2" spans="1:13" ht="14.25" x14ac:dyDescent="0.2">
      <c r="A2" s="314"/>
      <c r="B2" s="346" t="s">
        <v>457</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308</v>
      </c>
      <c r="C4" s="318"/>
      <c r="D4" s="318"/>
      <c r="E4" s="318"/>
      <c r="F4" s="318"/>
      <c r="G4" s="318"/>
      <c r="H4" s="318"/>
      <c r="I4" s="318"/>
      <c r="J4" s="318"/>
      <c r="K4" s="318"/>
      <c r="L4" s="318"/>
      <c r="M4" s="318"/>
    </row>
    <row r="5" spans="1:13" ht="47.25" x14ac:dyDescent="0.2">
      <c r="A5" s="314"/>
      <c r="B5" s="105" t="s">
        <v>2</v>
      </c>
      <c r="C5" s="2" t="s">
        <v>3</v>
      </c>
      <c r="D5" s="3" t="s">
        <v>4</v>
      </c>
      <c r="E5" s="3" t="s">
        <v>5</v>
      </c>
      <c r="F5" s="3" t="s">
        <v>6</v>
      </c>
      <c r="G5" s="3" t="s">
        <v>7</v>
      </c>
      <c r="H5" s="4" t="s">
        <v>8</v>
      </c>
      <c r="I5" s="5" t="s">
        <v>9</v>
      </c>
      <c r="J5" s="3" t="s">
        <v>10</v>
      </c>
      <c r="K5" s="3" t="s">
        <v>11</v>
      </c>
      <c r="L5" s="6" t="s">
        <v>12</v>
      </c>
      <c r="M5" s="3" t="s">
        <v>13</v>
      </c>
    </row>
    <row r="6" spans="1:13" ht="15.75" x14ac:dyDescent="0.2">
      <c r="A6" s="298" t="s">
        <v>494</v>
      </c>
      <c r="B6" s="299"/>
      <c r="C6" s="299"/>
      <c r="D6" s="299"/>
      <c r="E6" s="299"/>
      <c r="F6" s="299"/>
      <c r="G6" s="299"/>
      <c r="H6" s="299"/>
      <c r="I6" s="299"/>
      <c r="J6" s="299"/>
      <c r="K6" s="299"/>
      <c r="L6" s="299"/>
      <c r="M6" s="300"/>
    </row>
    <row r="7" spans="1:13" ht="78.75" x14ac:dyDescent="0.2">
      <c r="A7" s="301">
        <v>9</v>
      </c>
      <c r="B7" s="102" t="s">
        <v>504</v>
      </c>
      <c r="C7" s="102" t="s">
        <v>506</v>
      </c>
      <c r="D7" s="17" t="s">
        <v>95</v>
      </c>
      <c r="E7" s="18">
        <v>100</v>
      </c>
      <c r="F7" s="19" t="s">
        <v>68</v>
      </c>
      <c r="G7" s="19" t="s">
        <v>610</v>
      </c>
      <c r="H7" s="19">
        <v>25000</v>
      </c>
      <c r="I7" s="19">
        <f>3*H7</f>
        <v>75000</v>
      </c>
      <c r="J7" s="17" t="s">
        <v>20</v>
      </c>
      <c r="K7" s="103" t="s">
        <v>534</v>
      </c>
      <c r="L7" s="104"/>
      <c r="M7" s="101"/>
    </row>
    <row r="8" spans="1:13" ht="13.9" customHeight="1" x14ac:dyDescent="0.2">
      <c r="A8" s="302"/>
      <c r="B8" s="303" t="s">
        <v>527</v>
      </c>
      <c r="C8" s="304"/>
      <c r="D8" s="304"/>
      <c r="E8" s="304"/>
      <c r="F8" s="304"/>
      <c r="G8" s="304"/>
      <c r="H8" s="304"/>
      <c r="I8" s="304"/>
      <c r="J8" s="304"/>
      <c r="K8" s="304"/>
      <c r="L8" s="304"/>
      <c r="M8" s="305"/>
    </row>
  </sheetData>
  <mergeCells count="8">
    <mergeCell ref="A6:M6"/>
    <mergeCell ref="A7:A8"/>
    <mergeCell ref="B8:M8"/>
    <mergeCell ref="A1:A5"/>
    <mergeCell ref="B1:M1"/>
    <mergeCell ref="B2:M2"/>
    <mergeCell ref="B3:M3"/>
    <mergeCell ref="B4:M4"/>
  </mergeCells>
  <pageMargins left="0.7" right="0.7" top="0.75" bottom="0.75" header="0.3" footer="0.3"/>
  <pageSetup paperSize="9" scale="7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9"/>
  <sheetViews>
    <sheetView rightToLeft="1" zoomScale="85" zoomScaleNormal="85" workbookViewId="0">
      <pane ySplit="5" topLeftCell="A72" activePane="bottomLeft" state="frozen"/>
      <selection pane="bottomLeft" activeCell="C85" sqref="C85:C88"/>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545</v>
      </c>
      <c r="C1" s="315"/>
      <c r="D1" s="315"/>
      <c r="E1" s="315"/>
      <c r="F1" s="315"/>
      <c r="G1" s="315"/>
      <c r="H1" s="315"/>
      <c r="I1" s="315"/>
      <c r="J1" s="315"/>
      <c r="K1" s="315"/>
      <c r="L1" s="315"/>
      <c r="M1" s="315"/>
    </row>
    <row r="2" spans="1:13" ht="14.25" x14ac:dyDescent="0.2">
      <c r="A2" s="314"/>
      <c r="B2" s="346" t="s">
        <v>457</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308</v>
      </c>
      <c r="C4" s="318"/>
      <c r="D4" s="318"/>
      <c r="E4" s="318"/>
      <c r="F4" s="318"/>
      <c r="G4" s="318"/>
      <c r="H4" s="318"/>
      <c r="I4" s="318"/>
      <c r="J4" s="318"/>
      <c r="K4" s="318"/>
      <c r="L4" s="318"/>
      <c r="M4" s="318"/>
    </row>
    <row r="5" spans="1:13" ht="47.25" x14ac:dyDescent="0.2">
      <c r="A5" s="314"/>
      <c r="B5" s="74" t="s">
        <v>2</v>
      </c>
      <c r="C5" s="2" t="s">
        <v>3</v>
      </c>
      <c r="D5" s="3" t="s">
        <v>4</v>
      </c>
      <c r="E5" s="3" t="s">
        <v>5</v>
      </c>
      <c r="F5" s="3" t="s">
        <v>6</v>
      </c>
      <c r="G5" s="3" t="s">
        <v>7</v>
      </c>
      <c r="H5" s="4" t="s">
        <v>8</v>
      </c>
      <c r="I5" s="5" t="s">
        <v>9</v>
      </c>
      <c r="J5" s="3" t="s">
        <v>10</v>
      </c>
      <c r="K5" s="3" t="s">
        <v>11</v>
      </c>
      <c r="L5" s="6" t="s">
        <v>12</v>
      </c>
      <c r="M5" s="3" t="s">
        <v>13</v>
      </c>
    </row>
    <row r="6" spans="1:13" ht="15.75" x14ac:dyDescent="0.2">
      <c r="A6" s="298" t="s">
        <v>472</v>
      </c>
      <c r="B6" s="299"/>
      <c r="C6" s="299"/>
      <c r="D6" s="299"/>
      <c r="E6" s="299"/>
      <c r="F6" s="299"/>
      <c r="G6" s="299"/>
      <c r="H6" s="299"/>
      <c r="I6" s="299"/>
      <c r="J6" s="299"/>
      <c r="K6" s="299"/>
      <c r="L6" s="299"/>
      <c r="M6" s="300"/>
    </row>
    <row r="7" spans="1:13" ht="26.45" customHeight="1" x14ac:dyDescent="0.2">
      <c r="A7" s="301">
        <v>1</v>
      </c>
      <c r="B7" s="307" t="s">
        <v>470</v>
      </c>
      <c r="C7" s="307" t="s">
        <v>146</v>
      </c>
      <c r="D7" s="17" t="s">
        <v>32</v>
      </c>
      <c r="E7" s="18">
        <v>100</v>
      </c>
      <c r="F7" s="19" t="s">
        <v>18</v>
      </c>
      <c r="G7" s="19" t="s">
        <v>18</v>
      </c>
      <c r="H7" s="19">
        <f>5850*117/100</f>
        <v>6844.5</v>
      </c>
      <c r="I7" s="19">
        <f>5850*117/100</f>
        <v>6844.5</v>
      </c>
      <c r="J7" s="17" t="s">
        <v>20</v>
      </c>
      <c r="K7" s="309" t="s">
        <v>426</v>
      </c>
      <c r="L7" s="319"/>
      <c r="M7" s="312">
        <v>224001</v>
      </c>
    </row>
    <row r="8" spans="1:13" ht="25.5" x14ac:dyDescent="0.2">
      <c r="A8" s="306"/>
      <c r="B8" s="308"/>
      <c r="C8" s="308"/>
      <c r="D8" s="7" t="s">
        <v>471</v>
      </c>
      <c r="E8" s="20">
        <v>90</v>
      </c>
      <c r="F8" s="21" t="s">
        <v>18</v>
      </c>
      <c r="G8" s="21" t="s">
        <v>18</v>
      </c>
      <c r="H8" s="21">
        <f>8500*117/100</f>
        <v>9945</v>
      </c>
      <c r="I8" s="21">
        <f>8500*117/100</f>
        <v>9945</v>
      </c>
      <c r="J8" s="7" t="s">
        <v>20</v>
      </c>
      <c r="K8" s="310"/>
      <c r="L8" s="320"/>
      <c r="M8" s="313"/>
    </row>
    <row r="9" spans="1:13" ht="25.5" x14ac:dyDescent="0.2">
      <c r="A9" s="306"/>
      <c r="B9" s="308"/>
      <c r="C9" s="308"/>
      <c r="D9" s="7" t="s">
        <v>355</v>
      </c>
      <c r="E9" s="20">
        <v>80</v>
      </c>
      <c r="F9" s="21" t="s">
        <v>18</v>
      </c>
      <c r="G9" s="21" t="s">
        <v>18</v>
      </c>
      <c r="H9" s="21">
        <f>20000*117/100</f>
        <v>23400</v>
      </c>
      <c r="I9" s="21">
        <f>20000*117/100</f>
        <v>23400</v>
      </c>
      <c r="J9" s="7" t="s">
        <v>20</v>
      </c>
      <c r="K9" s="310"/>
      <c r="L9" s="320"/>
      <c r="M9" s="313"/>
    </row>
    <row r="10" spans="1:13" ht="38.25" x14ac:dyDescent="0.2">
      <c r="A10" s="306"/>
      <c r="B10" s="328"/>
      <c r="C10" s="328"/>
      <c r="D10" s="7" t="s">
        <v>33</v>
      </c>
      <c r="E10" s="20">
        <v>70</v>
      </c>
      <c r="F10" s="21" t="s">
        <v>18</v>
      </c>
      <c r="G10" s="21" t="s">
        <v>18</v>
      </c>
      <c r="H10" s="21">
        <f>26730*117/100</f>
        <v>31274.1</v>
      </c>
      <c r="I10" s="21">
        <f>26730*117/100</f>
        <v>31274.1</v>
      </c>
      <c r="J10" s="7" t="s">
        <v>20</v>
      </c>
      <c r="K10" s="323"/>
      <c r="L10" s="332"/>
      <c r="M10" s="327"/>
    </row>
    <row r="11" spans="1:13" ht="13.9" customHeight="1" x14ac:dyDescent="0.2">
      <c r="A11" s="302"/>
      <c r="B11" s="303"/>
      <c r="C11" s="304"/>
      <c r="D11" s="304"/>
      <c r="E11" s="304"/>
      <c r="F11" s="304"/>
      <c r="G11" s="304"/>
      <c r="H11" s="304"/>
      <c r="I11" s="304"/>
      <c r="J11" s="304"/>
      <c r="K11" s="304"/>
      <c r="L11" s="304"/>
      <c r="M11" s="305"/>
    </row>
    <row r="12" spans="1:13" ht="15.75" x14ac:dyDescent="0.2">
      <c r="A12" s="298" t="s">
        <v>473</v>
      </c>
      <c r="B12" s="299"/>
      <c r="C12" s="299"/>
      <c r="D12" s="299"/>
      <c r="E12" s="299"/>
      <c r="F12" s="299"/>
      <c r="G12" s="299"/>
      <c r="H12" s="299"/>
      <c r="I12" s="299"/>
      <c r="J12" s="299"/>
      <c r="K12" s="299"/>
      <c r="L12" s="299"/>
      <c r="M12" s="300"/>
    </row>
    <row r="13" spans="1:13" ht="26.45" customHeight="1" x14ac:dyDescent="0.2">
      <c r="A13" s="301">
        <v>2</v>
      </c>
      <c r="B13" s="307" t="s">
        <v>474</v>
      </c>
      <c r="C13" s="307" t="s">
        <v>146</v>
      </c>
      <c r="D13" s="17" t="s">
        <v>32</v>
      </c>
      <c r="E13" s="18">
        <v>100</v>
      </c>
      <c r="F13" s="19" t="s">
        <v>18</v>
      </c>
      <c r="G13" s="19" t="s">
        <v>18</v>
      </c>
      <c r="H13" s="19">
        <f>12680*117/100</f>
        <v>14835.6</v>
      </c>
      <c r="I13" s="19">
        <f>12680*117/100</f>
        <v>14835.6</v>
      </c>
      <c r="J13" s="17" t="s">
        <v>20</v>
      </c>
      <c r="K13" s="309" t="s">
        <v>426</v>
      </c>
      <c r="L13" s="319"/>
      <c r="M13" s="312">
        <v>53008</v>
      </c>
    </row>
    <row r="14" spans="1:13" ht="25.5" x14ac:dyDescent="0.2">
      <c r="A14" s="306"/>
      <c r="B14" s="308"/>
      <c r="C14" s="308"/>
      <c r="D14" s="7" t="s">
        <v>471</v>
      </c>
      <c r="E14" s="20">
        <v>90</v>
      </c>
      <c r="F14" s="21" t="s">
        <v>18</v>
      </c>
      <c r="G14" s="21" t="s">
        <v>18</v>
      </c>
      <c r="H14" s="21">
        <f>17500*117/100</f>
        <v>20475</v>
      </c>
      <c r="I14" s="21">
        <f>17500*117/100</f>
        <v>20475</v>
      </c>
      <c r="J14" s="7" t="s">
        <v>20</v>
      </c>
      <c r="K14" s="310"/>
      <c r="L14" s="320"/>
      <c r="M14" s="313"/>
    </row>
    <row r="15" spans="1:13" ht="38.25" x14ac:dyDescent="0.2">
      <c r="A15" s="306"/>
      <c r="B15" s="308"/>
      <c r="C15" s="308"/>
      <c r="D15" s="7" t="s">
        <v>33</v>
      </c>
      <c r="E15" s="20">
        <v>80</v>
      </c>
      <c r="F15" s="21" t="s">
        <v>18</v>
      </c>
      <c r="G15" s="21" t="s">
        <v>18</v>
      </c>
      <c r="H15" s="21">
        <f>41895*117/100</f>
        <v>49017.15</v>
      </c>
      <c r="I15" s="21">
        <f>41895*117/100</f>
        <v>49017.15</v>
      </c>
      <c r="J15" s="7" t="s">
        <v>20</v>
      </c>
      <c r="K15" s="310"/>
      <c r="L15" s="320"/>
      <c r="M15" s="313"/>
    </row>
    <row r="16" spans="1:13" ht="25.5" x14ac:dyDescent="0.2">
      <c r="A16" s="306"/>
      <c r="B16" s="328"/>
      <c r="C16" s="328"/>
      <c r="D16" s="7" t="s">
        <v>355</v>
      </c>
      <c r="E16" s="20">
        <v>70</v>
      </c>
      <c r="F16" s="21" t="s">
        <v>18</v>
      </c>
      <c r="G16" s="21" t="s">
        <v>18</v>
      </c>
      <c r="H16" s="21">
        <f>50000*117/100</f>
        <v>58500</v>
      </c>
      <c r="I16" s="21">
        <f>50000*117/100</f>
        <v>58500</v>
      </c>
      <c r="J16" s="7" t="s">
        <v>20</v>
      </c>
      <c r="K16" s="323"/>
      <c r="L16" s="332"/>
      <c r="M16" s="327"/>
    </row>
    <row r="17" spans="1:13" ht="13.9" customHeight="1" x14ac:dyDescent="0.2">
      <c r="A17" s="302"/>
      <c r="B17" s="303"/>
      <c r="C17" s="304"/>
      <c r="D17" s="304"/>
      <c r="E17" s="304"/>
      <c r="F17" s="304"/>
      <c r="G17" s="304"/>
      <c r="H17" s="304"/>
      <c r="I17" s="304"/>
      <c r="J17" s="304"/>
      <c r="K17" s="304"/>
      <c r="L17" s="304"/>
      <c r="M17" s="305"/>
    </row>
    <row r="18" spans="1:13" ht="15.75" x14ac:dyDescent="0.2">
      <c r="A18" s="298" t="s">
        <v>475</v>
      </c>
      <c r="B18" s="299"/>
      <c r="C18" s="299"/>
      <c r="D18" s="299"/>
      <c r="E18" s="299"/>
      <c r="F18" s="299"/>
      <c r="G18" s="299"/>
      <c r="H18" s="299"/>
      <c r="I18" s="299"/>
      <c r="J18" s="299"/>
      <c r="K18" s="299"/>
      <c r="L18" s="299"/>
      <c r="M18" s="300"/>
    </row>
    <row r="19" spans="1:13" ht="26.45" customHeight="1" x14ac:dyDescent="0.2">
      <c r="A19" s="301">
        <v>3</v>
      </c>
      <c r="B19" s="307" t="s">
        <v>479</v>
      </c>
      <c r="C19" s="307" t="s">
        <v>146</v>
      </c>
      <c r="D19" s="17" t="s">
        <v>32</v>
      </c>
      <c r="E19" s="18">
        <v>100</v>
      </c>
      <c r="F19" s="19" t="s">
        <v>18</v>
      </c>
      <c r="G19" s="19" t="s">
        <v>18</v>
      </c>
      <c r="H19" s="19">
        <f>4500*117/100</f>
        <v>5265</v>
      </c>
      <c r="I19" s="19">
        <f>4500*117/100</f>
        <v>5265</v>
      </c>
      <c r="J19" s="17" t="s">
        <v>20</v>
      </c>
      <c r="K19" s="309" t="s">
        <v>426</v>
      </c>
      <c r="L19" s="319"/>
      <c r="M19" s="312">
        <v>224001</v>
      </c>
    </row>
    <row r="20" spans="1:13" ht="25.5" x14ac:dyDescent="0.2">
      <c r="A20" s="306"/>
      <c r="B20" s="308"/>
      <c r="C20" s="308"/>
      <c r="D20" s="7" t="s">
        <v>471</v>
      </c>
      <c r="E20" s="20">
        <v>90</v>
      </c>
      <c r="F20" s="21" t="s">
        <v>18</v>
      </c>
      <c r="G20" s="21" t="s">
        <v>18</v>
      </c>
      <c r="H20" s="21">
        <f>6500*117/100</f>
        <v>7605</v>
      </c>
      <c r="I20" s="21">
        <f>6500*117/100</f>
        <v>7605</v>
      </c>
      <c r="J20" s="7" t="s">
        <v>20</v>
      </c>
      <c r="K20" s="310"/>
      <c r="L20" s="320"/>
      <c r="M20" s="313"/>
    </row>
    <row r="21" spans="1:13" ht="25.5" x14ac:dyDescent="0.2">
      <c r="A21" s="306"/>
      <c r="B21" s="308"/>
      <c r="C21" s="308"/>
      <c r="D21" s="7" t="s">
        <v>355</v>
      </c>
      <c r="E21" s="20">
        <v>80</v>
      </c>
      <c r="F21" s="21" t="s">
        <v>18</v>
      </c>
      <c r="G21" s="21" t="s">
        <v>18</v>
      </c>
      <c r="H21" s="21">
        <f>15000*117/100</f>
        <v>17550</v>
      </c>
      <c r="I21" s="21">
        <f>15000*117/100</f>
        <v>17550</v>
      </c>
      <c r="J21" s="7" t="s">
        <v>20</v>
      </c>
      <c r="K21" s="310"/>
      <c r="L21" s="320"/>
      <c r="M21" s="313"/>
    </row>
    <row r="22" spans="1:13" ht="38.25" x14ac:dyDescent="0.2">
      <c r="A22" s="306"/>
      <c r="B22" s="328"/>
      <c r="C22" s="328"/>
      <c r="D22" s="7" t="s">
        <v>33</v>
      </c>
      <c r="E22" s="20">
        <v>70</v>
      </c>
      <c r="F22" s="21" t="s">
        <v>18</v>
      </c>
      <c r="G22" s="21" t="s">
        <v>18</v>
      </c>
      <c r="H22" s="21">
        <f>26730*117/100</f>
        <v>31274.1</v>
      </c>
      <c r="I22" s="21">
        <f>26730*117/100</f>
        <v>31274.1</v>
      </c>
      <c r="J22" s="7" t="s">
        <v>20</v>
      </c>
      <c r="K22" s="323"/>
      <c r="L22" s="332"/>
      <c r="M22" s="327"/>
    </row>
    <row r="23" spans="1:13" ht="13.9" customHeight="1" x14ac:dyDescent="0.2">
      <c r="A23" s="302"/>
      <c r="B23" s="303"/>
      <c r="C23" s="304"/>
      <c r="D23" s="304"/>
      <c r="E23" s="304"/>
      <c r="F23" s="304"/>
      <c r="G23" s="304"/>
      <c r="H23" s="304"/>
      <c r="I23" s="304"/>
      <c r="J23" s="304"/>
      <c r="K23" s="304"/>
      <c r="L23" s="304"/>
      <c r="M23" s="305"/>
    </row>
    <row r="24" spans="1:13" ht="15.75" x14ac:dyDescent="0.2">
      <c r="A24" s="298" t="s">
        <v>476</v>
      </c>
      <c r="B24" s="299"/>
      <c r="C24" s="299"/>
      <c r="D24" s="299"/>
      <c r="E24" s="299"/>
      <c r="F24" s="299"/>
      <c r="G24" s="299"/>
      <c r="H24" s="299"/>
      <c r="I24" s="299"/>
      <c r="J24" s="299"/>
      <c r="K24" s="299"/>
      <c r="L24" s="299"/>
      <c r="M24" s="300"/>
    </row>
    <row r="25" spans="1:13" ht="26.45" customHeight="1" x14ac:dyDescent="0.2">
      <c r="A25" s="301">
        <v>4</v>
      </c>
      <c r="B25" s="307" t="s">
        <v>480</v>
      </c>
      <c r="C25" s="307" t="s">
        <v>52</v>
      </c>
      <c r="D25" s="17" t="s">
        <v>32</v>
      </c>
      <c r="E25" s="18">
        <v>100</v>
      </c>
      <c r="F25" s="19" t="s">
        <v>29</v>
      </c>
      <c r="G25" s="19" t="s">
        <v>483</v>
      </c>
      <c r="H25" s="19">
        <f>180*117/100</f>
        <v>210.6</v>
      </c>
      <c r="I25" s="19">
        <f>350*H25</f>
        <v>73710</v>
      </c>
      <c r="J25" s="17" t="s">
        <v>20</v>
      </c>
      <c r="K25" s="309" t="s">
        <v>538</v>
      </c>
      <c r="L25" s="319"/>
      <c r="M25" s="312" t="s">
        <v>503</v>
      </c>
    </row>
    <row r="26" spans="1:13" ht="25.5" x14ac:dyDescent="0.2">
      <c r="A26" s="306"/>
      <c r="B26" s="308"/>
      <c r="C26" s="308"/>
      <c r="D26" s="17" t="s">
        <v>290</v>
      </c>
      <c r="E26" s="18">
        <v>94</v>
      </c>
      <c r="F26" s="19" t="s">
        <v>29</v>
      </c>
      <c r="G26" s="19" t="s">
        <v>484</v>
      </c>
      <c r="H26" s="19">
        <f>180*117/100</f>
        <v>210.6</v>
      </c>
      <c r="I26" s="19">
        <f t="shared" ref="I26:I28" si="0">350*H26</f>
        <v>73710</v>
      </c>
      <c r="J26" s="17" t="s">
        <v>20</v>
      </c>
      <c r="K26" s="310"/>
      <c r="L26" s="320"/>
      <c r="M26" s="313"/>
    </row>
    <row r="27" spans="1:13" ht="25.5" x14ac:dyDescent="0.2">
      <c r="A27" s="306"/>
      <c r="B27" s="308"/>
      <c r="C27" s="308"/>
      <c r="D27" s="7" t="s">
        <v>481</v>
      </c>
      <c r="E27" s="20">
        <v>90</v>
      </c>
      <c r="F27" s="21" t="s">
        <v>29</v>
      </c>
      <c r="G27" s="21" t="s">
        <v>484</v>
      </c>
      <c r="H27" s="21">
        <f>192*117/100</f>
        <v>224.64</v>
      </c>
      <c r="I27" s="21">
        <f t="shared" si="0"/>
        <v>78624</v>
      </c>
      <c r="J27" s="7" t="s">
        <v>20</v>
      </c>
      <c r="K27" s="310"/>
      <c r="L27" s="320"/>
      <c r="M27" s="313"/>
    </row>
    <row r="28" spans="1:13" ht="25.5" x14ac:dyDescent="0.2">
      <c r="A28" s="306"/>
      <c r="B28" s="328"/>
      <c r="C28" s="328"/>
      <c r="D28" s="7" t="s">
        <v>482</v>
      </c>
      <c r="E28" s="20">
        <v>80</v>
      </c>
      <c r="F28" s="21" t="s">
        <v>29</v>
      </c>
      <c r="G28" s="21" t="s">
        <v>484</v>
      </c>
      <c r="H28" s="21">
        <f>220*117/100</f>
        <v>257.39999999999998</v>
      </c>
      <c r="I28" s="21">
        <f t="shared" si="0"/>
        <v>90089.999999999985</v>
      </c>
      <c r="J28" s="7" t="s">
        <v>20</v>
      </c>
      <c r="K28" s="323"/>
      <c r="L28" s="332"/>
      <c r="M28" s="327"/>
    </row>
    <row r="29" spans="1:13" ht="13.9" customHeight="1" x14ac:dyDescent="0.2">
      <c r="A29" s="302"/>
      <c r="B29" s="303"/>
      <c r="C29" s="304"/>
      <c r="D29" s="304"/>
      <c r="E29" s="304"/>
      <c r="F29" s="304"/>
      <c r="G29" s="304"/>
      <c r="H29" s="304"/>
      <c r="I29" s="304"/>
      <c r="J29" s="304"/>
      <c r="K29" s="304"/>
      <c r="L29" s="304"/>
      <c r="M29" s="305"/>
    </row>
    <row r="30" spans="1:13" ht="15.75" x14ac:dyDescent="0.2">
      <c r="A30" s="298" t="s">
        <v>477</v>
      </c>
      <c r="B30" s="299"/>
      <c r="C30" s="299"/>
      <c r="D30" s="299"/>
      <c r="E30" s="299"/>
      <c r="F30" s="299"/>
      <c r="G30" s="299"/>
      <c r="H30" s="299"/>
      <c r="I30" s="299"/>
      <c r="J30" s="299"/>
      <c r="K30" s="299"/>
      <c r="L30" s="299"/>
      <c r="M30" s="300"/>
    </row>
    <row r="31" spans="1:13" ht="34.9" customHeight="1" x14ac:dyDescent="0.2">
      <c r="A31" s="301">
        <v>5</v>
      </c>
      <c r="B31" s="307" t="s">
        <v>485</v>
      </c>
      <c r="C31" s="307" t="s">
        <v>52</v>
      </c>
      <c r="D31" s="17" t="s">
        <v>756</v>
      </c>
      <c r="E31" s="18">
        <v>100</v>
      </c>
      <c r="F31" s="19" t="s">
        <v>29</v>
      </c>
      <c r="G31" s="19" t="s">
        <v>128</v>
      </c>
      <c r="H31" s="19">
        <f>130*117/100</f>
        <v>152.1</v>
      </c>
      <c r="I31" s="19">
        <f>300*H31</f>
        <v>45630</v>
      </c>
      <c r="J31" s="17" t="s">
        <v>20</v>
      </c>
      <c r="K31" s="309" t="s">
        <v>426</v>
      </c>
      <c r="L31" s="319"/>
      <c r="M31" s="312" t="s">
        <v>502</v>
      </c>
    </row>
    <row r="32" spans="1:13" ht="25.5" x14ac:dyDescent="0.2">
      <c r="A32" s="306"/>
      <c r="B32" s="308"/>
      <c r="C32" s="308"/>
      <c r="D32" s="7" t="s">
        <v>486</v>
      </c>
      <c r="E32" s="20">
        <v>90</v>
      </c>
      <c r="F32" s="21" t="s">
        <v>29</v>
      </c>
      <c r="G32" s="21" t="s">
        <v>128</v>
      </c>
      <c r="H32" s="21">
        <f>180*117/100</f>
        <v>210.6</v>
      </c>
      <c r="I32" s="21">
        <f>300*H32</f>
        <v>63180</v>
      </c>
      <c r="J32" s="7" t="s">
        <v>20</v>
      </c>
      <c r="K32" s="310"/>
      <c r="L32" s="320"/>
      <c r="M32" s="313"/>
    </row>
    <row r="33" spans="1:13" ht="25.5" x14ac:dyDescent="0.2">
      <c r="A33" s="306"/>
      <c r="B33" s="308"/>
      <c r="C33" s="308"/>
      <c r="D33" s="7" t="s">
        <v>487</v>
      </c>
      <c r="E33" s="20">
        <v>80</v>
      </c>
      <c r="F33" s="21" t="s">
        <v>29</v>
      </c>
      <c r="G33" s="21" t="s">
        <v>128</v>
      </c>
      <c r="H33" s="21">
        <f>271*117/100</f>
        <v>317.07</v>
      </c>
      <c r="I33" s="21">
        <f t="shared" ref="I33:I34" si="1">300*H33</f>
        <v>95121</v>
      </c>
      <c r="J33" s="7" t="s">
        <v>20</v>
      </c>
      <c r="K33" s="310"/>
      <c r="L33" s="320"/>
      <c r="M33" s="313"/>
    </row>
    <row r="34" spans="1:13" ht="13.9" customHeight="1" x14ac:dyDescent="0.2">
      <c r="A34" s="306"/>
      <c r="B34" s="328"/>
      <c r="C34" s="328"/>
      <c r="D34" s="7" t="s">
        <v>488</v>
      </c>
      <c r="E34" s="20">
        <v>70</v>
      </c>
      <c r="F34" s="21" t="s">
        <v>29</v>
      </c>
      <c r="G34" s="21" t="s">
        <v>128</v>
      </c>
      <c r="H34" s="21">
        <f>294*117/100</f>
        <v>343.98</v>
      </c>
      <c r="I34" s="21">
        <f t="shared" si="1"/>
        <v>103194</v>
      </c>
      <c r="J34" s="7" t="s">
        <v>20</v>
      </c>
      <c r="K34" s="323"/>
      <c r="L34" s="332"/>
      <c r="M34" s="327"/>
    </row>
    <row r="35" spans="1:13" ht="13.9" customHeight="1" x14ac:dyDescent="0.2">
      <c r="A35" s="302"/>
      <c r="B35" s="303"/>
      <c r="C35" s="304"/>
      <c r="D35" s="304"/>
      <c r="E35" s="304"/>
      <c r="F35" s="304"/>
      <c r="G35" s="304"/>
      <c r="H35" s="304"/>
      <c r="I35" s="304"/>
      <c r="J35" s="304"/>
      <c r="K35" s="304"/>
      <c r="L35" s="304"/>
      <c r="M35" s="305"/>
    </row>
    <row r="36" spans="1:13" ht="15.75" x14ac:dyDescent="0.2">
      <c r="A36" s="298" t="s">
        <v>478</v>
      </c>
      <c r="B36" s="299"/>
      <c r="C36" s="299"/>
      <c r="D36" s="299"/>
      <c r="E36" s="299"/>
      <c r="F36" s="299"/>
      <c r="G36" s="299"/>
      <c r="H36" s="299"/>
      <c r="I36" s="299"/>
      <c r="J36" s="299"/>
      <c r="K36" s="299"/>
      <c r="L36" s="299"/>
      <c r="M36" s="300"/>
    </row>
    <row r="37" spans="1:13" ht="13.9" customHeight="1" x14ac:dyDescent="0.2">
      <c r="A37" s="301">
        <v>6</v>
      </c>
      <c r="B37" s="307" t="s">
        <v>489</v>
      </c>
      <c r="C37" s="307" t="s">
        <v>52</v>
      </c>
      <c r="D37" s="17" t="s">
        <v>162</v>
      </c>
      <c r="E37" s="18">
        <v>100</v>
      </c>
      <c r="F37" s="19" t="s">
        <v>18</v>
      </c>
      <c r="G37" s="19" t="s">
        <v>18</v>
      </c>
      <c r="H37" s="19">
        <f>17000*117/100</f>
        <v>19890</v>
      </c>
      <c r="I37" s="19">
        <f>17000*117/100</f>
        <v>19890</v>
      </c>
      <c r="J37" s="17" t="s">
        <v>20</v>
      </c>
      <c r="K37" s="309" t="s">
        <v>426</v>
      </c>
      <c r="L37" s="319"/>
      <c r="M37" s="312"/>
    </row>
    <row r="38" spans="1:13" ht="13.9" customHeight="1" x14ac:dyDescent="0.2">
      <c r="A38" s="306"/>
      <c r="B38" s="308"/>
      <c r="C38" s="308"/>
      <c r="D38" s="7" t="s">
        <v>490</v>
      </c>
      <c r="E38" s="20">
        <v>90</v>
      </c>
      <c r="F38" s="21" t="s">
        <v>18</v>
      </c>
      <c r="G38" s="21" t="s">
        <v>18</v>
      </c>
      <c r="H38" s="21">
        <f>28000*117/100</f>
        <v>32760</v>
      </c>
      <c r="I38" s="21">
        <f>28000*117/100</f>
        <v>32760</v>
      </c>
      <c r="J38" s="7" t="s">
        <v>20</v>
      </c>
      <c r="K38" s="310"/>
      <c r="L38" s="320"/>
      <c r="M38" s="313"/>
    </row>
    <row r="39" spans="1:13" ht="13.9" customHeight="1" x14ac:dyDescent="0.2">
      <c r="A39" s="306"/>
      <c r="B39" s="308"/>
      <c r="C39" s="308"/>
      <c r="D39" s="7" t="s">
        <v>53</v>
      </c>
      <c r="E39" s="20">
        <v>80</v>
      </c>
      <c r="F39" s="21" t="s">
        <v>18</v>
      </c>
      <c r="G39" s="21" t="s">
        <v>18</v>
      </c>
      <c r="H39" s="21">
        <f>38000*117/100</f>
        <v>44460</v>
      </c>
      <c r="I39" s="21">
        <f>38000*117/100</f>
        <v>44460</v>
      </c>
      <c r="J39" s="7" t="s">
        <v>20</v>
      </c>
      <c r="K39" s="310"/>
      <c r="L39" s="320"/>
      <c r="M39" s="313"/>
    </row>
    <row r="40" spans="1:13" ht="25.5" x14ac:dyDescent="0.2">
      <c r="A40" s="306"/>
      <c r="B40" s="308"/>
      <c r="C40" s="308"/>
      <c r="D40" s="7" t="s">
        <v>56</v>
      </c>
      <c r="E40" s="20">
        <v>70</v>
      </c>
      <c r="F40" s="21" t="s">
        <v>18</v>
      </c>
      <c r="G40" s="21" t="s">
        <v>18</v>
      </c>
      <c r="H40" s="21">
        <f>44000*117/100</f>
        <v>51480</v>
      </c>
      <c r="I40" s="21">
        <f>44000*117/100</f>
        <v>51480</v>
      </c>
      <c r="J40" s="7" t="s">
        <v>20</v>
      </c>
      <c r="K40" s="310"/>
      <c r="L40" s="320"/>
      <c r="M40" s="313"/>
    </row>
    <row r="41" spans="1:13" ht="25.5" x14ac:dyDescent="0.2">
      <c r="A41" s="306"/>
      <c r="B41" s="308"/>
      <c r="C41" s="308"/>
      <c r="D41" s="7" t="s">
        <v>55</v>
      </c>
      <c r="E41" s="20">
        <v>60</v>
      </c>
      <c r="F41" s="21" t="s">
        <v>18</v>
      </c>
      <c r="G41" s="21" t="s">
        <v>18</v>
      </c>
      <c r="H41" s="21">
        <f>45000*117/100</f>
        <v>52650</v>
      </c>
      <c r="I41" s="21">
        <f>45000*117/100</f>
        <v>52650</v>
      </c>
      <c r="J41" s="7" t="s">
        <v>20</v>
      </c>
      <c r="K41" s="310"/>
      <c r="L41" s="320"/>
      <c r="M41" s="313"/>
    </row>
    <row r="42" spans="1:13" ht="13.9" customHeight="1" x14ac:dyDescent="0.2">
      <c r="A42" s="306"/>
      <c r="B42" s="308"/>
      <c r="C42" s="308"/>
      <c r="D42" s="7" t="s">
        <v>491</v>
      </c>
      <c r="E42" s="20">
        <v>50</v>
      </c>
      <c r="F42" s="21" t="s">
        <v>18</v>
      </c>
      <c r="G42" s="21" t="s">
        <v>18</v>
      </c>
      <c r="H42" s="21">
        <f>67000*117/100</f>
        <v>78390</v>
      </c>
      <c r="I42" s="21">
        <f>67000*117/100</f>
        <v>78390</v>
      </c>
      <c r="J42" s="7" t="s">
        <v>20</v>
      </c>
      <c r="K42" s="310"/>
      <c r="L42" s="320"/>
      <c r="M42" s="313"/>
    </row>
    <row r="43" spans="1:13" ht="13.9" customHeight="1" x14ac:dyDescent="0.2">
      <c r="A43" s="306"/>
      <c r="B43" s="328"/>
      <c r="C43" s="328"/>
      <c r="D43" s="7" t="s">
        <v>163</v>
      </c>
      <c r="E43" s="20">
        <v>40</v>
      </c>
      <c r="F43" s="21" t="s">
        <v>18</v>
      </c>
      <c r="G43" s="21" t="s">
        <v>18</v>
      </c>
      <c r="H43" s="21">
        <f>68000*117/100</f>
        <v>79560</v>
      </c>
      <c r="I43" s="21">
        <f>68000*117/100</f>
        <v>79560</v>
      </c>
      <c r="J43" s="7" t="s">
        <v>20</v>
      </c>
      <c r="K43" s="323"/>
      <c r="L43" s="332"/>
      <c r="M43" s="327"/>
    </row>
    <row r="44" spans="1:13" ht="13.9" customHeight="1" x14ac:dyDescent="0.2">
      <c r="A44" s="302"/>
      <c r="B44" s="303"/>
      <c r="C44" s="304"/>
      <c r="D44" s="304"/>
      <c r="E44" s="304"/>
      <c r="F44" s="304"/>
      <c r="G44" s="304"/>
      <c r="H44" s="304"/>
      <c r="I44" s="304"/>
      <c r="J44" s="304"/>
      <c r="K44" s="304"/>
      <c r="L44" s="304"/>
      <c r="M44" s="305"/>
    </row>
    <row r="45" spans="1:13" ht="15.75" x14ac:dyDescent="0.2">
      <c r="A45" s="298" t="s">
        <v>492</v>
      </c>
      <c r="B45" s="299"/>
      <c r="C45" s="299"/>
      <c r="D45" s="299"/>
      <c r="E45" s="299"/>
      <c r="F45" s="299"/>
      <c r="G45" s="299"/>
      <c r="H45" s="299"/>
      <c r="I45" s="299"/>
      <c r="J45" s="299"/>
      <c r="K45" s="299"/>
      <c r="L45" s="299"/>
      <c r="M45" s="300"/>
    </row>
    <row r="46" spans="1:13" ht="38.25" x14ac:dyDescent="0.2">
      <c r="A46" s="301">
        <v>7</v>
      </c>
      <c r="B46" s="75" t="s">
        <v>498</v>
      </c>
      <c r="C46" s="75" t="s">
        <v>210</v>
      </c>
      <c r="D46" s="17" t="s">
        <v>209</v>
      </c>
      <c r="E46" s="18">
        <v>100</v>
      </c>
      <c r="F46" s="19" t="s">
        <v>18</v>
      </c>
      <c r="G46" s="19" t="s">
        <v>18</v>
      </c>
      <c r="H46" s="19">
        <f>22207*117/100</f>
        <v>25982.19</v>
      </c>
      <c r="I46" s="19">
        <f>22207*117/100</f>
        <v>25982.19</v>
      </c>
      <c r="J46" s="17" t="s">
        <v>20</v>
      </c>
      <c r="K46" s="76" t="s">
        <v>426</v>
      </c>
      <c r="L46" s="77"/>
      <c r="M46" s="78" t="s">
        <v>499</v>
      </c>
    </row>
    <row r="47" spans="1:13" ht="13.9" customHeight="1" x14ac:dyDescent="0.2">
      <c r="A47" s="302"/>
      <c r="B47" s="303" t="s">
        <v>527</v>
      </c>
      <c r="C47" s="304"/>
      <c r="D47" s="304"/>
      <c r="E47" s="304"/>
      <c r="F47" s="304"/>
      <c r="G47" s="304"/>
      <c r="H47" s="304"/>
      <c r="I47" s="304"/>
      <c r="J47" s="304"/>
      <c r="K47" s="304"/>
      <c r="L47" s="304"/>
      <c r="M47" s="305"/>
    </row>
    <row r="48" spans="1:13" ht="15.75" x14ac:dyDescent="0.2">
      <c r="A48" s="298" t="s">
        <v>493</v>
      </c>
      <c r="B48" s="299"/>
      <c r="C48" s="299"/>
      <c r="D48" s="299"/>
      <c r="E48" s="299"/>
      <c r="F48" s="299"/>
      <c r="G48" s="299"/>
      <c r="H48" s="299"/>
      <c r="I48" s="299"/>
      <c r="J48" s="299"/>
      <c r="K48" s="299"/>
      <c r="L48" s="299"/>
      <c r="M48" s="300"/>
    </row>
    <row r="49" spans="1:13" ht="52.9" customHeight="1" x14ac:dyDescent="0.2">
      <c r="A49" s="301">
        <v>8</v>
      </c>
      <c r="B49" s="307" t="s">
        <v>373</v>
      </c>
      <c r="C49" s="307" t="s">
        <v>210</v>
      </c>
      <c r="D49" s="17" t="s">
        <v>375</v>
      </c>
      <c r="E49" s="18">
        <v>100</v>
      </c>
      <c r="F49" s="19" t="s">
        <v>29</v>
      </c>
      <c r="G49" s="19" t="s">
        <v>30</v>
      </c>
      <c r="H49" s="19">
        <f>201.78*117/100</f>
        <v>236.08259999999999</v>
      </c>
      <c r="I49" s="19">
        <f>100*H49</f>
        <v>23608.26</v>
      </c>
      <c r="J49" s="17" t="s">
        <v>20</v>
      </c>
      <c r="K49" s="309" t="s">
        <v>533</v>
      </c>
      <c r="L49" s="319"/>
      <c r="M49" s="312" t="s">
        <v>374</v>
      </c>
    </row>
    <row r="50" spans="1:13" ht="63.75" x14ac:dyDescent="0.2">
      <c r="A50" s="306"/>
      <c r="B50" s="308"/>
      <c r="C50" s="308"/>
      <c r="D50" s="17" t="s">
        <v>376</v>
      </c>
      <c r="E50" s="18">
        <v>90</v>
      </c>
      <c r="F50" s="19" t="s">
        <v>29</v>
      </c>
      <c r="G50" s="19" t="s">
        <v>30</v>
      </c>
      <c r="H50" s="19">
        <f>250*117/100</f>
        <v>292.5</v>
      </c>
      <c r="I50" s="19">
        <f t="shared" ref="I50:I53" si="2">100*H50</f>
        <v>29250</v>
      </c>
      <c r="J50" s="17" t="s">
        <v>20</v>
      </c>
      <c r="K50" s="310"/>
      <c r="L50" s="320"/>
      <c r="M50" s="313"/>
    </row>
    <row r="51" spans="1:13" ht="76.5" x14ac:dyDescent="0.2">
      <c r="A51" s="306"/>
      <c r="B51" s="308"/>
      <c r="C51" s="308"/>
      <c r="D51" s="7" t="s">
        <v>377</v>
      </c>
      <c r="E51" s="20">
        <v>84</v>
      </c>
      <c r="F51" s="21" t="s">
        <v>29</v>
      </c>
      <c r="G51" s="21" t="s">
        <v>30</v>
      </c>
      <c r="H51" s="21">
        <f>250*117/100</f>
        <v>292.5</v>
      </c>
      <c r="I51" s="21">
        <f t="shared" si="2"/>
        <v>29250</v>
      </c>
      <c r="J51" s="7" t="s">
        <v>20</v>
      </c>
      <c r="K51" s="310"/>
      <c r="L51" s="320"/>
      <c r="M51" s="313"/>
    </row>
    <row r="52" spans="1:13" ht="25.5" x14ac:dyDescent="0.2">
      <c r="A52" s="306"/>
      <c r="B52" s="308"/>
      <c r="C52" s="308"/>
      <c r="D52" s="7" t="s">
        <v>209</v>
      </c>
      <c r="E52" s="20">
        <v>80</v>
      </c>
      <c r="F52" s="21" t="s">
        <v>29</v>
      </c>
      <c r="G52" s="21" t="s">
        <v>30</v>
      </c>
      <c r="H52" s="21">
        <f>270*117/100</f>
        <v>315.89999999999998</v>
      </c>
      <c r="I52" s="21">
        <f t="shared" si="2"/>
        <v>31589.999999999996</v>
      </c>
      <c r="J52" s="7" t="s">
        <v>20</v>
      </c>
      <c r="K52" s="310"/>
      <c r="L52" s="320"/>
      <c r="M52" s="313"/>
    </row>
    <row r="53" spans="1:13" ht="24.6" customHeight="1" x14ac:dyDescent="0.2">
      <c r="A53" s="306"/>
      <c r="B53" s="328"/>
      <c r="C53" s="328"/>
      <c r="D53" s="7" t="s">
        <v>378</v>
      </c>
      <c r="E53" s="20">
        <v>70</v>
      </c>
      <c r="F53" s="21" t="s">
        <v>29</v>
      </c>
      <c r="G53" s="21" t="s">
        <v>30</v>
      </c>
      <c r="H53" s="21">
        <f>300.16*117/100</f>
        <v>351.18720000000002</v>
      </c>
      <c r="I53" s="21">
        <f t="shared" si="2"/>
        <v>35118.720000000001</v>
      </c>
      <c r="J53" s="7" t="s">
        <v>20</v>
      </c>
      <c r="K53" s="323"/>
      <c r="L53" s="332"/>
      <c r="M53" s="327"/>
    </row>
    <row r="54" spans="1:13" ht="13.9" customHeight="1" x14ac:dyDescent="0.2">
      <c r="A54" s="302"/>
      <c r="B54" s="303" t="s">
        <v>510</v>
      </c>
      <c r="C54" s="304"/>
      <c r="D54" s="304"/>
      <c r="E54" s="304"/>
      <c r="F54" s="304"/>
      <c r="G54" s="304"/>
      <c r="H54" s="304"/>
      <c r="I54" s="304"/>
      <c r="J54" s="304"/>
      <c r="K54" s="304"/>
      <c r="L54" s="304"/>
      <c r="M54" s="305"/>
    </row>
    <row r="55" spans="1:13" ht="15.75" x14ac:dyDescent="0.2">
      <c r="A55" s="298" t="s">
        <v>494</v>
      </c>
      <c r="B55" s="299"/>
      <c r="C55" s="299"/>
      <c r="D55" s="299"/>
      <c r="E55" s="299"/>
      <c r="F55" s="299"/>
      <c r="G55" s="299"/>
      <c r="H55" s="299"/>
      <c r="I55" s="299"/>
      <c r="J55" s="299"/>
      <c r="K55" s="299"/>
      <c r="L55" s="299"/>
      <c r="M55" s="300"/>
    </row>
    <row r="56" spans="1:13" ht="78.75" x14ac:dyDescent="0.2">
      <c r="A56" s="301">
        <v>9</v>
      </c>
      <c r="B56" s="75" t="s">
        <v>504</v>
      </c>
      <c r="C56" s="75" t="s">
        <v>506</v>
      </c>
      <c r="D56" s="17" t="s">
        <v>95</v>
      </c>
      <c r="E56" s="18">
        <v>100</v>
      </c>
      <c r="F56" s="19" t="s">
        <v>68</v>
      </c>
      <c r="G56" s="19" t="s">
        <v>610</v>
      </c>
      <c r="H56" s="19">
        <v>25000</v>
      </c>
      <c r="I56" s="19">
        <f>3*H56</f>
        <v>75000</v>
      </c>
      <c r="J56" s="17" t="s">
        <v>20</v>
      </c>
      <c r="K56" s="76" t="s">
        <v>534</v>
      </c>
      <c r="L56" s="77"/>
      <c r="M56" s="78"/>
    </row>
    <row r="57" spans="1:13" ht="13.9" customHeight="1" x14ac:dyDescent="0.2">
      <c r="A57" s="302"/>
      <c r="B57" s="303" t="s">
        <v>527</v>
      </c>
      <c r="C57" s="304"/>
      <c r="D57" s="304"/>
      <c r="E57" s="304"/>
      <c r="F57" s="304"/>
      <c r="G57" s="304"/>
      <c r="H57" s="304"/>
      <c r="I57" s="304"/>
      <c r="J57" s="304"/>
      <c r="K57" s="304"/>
      <c r="L57" s="304"/>
      <c r="M57" s="305"/>
    </row>
    <row r="58" spans="1:13" ht="15.75" x14ac:dyDescent="0.2">
      <c r="A58" s="298" t="s">
        <v>495</v>
      </c>
      <c r="B58" s="299"/>
      <c r="C58" s="299"/>
      <c r="D58" s="299"/>
      <c r="E58" s="299"/>
      <c r="F58" s="299"/>
      <c r="G58" s="299"/>
      <c r="H58" s="299"/>
      <c r="I58" s="299"/>
      <c r="J58" s="299"/>
      <c r="K58" s="299"/>
      <c r="L58" s="299"/>
      <c r="M58" s="300"/>
    </row>
    <row r="59" spans="1:13" ht="47.25" x14ac:dyDescent="0.2">
      <c r="A59" s="301">
        <v>10</v>
      </c>
      <c r="B59" s="79" t="s">
        <v>511</v>
      </c>
      <c r="C59" s="79" t="s">
        <v>512</v>
      </c>
      <c r="D59" s="17" t="s">
        <v>124</v>
      </c>
      <c r="E59" s="18">
        <v>100</v>
      </c>
      <c r="F59" s="19" t="s">
        <v>29</v>
      </c>
      <c r="G59" s="19" t="s">
        <v>30</v>
      </c>
      <c r="H59" s="19">
        <f>220*117/100</f>
        <v>257.39999999999998</v>
      </c>
      <c r="I59" s="19">
        <f>H59*100</f>
        <v>25739.999999999996</v>
      </c>
      <c r="J59" s="17" t="s">
        <v>20</v>
      </c>
      <c r="K59" s="80" t="s">
        <v>536</v>
      </c>
      <c r="L59" s="81"/>
      <c r="M59" s="82">
        <v>1614000550</v>
      </c>
    </row>
    <row r="60" spans="1:13" ht="13.9" customHeight="1" x14ac:dyDescent="0.2">
      <c r="A60" s="302"/>
      <c r="B60" s="303" t="s">
        <v>526</v>
      </c>
      <c r="C60" s="304"/>
      <c r="D60" s="304"/>
      <c r="E60" s="304"/>
      <c r="F60" s="304"/>
      <c r="G60" s="304"/>
      <c r="H60" s="304"/>
      <c r="I60" s="304"/>
      <c r="J60" s="304"/>
      <c r="K60" s="304"/>
      <c r="L60" s="304"/>
      <c r="M60" s="305"/>
    </row>
    <row r="61" spans="1:13" ht="15.75" x14ac:dyDescent="0.2">
      <c r="A61" s="298" t="s">
        <v>496</v>
      </c>
      <c r="B61" s="299"/>
      <c r="C61" s="299"/>
      <c r="D61" s="299"/>
      <c r="E61" s="299"/>
      <c r="F61" s="299"/>
      <c r="G61" s="299"/>
      <c r="H61" s="299"/>
      <c r="I61" s="299"/>
      <c r="J61" s="299"/>
      <c r="K61" s="299"/>
      <c r="L61" s="299"/>
      <c r="M61" s="300"/>
    </row>
    <row r="62" spans="1:13" ht="63.75" x14ac:dyDescent="0.2">
      <c r="A62" s="301">
        <v>11</v>
      </c>
      <c r="B62" s="79" t="s">
        <v>513</v>
      </c>
      <c r="C62" s="79" t="s">
        <v>514</v>
      </c>
      <c r="D62" s="17" t="s">
        <v>515</v>
      </c>
      <c r="E62" s="18">
        <v>100</v>
      </c>
      <c r="F62" s="19" t="s">
        <v>29</v>
      </c>
      <c r="G62" s="19" t="s">
        <v>516</v>
      </c>
      <c r="H62" s="19">
        <f>100*117/100</f>
        <v>117</v>
      </c>
      <c r="I62" s="19">
        <f>H62*205</f>
        <v>23985</v>
      </c>
      <c r="J62" s="17"/>
      <c r="K62" s="80" t="s">
        <v>535</v>
      </c>
      <c r="L62" s="81"/>
      <c r="M62" s="82"/>
    </row>
    <row r="63" spans="1:13" ht="13.9" customHeight="1" x14ac:dyDescent="0.2">
      <c r="A63" s="302"/>
      <c r="B63" s="303" t="s">
        <v>526</v>
      </c>
      <c r="C63" s="304"/>
      <c r="D63" s="304"/>
      <c r="E63" s="304"/>
      <c r="F63" s="304"/>
      <c r="G63" s="304"/>
      <c r="H63" s="304"/>
      <c r="I63" s="304"/>
      <c r="J63" s="304"/>
      <c r="K63" s="304"/>
      <c r="L63" s="304"/>
      <c r="M63" s="305"/>
    </row>
    <row r="64" spans="1:13" ht="15.75" x14ac:dyDescent="0.2">
      <c r="A64" s="298" t="s">
        <v>497</v>
      </c>
      <c r="B64" s="299"/>
      <c r="C64" s="299"/>
      <c r="D64" s="299"/>
      <c r="E64" s="299"/>
      <c r="F64" s="299"/>
      <c r="G64" s="299"/>
      <c r="H64" s="299"/>
      <c r="I64" s="299"/>
      <c r="J64" s="299"/>
      <c r="K64" s="299"/>
      <c r="L64" s="299"/>
      <c r="M64" s="300"/>
    </row>
    <row r="65" spans="1:13" ht="47.25" x14ac:dyDescent="0.2">
      <c r="A65" s="301">
        <v>12</v>
      </c>
      <c r="B65" s="83" t="s">
        <v>528</v>
      </c>
      <c r="C65" s="83" t="s">
        <v>210</v>
      </c>
      <c r="D65" s="17" t="s">
        <v>529</v>
      </c>
      <c r="E65" s="18">
        <v>100</v>
      </c>
      <c r="F65" s="19" t="s">
        <v>29</v>
      </c>
      <c r="G65" s="19" t="s">
        <v>532</v>
      </c>
      <c r="H65" s="19">
        <f>322*117/100</f>
        <v>376.74</v>
      </c>
      <c r="I65" s="19">
        <f>25*H65</f>
        <v>9418.5</v>
      </c>
      <c r="J65" s="17"/>
      <c r="K65" s="86" t="s">
        <v>536</v>
      </c>
      <c r="L65" s="84"/>
      <c r="M65" s="85" t="s">
        <v>530</v>
      </c>
    </row>
    <row r="66" spans="1:13" ht="13.9" customHeight="1" x14ac:dyDescent="0.2">
      <c r="A66" s="302"/>
      <c r="B66" s="303" t="s">
        <v>531</v>
      </c>
      <c r="C66" s="304"/>
      <c r="D66" s="304"/>
      <c r="E66" s="304"/>
      <c r="F66" s="304"/>
      <c r="G66" s="304"/>
      <c r="H66" s="304"/>
      <c r="I66" s="304"/>
      <c r="J66" s="304"/>
      <c r="K66" s="304"/>
      <c r="L66" s="304"/>
      <c r="M66" s="305"/>
    </row>
    <row r="67" spans="1:13" ht="15.75" x14ac:dyDescent="0.2">
      <c r="A67" s="298" t="s">
        <v>500</v>
      </c>
      <c r="B67" s="299"/>
      <c r="C67" s="299"/>
      <c r="D67" s="299"/>
      <c r="E67" s="299"/>
      <c r="F67" s="299"/>
      <c r="G67" s="299"/>
      <c r="H67" s="299"/>
      <c r="I67" s="299"/>
      <c r="J67" s="299"/>
      <c r="K67" s="299"/>
      <c r="L67" s="299"/>
      <c r="M67" s="300"/>
    </row>
    <row r="68" spans="1:13" ht="26.45" customHeight="1" x14ac:dyDescent="0.2">
      <c r="A68" s="301">
        <v>13</v>
      </c>
      <c r="B68" s="307" t="s">
        <v>519</v>
      </c>
      <c r="C68" s="307" t="s">
        <v>520</v>
      </c>
      <c r="D68" s="67" t="s">
        <v>299</v>
      </c>
      <c r="E68" s="68">
        <v>100</v>
      </c>
      <c r="F68" s="69" t="s">
        <v>29</v>
      </c>
      <c r="G68" s="69" t="s">
        <v>440</v>
      </c>
      <c r="H68" s="69">
        <f>200*117/100</f>
        <v>234</v>
      </c>
      <c r="I68" s="69">
        <f>250*H68</f>
        <v>58500</v>
      </c>
      <c r="J68" s="67" t="s">
        <v>20</v>
      </c>
      <c r="K68" s="309" t="s">
        <v>537</v>
      </c>
      <c r="L68" s="319"/>
      <c r="M68" s="312">
        <v>220022756</v>
      </c>
    </row>
    <row r="69" spans="1:13" ht="25.5" x14ac:dyDescent="0.2">
      <c r="A69" s="306"/>
      <c r="B69" s="308"/>
      <c r="C69" s="308"/>
      <c r="D69" s="7" t="s">
        <v>438</v>
      </c>
      <c r="E69" s="20">
        <v>90</v>
      </c>
      <c r="F69" s="21" t="s">
        <v>29</v>
      </c>
      <c r="G69" s="21" t="s">
        <v>440</v>
      </c>
      <c r="H69" s="21">
        <f>205*117/100</f>
        <v>239.85</v>
      </c>
      <c r="I69" s="21">
        <f t="shared" ref="I69:I70" si="3">250*H69</f>
        <v>59962.5</v>
      </c>
      <c r="J69" s="7"/>
      <c r="K69" s="310"/>
      <c r="L69" s="320"/>
      <c r="M69" s="313"/>
    </row>
    <row r="70" spans="1:13" ht="25.5" x14ac:dyDescent="0.2">
      <c r="A70" s="306"/>
      <c r="B70" s="328"/>
      <c r="C70" s="328"/>
      <c r="D70" s="7" t="s">
        <v>439</v>
      </c>
      <c r="E70" s="20">
        <v>80</v>
      </c>
      <c r="F70" s="21" t="s">
        <v>29</v>
      </c>
      <c r="G70" s="21" t="s">
        <v>440</v>
      </c>
      <c r="H70" s="21">
        <f>230*117/100</f>
        <v>269.10000000000002</v>
      </c>
      <c r="I70" s="21">
        <f t="shared" si="3"/>
        <v>67275</v>
      </c>
      <c r="J70" s="7"/>
      <c r="K70" s="323"/>
      <c r="L70" s="332"/>
      <c r="M70" s="327"/>
    </row>
    <row r="71" spans="1:13" ht="13.9" customHeight="1" x14ac:dyDescent="0.2">
      <c r="A71" s="302"/>
      <c r="B71" s="303" t="s">
        <v>521</v>
      </c>
      <c r="C71" s="304"/>
      <c r="D71" s="304"/>
      <c r="E71" s="304"/>
      <c r="F71" s="304"/>
      <c r="G71" s="304"/>
      <c r="H71" s="304"/>
      <c r="I71" s="304"/>
      <c r="J71" s="304"/>
      <c r="K71" s="304"/>
      <c r="L71" s="304"/>
      <c r="M71" s="305"/>
    </row>
    <row r="72" spans="1:13" ht="15.75" x14ac:dyDescent="0.2">
      <c r="A72" s="298" t="s">
        <v>501</v>
      </c>
      <c r="B72" s="299"/>
      <c r="C72" s="299"/>
      <c r="D72" s="299"/>
      <c r="E72" s="299"/>
      <c r="F72" s="299"/>
      <c r="G72" s="299"/>
      <c r="H72" s="299"/>
      <c r="I72" s="299"/>
      <c r="J72" s="299"/>
      <c r="K72" s="299"/>
      <c r="L72" s="299"/>
      <c r="M72" s="300"/>
    </row>
    <row r="73" spans="1:13" ht="51" x14ac:dyDescent="0.2">
      <c r="A73" s="301">
        <v>14</v>
      </c>
      <c r="B73" s="307" t="s">
        <v>522</v>
      </c>
      <c r="C73" s="307" t="s">
        <v>431</v>
      </c>
      <c r="D73" s="17" t="s">
        <v>523</v>
      </c>
      <c r="E73" s="18">
        <v>94</v>
      </c>
      <c r="F73" s="19" t="s">
        <v>18</v>
      </c>
      <c r="G73" s="19" t="s">
        <v>18</v>
      </c>
      <c r="H73" s="19">
        <f>50310</f>
        <v>50310</v>
      </c>
      <c r="I73" s="19">
        <f>50310</f>
        <v>50310</v>
      </c>
      <c r="J73" s="17"/>
      <c r="K73" s="309" t="s">
        <v>426</v>
      </c>
      <c r="L73" s="319"/>
      <c r="M73" s="312">
        <v>2130102757</v>
      </c>
    </row>
    <row r="74" spans="1:13" ht="13.9" customHeight="1" x14ac:dyDescent="0.2">
      <c r="A74" s="306"/>
      <c r="B74" s="308"/>
      <c r="C74" s="308"/>
      <c r="D74" s="7" t="s">
        <v>524</v>
      </c>
      <c r="E74" s="20">
        <v>78</v>
      </c>
      <c r="F74" s="21" t="s">
        <v>18</v>
      </c>
      <c r="G74" s="21" t="s">
        <v>18</v>
      </c>
      <c r="H74" s="21">
        <v>52650</v>
      </c>
      <c r="I74" s="21">
        <v>52650</v>
      </c>
      <c r="J74" s="7"/>
      <c r="K74" s="310"/>
      <c r="L74" s="320"/>
      <c r="M74" s="313"/>
    </row>
    <row r="75" spans="1:13" ht="13.9" customHeight="1" x14ac:dyDescent="0.2">
      <c r="A75" s="306"/>
      <c r="B75" s="308"/>
      <c r="C75" s="308"/>
      <c r="D75" s="7" t="b">
        <v>1</v>
      </c>
      <c r="E75" s="20">
        <v>80</v>
      </c>
      <c r="F75" s="21" t="s">
        <v>18</v>
      </c>
      <c r="G75" s="21" t="s">
        <v>18</v>
      </c>
      <c r="H75" s="21">
        <v>87750</v>
      </c>
      <c r="I75" s="21">
        <v>87750</v>
      </c>
      <c r="J75" s="7"/>
      <c r="K75" s="310"/>
      <c r="L75" s="320"/>
      <c r="M75" s="313"/>
    </row>
    <row r="76" spans="1:13" ht="14.25" x14ac:dyDescent="0.2">
      <c r="A76" s="306"/>
      <c r="B76" s="328"/>
      <c r="C76" s="328"/>
      <c r="D76" s="7" t="s">
        <v>525</v>
      </c>
      <c r="E76" s="20">
        <v>58</v>
      </c>
      <c r="F76" s="21" t="s">
        <v>18</v>
      </c>
      <c r="G76" s="21" t="s">
        <v>18</v>
      </c>
      <c r="H76" s="21">
        <v>98280</v>
      </c>
      <c r="I76" s="21">
        <v>98280</v>
      </c>
      <c r="J76" s="7"/>
      <c r="K76" s="323"/>
      <c r="L76" s="332"/>
      <c r="M76" s="327"/>
    </row>
    <row r="77" spans="1:13" ht="13.9" customHeight="1" x14ac:dyDescent="0.2">
      <c r="A77" s="302"/>
      <c r="B77" s="303"/>
      <c r="C77" s="304"/>
      <c r="D77" s="304"/>
      <c r="E77" s="304"/>
      <c r="F77" s="304"/>
      <c r="G77" s="304"/>
      <c r="H77" s="304"/>
      <c r="I77" s="304"/>
      <c r="J77" s="304"/>
      <c r="K77" s="304"/>
      <c r="L77" s="304"/>
      <c r="M77" s="305"/>
    </row>
    <row r="78" spans="1:13" ht="15.75" x14ac:dyDescent="0.2">
      <c r="A78" s="298" t="s">
        <v>517</v>
      </c>
      <c r="B78" s="299"/>
      <c r="C78" s="299"/>
      <c r="D78" s="299"/>
      <c r="E78" s="299"/>
      <c r="F78" s="299"/>
      <c r="G78" s="299"/>
      <c r="H78" s="299"/>
      <c r="I78" s="299"/>
      <c r="J78" s="299"/>
      <c r="K78" s="299"/>
      <c r="L78" s="299"/>
      <c r="M78" s="300"/>
    </row>
    <row r="79" spans="1:13" ht="14.25" x14ac:dyDescent="0.2">
      <c r="A79" s="301">
        <v>15</v>
      </c>
      <c r="B79" s="307" t="s">
        <v>505</v>
      </c>
      <c r="C79" s="307" t="s">
        <v>134</v>
      </c>
      <c r="D79" s="7" t="s">
        <v>507</v>
      </c>
      <c r="E79" s="20">
        <v>88</v>
      </c>
      <c r="F79" s="21" t="s">
        <v>18</v>
      </c>
      <c r="G79" s="21" t="s">
        <v>18</v>
      </c>
      <c r="H79" s="21">
        <f>42700*117/100</f>
        <v>49959</v>
      </c>
      <c r="I79" s="21">
        <f>42700*117/100</f>
        <v>49959</v>
      </c>
      <c r="J79" s="7" t="s">
        <v>20</v>
      </c>
      <c r="K79" s="309" t="s">
        <v>426</v>
      </c>
      <c r="L79" s="319"/>
      <c r="M79" s="312">
        <v>2130102758</v>
      </c>
    </row>
    <row r="80" spans="1:13" ht="14.25" x14ac:dyDescent="0.2">
      <c r="A80" s="306"/>
      <c r="B80" s="308"/>
      <c r="C80" s="308"/>
      <c r="D80" s="17" t="s">
        <v>508</v>
      </c>
      <c r="E80" s="18">
        <v>90</v>
      </c>
      <c r="F80" s="19" t="s">
        <v>18</v>
      </c>
      <c r="G80" s="19" t="s">
        <v>18</v>
      </c>
      <c r="H80" s="19">
        <f>72000*117/100</f>
        <v>84240</v>
      </c>
      <c r="I80" s="19">
        <f>72000*117/100</f>
        <v>84240</v>
      </c>
      <c r="J80" s="17" t="s">
        <v>20</v>
      </c>
      <c r="K80" s="310"/>
      <c r="L80" s="320"/>
      <c r="M80" s="313"/>
    </row>
    <row r="81" spans="1:13" ht="14.25" x14ac:dyDescent="0.2">
      <c r="A81" s="306"/>
      <c r="B81" s="308"/>
      <c r="C81" s="308"/>
      <c r="D81" s="7" t="s">
        <v>448</v>
      </c>
      <c r="E81" s="20">
        <v>80</v>
      </c>
      <c r="F81" s="21" t="s">
        <v>18</v>
      </c>
      <c r="G81" s="21" t="s">
        <v>18</v>
      </c>
      <c r="H81" s="21">
        <f>101000*117/100</f>
        <v>118170</v>
      </c>
      <c r="I81" s="21">
        <f>101000*117/100</f>
        <v>118170</v>
      </c>
      <c r="J81" s="7" t="s">
        <v>20</v>
      </c>
      <c r="K81" s="310"/>
      <c r="L81" s="320"/>
      <c r="M81" s="313"/>
    </row>
    <row r="82" spans="1:13" ht="25.5" x14ac:dyDescent="0.2">
      <c r="A82" s="306"/>
      <c r="B82" s="328"/>
      <c r="C82" s="328"/>
      <c r="D82" s="7" t="s">
        <v>509</v>
      </c>
      <c r="E82" s="20">
        <v>64</v>
      </c>
      <c r="F82" s="21" t="s">
        <v>18</v>
      </c>
      <c r="G82" s="21" t="s">
        <v>18</v>
      </c>
      <c r="H82" s="21">
        <f>109000*117/100</f>
        <v>127530</v>
      </c>
      <c r="I82" s="21">
        <f>109000*117/100</f>
        <v>127530</v>
      </c>
      <c r="J82" s="7" t="s">
        <v>20</v>
      </c>
      <c r="K82" s="323"/>
      <c r="L82" s="332"/>
      <c r="M82" s="327"/>
    </row>
    <row r="83" spans="1:13" ht="14.25" x14ac:dyDescent="0.2">
      <c r="A83" s="302"/>
      <c r="B83" s="303"/>
      <c r="C83" s="304"/>
      <c r="D83" s="304"/>
      <c r="E83" s="304"/>
      <c r="F83" s="304"/>
      <c r="G83" s="304"/>
      <c r="H83" s="304"/>
      <c r="I83" s="304"/>
      <c r="J83" s="304"/>
      <c r="K83" s="304"/>
      <c r="L83" s="304"/>
      <c r="M83" s="305"/>
    </row>
    <row r="84" spans="1:13" ht="15.75" x14ac:dyDescent="0.2">
      <c r="A84" s="298" t="s">
        <v>518</v>
      </c>
      <c r="B84" s="299"/>
      <c r="C84" s="299"/>
      <c r="D84" s="299"/>
      <c r="E84" s="299"/>
      <c r="F84" s="299"/>
      <c r="G84" s="299"/>
      <c r="H84" s="299"/>
      <c r="I84" s="299"/>
      <c r="J84" s="299"/>
      <c r="K84" s="299"/>
      <c r="L84" s="299"/>
      <c r="M84" s="300"/>
    </row>
    <row r="85" spans="1:13" ht="22.15" customHeight="1" x14ac:dyDescent="0.2">
      <c r="A85" s="301">
        <v>16</v>
      </c>
      <c r="B85" s="307" t="s">
        <v>541</v>
      </c>
      <c r="C85" s="307" t="s">
        <v>539</v>
      </c>
      <c r="D85" s="17" t="s">
        <v>540</v>
      </c>
      <c r="E85" s="18">
        <v>100</v>
      </c>
      <c r="F85" s="19" t="s">
        <v>18</v>
      </c>
      <c r="G85" s="19" t="s">
        <v>18</v>
      </c>
      <c r="H85" s="19">
        <v>10102.5</v>
      </c>
      <c r="I85" s="19">
        <v>10102.5</v>
      </c>
      <c r="J85" s="17" t="s">
        <v>20</v>
      </c>
      <c r="K85" s="309" t="s">
        <v>426</v>
      </c>
      <c r="L85" s="319"/>
      <c r="M85" s="312">
        <v>1722400492</v>
      </c>
    </row>
    <row r="86" spans="1:13" ht="20.45" customHeight="1" x14ac:dyDescent="0.2">
      <c r="A86" s="306"/>
      <c r="B86" s="308"/>
      <c r="C86" s="308"/>
      <c r="D86" s="7" t="s">
        <v>542</v>
      </c>
      <c r="E86" s="20">
        <v>84</v>
      </c>
      <c r="F86" s="21" t="s">
        <v>18</v>
      </c>
      <c r="G86" s="21" t="s">
        <v>18</v>
      </c>
      <c r="H86" s="21">
        <v>12636</v>
      </c>
      <c r="I86" s="21">
        <v>12636</v>
      </c>
      <c r="J86" s="7" t="s">
        <v>20</v>
      </c>
      <c r="K86" s="310"/>
      <c r="L86" s="320"/>
      <c r="M86" s="313"/>
    </row>
    <row r="87" spans="1:13" ht="18" customHeight="1" x14ac:dyDescent="0.2">
      <c r="A87" s="306"/>
      <c r="B87" s="308"/>
      <c r="C87" s="308"/>
      <c r="D87" s="7" t="s">
        <v>543</v>
      </c>
      <c r="E87" s="20">
        <v>74</v>
      </c>
      <c r="F87" s="21" t="s">
        <v>18</v>
      </c>
      <c r="G87" s="21" t="s">
        <v>18</v>
      </c>
      <c r="H87" s="21">
        <v>14742</v>
      </c>
      <c r="I87" s="21">
        <v>14742</v>
      </c>
      <c r="J87" s="7" t="s">
        <v>20</v>
      </c>
      <c r="K87" s="310"/>
      <c r="L87" s="320"/>
      <c r="M87" s="313"/>
    </row>
    <row r="88" spans="1:13" ht="19.899999999999999" customHeight="1" x14ac:dyDescent="0.2">
      <c r="A88" s="306"/>
      <c r="B88" s="328"/>
      <c r="C88" s="328"/>
      <c r="D88" s="7" t="s">
        <v>544</v>
      </c>
      <c r="E88" s="20">
        <v>64</v>
      </c>
      <c r="F88" s="21" t="s">
        <v>18</v>
      </c>
      <c r="G88" s="21" t="s">
        <v>18</v>
      </c>
      <c r="H88" s="21">
        <v>21000</v>
      </c>
      <c r="I88" s="21">
        <v>21000</v>
      </c>
      <c r="J88" s="7" t="s">
        <v>20</v>
      </c>
      <c r="K88" s="323"/>
      <c r="L88" s="332"/>
      <c r="M88" s="327"/>
    </row>
    <row r="89" spans="1:13" ht="13.9" customHeight="1" x14ac:dyDescent="0.2">
      <c r="A89" s="302"/>
      <c r="B89" s="303"/>
      <c r="C89" s="304"/>
      <c r="D89" s="304"/>
      <c r="E89" s="304"/>
      <c r="F89" s="304"/>
      <c r="G89" s="304"/>
      <c r="H89" s="304"/>
      <c r="I89" s="304"/>
      <c r="J89" s="304"/>
      <c r="K89" s="304"/>
      <c r="L89" s="304"/>
      <c r="M89" s="305"/>
    </row>
  </sheetData>
  <mergeCells count="108">
    <mergeCell ref="A58:M58"/>
    <mergeCell ref="A59:A60"/>
    <mergeCell ref="B60:M60"/>
    <mergeCell ref="A62:A63"/>
    <mergeCell ref="B63:M63"/>
    <mergeCell ref="A67:M67"/>
    <mergeCell ref="A68:A71"/>
    <mergeCell ref="B68:B70"/>
    <mergeCell ref="C68:C70"/>
    <mergeCell ref="K68:K70"/>
    <mergeCell ref="L68:L70"/>
    <mergeCell ref="M68:M70"/>
    <mergeCell ref="B71:M71"/>
    <mergeCell ref="A1:A5"/>
    <mergeCell ref="B1:M1"/>
    <mergeCell ref="B2:M2"/>
    <mergeCell ref="B3:M3"/>
    <mergeCell ref="B4:M4"/>
    <mergeCell ref="A46:A47"/>
    <mergeCell ref="B47:M47"/>
    <mergeCell ref="B23:M23"/>
    <mergeCell ref="A36:M36"/>
    <mergeCell ref="A37:A44"/>
    <mergeCell ref="B37:B43"/>
    <mergeCell ref="C37:C43"/>
    <mergeCell ref="K37:K43"/>
    <mergeCell ref="L37:L43"/>
    <mergeCell ref="M37:M43"/>
    <mergeCell ref="B44:M44"/>
    <mergeCell ref="A30:M30"/>
    <mergeCell ref="A31:A35"/>
    <mergeCell ref="B31:B34"/>
    <mergeCell ref="C31:C34"/>
    <mergeCell ref="B35:M35"/>
    <mergeCell ref="A45:M45"/>
    <mergeCell ref="K19:K22"/>
    <mergeCell ref="L19:L22"/>
    <mergeCell ref="A72:M72"/>
    <mergeCell ref="A64:M64"/>
    <mergeCell ref="A65:A66"/>
    <mergeCell ref="B66:M66"/>
    <mergeCell ref="A6:M6"/>
    <mergeCell ref="A7:A11"/>
    <mergeCell ref="B7:B10"/>
    <mergeCell ref="C7:C10"/>
    <mergeCell ref="K7:K10"/>
    <mergeCell ref="L7:L10"/>
    <mergeCell ref="M7:M10"/>
    <mergeCell ref="B11:M11"/>
    <mergeCell ref="A55:M55"/>
    <mergeCell ref="A56:A57"/>
    <mergeCell ref="B57:M57"/>
    <mergeCell ref="A48:M48"/>
    <mergeCell ref="A49:A54"/>
    <mergeCell ref="B49:B53"/>
    <mergeCell ref="C49:C53"/>
    <mergeCell ref="K49:K53"/>
    <mergeCell ref="L49:L53"/>
    <mergeCell ref="A12:M12"/>
    <mergeCell ref="A13:A17"/>
    <mergeCell ref="M49:M53"/>
    <mergeCell ref="B13:B16"/>
    <mergeCell ref="C13:C16"/>
    <mergeCell ref="K13:K16"/>
    <mergeCell ref="L13:L16"/>
    <mergeCell ref="M13:M16"/>
    <mergeCell ref="B17:M17"/>
    <mergeCell ref="A61:M61"/>
    <mergeCell ref="A24:M24"/>
    <mergeCell ref="A25:A29"/>
    <mergeCell ref="B25:B28"/>
    <mergeCell ref="C25:C28"/>
    <mergeCell ref="K31:K34"/>
    <mergeCell ref="L31:L34"/>
    <mergeCell ref="M31:M34"/>
    <mergeCell ref="K25:K28"/>
    <mergeCell ref="L25:L28"/>
    <mergeCell ref="M25:M28"/>
    <mergeCell ref="B29:M29"/>
    <mergeCell ref="A18:M18"/>
    <mergeCell ref="A19:A23"/>
    <mergeCell ref="B19:B22"/>
    <mergeCell ref="C19:C22"/>
    <mergeCell ref="M19:M22"/>
    <mergeCell ref="B54:M54"/>
    <mergeCell ref="A84:M84"/>
    <mergeCell ref="A85:A89"/>
    <mergeCell ref="B85:B88"/>
    <mergeCell ref="C85:C88"/>
    <mergeCell ref="K85:K88"/>
    <mergeCell ref="L85:L88"/>
    <mergeCell ref="M85:M88"/>
    <mergeCell ref="B89:M89"/>
    <mergeCell ref="M73:M76"/>
    <mergeCell ref="B77:M77"/>
    <mergeCell ref="A78:M78"/>
    <mergeCell ref="A79:A83"/>
    <mergeCell ref="B79:B82"/>
    <mergeCell ref="C79:C82"/>
    <mergeCell ref="K79:K82"/>
    <mergeCell ref="L79:L82"/>
    <mergeCell ref="M79:M82"/>
    <mergeCell ref="B83:M83"/>
    <mergeCell ref="A73:A77"/>
    <mergeCell ref="B73:B76"/>
    <mergeCell ref="C73:C76"/>
    <mergeCell ref="K73:K76"/>
    <mergeCell ref="L73:L76"/>
  </mergeCells>
  <pageMargins left="0.7" right="0.7" top="0.75" bottom="0.75" header="0.3" footer="0.3"/>
  <pageSetup paperSize="9" scale="7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rightToLeft="1" topLeftCell="B1" zoomScale="85" zoomScaleNormal="85" workbookViewId="0">
      <pane ySplit="6" topLeftCell="A7" activePane="bottomLeft" state="frozen"/>
      <selection pane="bottomLeft" activeCell="C8" sqref="C8:C11"/>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 style="10" bestFit="1" customWidth="1"/>
    <col min="9" max="9" width="12.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455</v>
      </c>
      <c r="C1" s="315"/>
      <c r="D1" s="315"/>
      <c r="E1" s="315"/>
      <c r="F1" s="315"/>
      <c r="G1" s="315"/>
      <c r="H1" s="315"/>
      <c r="I1" s="315"/>
      <c r="J1" s="315"/>
      <c r="K1" s="315"/>
      <c r="L1" s="315"/>
      <c r="M1" s="315"/>
    </row>
    <row r="2" spans="1:13" ht="14.25" x14ac:dyDescent="0.2">
      <c r="A2" s="314"/>
      <c r="B2" s="346" t="s">
        <v>457</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308</v>
      </c>
      <c r="C4" s="318"/>
      <c r="D4" s="318"/>
      <c r="E4" s="318"/>
      <c r="F4" s="318"/>
      <c r="G4" s="318"/>
      <c r="H4" s="318"/>
      <c r="I4" s="318"/>
      <c r="J4" s="318"/>
      <c r="K4" s="318"/>
      <c r="L4" s="318"/>
      <c r="M4" s="318"/>
    </row>
    <row r="5" spans="1:13" ht="14.25" x14ac:dyDescent="0.2">
      <c r="A5" s="314"/>
      <c r="B5" s="318" t="s">
        <v>446</v>
      </c>
      <c r="C5" s="318"/>
      <c r="D5" s="318"/>
      <c r="E5" s="318"/>
      <c r="F5" s="318"/>
      <c r="G5" s="318"/>
      <c r="H5" s="318"/>
      <c r="I5" s="318"/>
      <c r="J5" s="318"/>
      <c r="K5" s="318"/>
      <c r="L5" s="318"/>
      <c r="M5" s="318"/>
    </row>
    <row r="6" spans="1:13" ht="47.25" x14ac:dyDescent="0.2">
      <c r="A6" s="314"/>
      <c r="B6" s="71" t="s">
        <v>2</v>
      </c>
      <c r="C6" s="2" t="s">
        <v>3</v>
      </c>
      <c r="D6" s="3" t="s">
        <v>4</v>
      </c>
      <c r="E6" s="3" t="s">
        <v>5</v>
      </c>
      <c r="F6" s="3" t="s">
        <v>6</v>
      </c>
      <c r="G6" s="3" t="s">
        <v>7</v>
      </c>
      <c r="H6" s="4" t="s">
        <v>8</v>
      </c>
      <c r="I6" s="5" t="s">
        <v>9</v>
      </c>
      <c r="J6" s="3" t="s">
        <v>10</v>
      </c>
      <c r="K6" s="3" t="s">
        <v>11</v>
      </c>
      <c r="L6" s="6" t="s">
        <v>12</v>
      </c>
      <c r="M6" s="3" t="s">
        <v>13</v>
      </c>
    </row>
    <row r="7" spans="1:13" ht="15.75" x14ac:dyDescent="0.2">
      <c r="A7" s="298" t="s">
        <v>428</v>
      </c>
      <c r="B7" s="299"/>
      <c r="C7" s="299"/>
      <c r="D7" s="299"/>
      <c r="E7" s="299"/>
      <c r="F7" s="299"/>
      <c r="G7" s="299"/>
      <c r="H7" s="299"/>
      <c r="I7" s="299"/>
      <c r="J7" s="299"/>
      <c r="K7" s="299"/>
      <c r="L7" s="299"/>
      <c r="M7" s="300"/>
    </row>
    <row r="8" spans="1:13" ht="26.45" customHeight="1" x14ac:dyDescent="0.2">
      <c r="A8" s="301">
        <v>1</v>
      </c>
      <c r="B8" s="307" t="s">
        <v>430</v>
      </c>
      <c r="C8" s="307" t="s">
        <v>431</v>
      </c>
      <c r="D8" s="17" t="s">
        <v>432</v>
      </c>
      <c r="E8" s="18">
        <v>100</v>
      </c>
      <c r="F8" s="19" t="s">
        <v>68</v>
      </c>
      <c r="G8" s="73" t="s">
        <v>436</v>
      </c>
      <c r="H8" s="19">
        <f>54000*117/100</f>
        <v>63180</v>
      </c>
      <c r="I8" s="19">
        <f>54000*117/100</f>
        <v>63180</v>
      </c>
      <c r="J8" s="17" t="s">
        <v>20</v>
      </c>
      <c r="K8" s="309" t="s">
        <v>426</v>
      </c>
      <c r="L8" s="319"/>
      <c r="M8" s="312">
        <v>2130102757</v>
      </c>
    </row>
    <row r="9" spans="1:13" ht="13.9" customHeight="1" x14ac:dyDescent="0.2">
      <c r="A9" s="306"/>
      <c r="B9" s="308"/>
      <c r="C9" s="308"/>
      <c r="D9" s="7" t="s">
        <v>433</v>
      </c>
      <c r="E9" s="20">
        <v>90</v>
      </c>
      <c r="F9" s="21" t="s">
        <v>68</v>
      </c>
      <c r="G9" s="72" t="s">
        <v>436</v>
      </c>
      <c r="H9" s="21">
        <f>14500*117/100*6</f>
        <v>101790</v>
      </c>
      <c r="I9" s="21">
        <f>14500*117/100*6</f>
        <v>101790</v>
      </c>
      <c r="J9" s="7" t="s">
        <v>20</v>
      </c>
      <c r="K9" s="310"/>
      <c r="L9" s="320"/>
      <c r="M9" s="313"/>
    </row>
    <row r="10" spans="1:13" ht="13.9" customHeight="1" x14ac:dyDescent="0.2">
      <c r="A10" s="306"/>
      <c r="B10" s="308"/>
      <c r="C10" s="308"/>
      <c r="D10" s="7" t="s">
        <v>434</v>
      </c>
      <c r="E10" s="20">
        <v>68</v>
      </c>
      <c r="F10" s="21" t="s">
        <v>68</v>
      </c>
      <c r="G10" s="72" t="s">
        <v>436</v>
      </c>
      <c r="H10" s="21">
        <f>19500*117/100*6</f>
        <v>136890</v>
      </c>
      <c r="I10" s="21">
        <f>19500*117/100*6</f>
        <v>136890</v>
      </c>
      <c r="J10" s="7" t="s">
        <v>20</v>
      </c>
      <c r="K10" s="310"/>
      <c r="L10" s="320"/>
      <c r="M10" s="313"/>
    </row>
    <row r="11" spans="1:13" ht="13.9" customHeight="1" x14ac:dyDescent="0.2">
      <c r="A11" s="306"/>
      <c r="B11" s="328"/>
      <c r="C11" s="328"/>
      <c r="D11" s="7" t="s">
        <v>435</v>
      </c>
      <c r="E11" s="20">
        <v>64</v>
      </c>
      <c r="F11" s="21" t="s">
        <v>68</v>
      </c>
      <c r="G11" s="72" t="s">
        <v>436</v>
      </c>
      <c r="H11" s="21">
        <f>23184*117/100*6</f>
        <v>162751.67999999999</v>
      </c>
      <c r="I11" s="21">
        <f>23184*117/100*6</f>
        <v>162751.67999999999</v>
      </c>
      <c r="J11" s="7" t="s">
        <v>20</v>
      </c>
      <c r="K11" s="323"/>
      <c r="L11" s="332"/>
      <c r="M11" s="327"/>
    </row>
    <row r="12" spans="1:13" ht="13.9" customHeight="1" x14ac:dyDescent="0.2">
      <c r="A12" s="302"/>
      <c r="B12" s="303"/>
      <c r="C12" s="304"/>
      <c r="D12" s="304"/>
      <c r="E12" s="304"/>
      <c r="F12" s="304"/>
      <c r="G12" s="304"/>
      <c r="H12" s="304"/>
      <c r="I12" s="304"/>
      <c r="J12" s="304"/>
      <c r="K12" s="304"/>
      <c r="L12" s="304"/>
      <c r="M12" s="305"/>
    </row>
    <row r="13" spans="1:13" ht="15.75" x14ac:dyDescent="0.2">
      <c r="A13" s="298" t="s">
        <v>429</v>
      </c>
      <c r="B13" s="299"/>
      <c r="C13" s="299"/>
      <c r="D13" s="299"/>
      <c r="E13" s="299"/>
      <c r="F13" s="299"/>
      <c r="G13" s="299"/>
      <c r="H13" s="299"/>
      <c r="I13" s="299"/>
      <c r="J13" s="299"/>
      <c r="K13" s="299"/>
      <c r="L13" s="299"/>
      <c r="M13" s="300"/>
    </row>
    <row r="14" spans="1:13" ht="38.25" x14ac:dyDescent="0.2">
      <c r="A14" s="301">
        <v>2</v>
      </c>
      <c r="B14" s="307" t="s">
        <v>573</v>
      </c>
      <c r="C14" s="307" t="s">
        <v>441</v>
      </c>
      <c r="D14" s="17" t="s">
        <v>442</v>
      </c>
      <c r="E14" s="18">
        <v>100</v>
      </c>
      <c r="F14" s="19" t="s">
        <v>18</v>
      </c>
      <c r="G14" s="19" t="s">
        <v>18</v>
      </c>
      <c r="H14" s="19">
        <f>57500*117/100</f>
        <v>67275</v>
      </c>
      <c r="I14" s="19">
        <f>57500*117/100</f>
        <v>67275</v>
      </c>
      <c r="J14" s="17" t="s">
        <v>20</v>
      </c>
      <c r="K14" s="309" t="s">
        <v>426</v>
      </c>
      <c r="L14" s="319"/>
      <c r="M14" s="312" t="s">
        <v>452</v>
      </c>
    </row>
    <row r="15" spans="1:13" ht="51" x14ac:dyDescent="0.2">
      <c r="A15" s="306"/>
      <c r="B15" s="308"/>
      <c r="C15" s="308"/>
      <c r="D15" s="7" t="s">
        <v>443</v>
      </c>
      <c r="E15" s="20">
        <v>90</v>
      </c>
      <c r="F15" s="21" t="s">
        <v>18</v>
      </c>
      <c r="G15" s="21" t="s">
        <v>18</v>
      </c>
      <c r="H15" s="21">
        <f>120000*117/100</f>
        <v>140400</v>
      </c>
      <c r="I15" s="21">
        <f>120000*117/100</f>
        <v>140400</v>
      </c>
      <c r="J15" s="7" t="s">
        <v>20</v>
      </c>
      <c r="K15" s="310"/>
      <c r="L15" s="320"/>
      <c r="M15" s="313"/>
    </row>
    <row r="16" spans="1:13" ht="51" x14ac:dyDescent="0.2">
      <c r="A16" s="306"/>
      <c r="B16" s="308"/>
      <c r="C16" s="308"/>
      <c r="D16" s="7" t="s">
        <v>444</v>
      </c>
      <c r="E16" s="20">
        <v>80</v>
      </c>
      <c r="F16" s="21" t="s">
        <v>18</v>
      </c>
      <c r="G16" s="21" t="s">
        <v>18</v>
      </c>
      <c r="H16" s="21">
        <f>157500*117/100</f>
        <v>184275</v>
      </c>
      <c r="I16" s="21">
        <f>157500*117/100</f>
        <v>184275</v>
      </c>
      <c r="J16" s="7" t="s">
        <v>20</v>
      </c>
      <c r="K16" s="310"/>
      <c r="L16" s="320"/>
      <c r="M16" s="313"/>
    </row>
    <row r="17" spans="1:13" ht="38.25" x14ac:dyDescent="0.2">
      <c r="A17" s="306"/>
      <c r="B17" s="328"/>
      <c r="C17" s="328"/>
      <c r="D17" s="7" t="s">
        <v>445</v>
      </c>
      <c r="E17" s="20">
        <v>70</v>
      </c>
      <c r="F17" s="21" t="s">
        <v>18</v>
      </c>
      <c r="G17" s="21" t="s">
        <v>18</v>
      </c>
      <c r="H17" s="21">
        <f>170000*117/100</f>
        <v>198900</v>
      </c>
      <c r="I17" s="21">
        <f>170000*117/100</f>
        <v>198900</v>
      </c>
      <c r="J17" s="7" t="s">
        <v>20</v>
      </c>
      <c r="K17" s="323"/>
      <c r="L17" s="332"/>
      <c r="M17" s="327"/>
    </row>
    <row r="18" spans="1:13" ht="13.9" customHeight="1" x14ac:dyDescent="0.2">
      <c r="A18" s="302"/>
      <c r="B18" s="303"/>
      <c r="C18" s="304"/>
      <c r="D18" s="304"/>
      <c r="E18" s="304"/>
      <c r="F18" s="304"/>
      <c r="G18" s="304"/>
      <c r="H18" s="304"/>
      <c r="I18" s="304"/>
      <c r="J18" s="304"/>
      <c r="K18" s="304"/>
      <c r="L18" s="304"/>
      <c r="M18" s="305"/>
    </row>
    <row r="19" spans="1:13" ht="15.75" x14ac:dyDescent="0.2">
      <c r="A19" s="298" t="s">
        <v>451</v>
      </c>
      <c r="B19" s="299"/>
      <c r="C19" s="299"/>
      <c r="D19" s="299"/>
      <c r="E19" s="299"/>
      <c r="F19" s="299"/>
      <c r="G19" s="299"/>
      <c r="H19" s="299"/>
      <c r="I19" s="299"/>
      <c r="J19" s="299"/>
      <c r="K19" s="299"/>
      <c r="L19" s="299"/>
      <c r="M19" s="300"/>
    </row>
    <row r="20" spans="1:13" ht="30.6" customHeight="1" x14ac:dyDescent="0.2">
      <c r="A20" s="301">
        <v>3</v>
      </c>
      <c r="B20" s="307" t="s">
        <v>447</v>
      </c>
      <c r="C20" s="307" t="s">
        <v>134</v>
      </c>
      <c r="D20" s="17" t="s">
        <v>449</v>
      </c>
      <c r="E20" s="18">
        <v>90</v>
      </c>
      <c r="F20" s="19" t="s">
        <v>29</v>
      </c>
      <c r="G20" s="19" t="s">
        <v>379</v>
      </c>
      <c r="H20" s="19">
        <f>250*117/100</f>
        <v>292.5</v>
      </c>
      <c r="I20" s="19">
        <f t="shared" ref="I20:I21" si="0">200*H20</f>
        <v>58500</v>
      </c>
      <c r="J20" s="17"/>
      <c r="K20" s="309" t="s">
        <v>454</v>
      </c>
      <c r="L20" s="319"/>
      <c r="M20" s="312"/>
    </row>
    <row r="21" spans="1:13" ht="34.15" customHeight="1" x14ac:dyDescent="0.2">
      <c r="A21" s="306"/>
      <c r="B21" s="328"/>
      <c r="C21" s="328"/>
      <c r="D21" s="7" t="s">
        <v>450</v>
      </c>
      <c r="E21" s="20">
        <v>74</v>
      </c>
      <c r="F21" s="21" t="s">
        <v>29</v>
      </c>
      <c r="G21" s="21" t="s">
        <v>379</v>
      </c>
      <c r="H21" s="21">
        <f>322*117/100</f>
        <v>376.74</v>
      </c>
      <c r="I21" s="21">
        <f t="shared" si="0"/>
        <v>75348</v>
      </c>
      <c r="J21" s="7"/>
      <c r="K21" s="323"/>
      <c r="L21" s="332"/>
      <c r="M21" s="327"/>
    </row>
    <row r="22" spans="1:13" ht="30" customHeight="1" x14ac:dyDescent="0.2">
      <c r="A22" s="302"/>
      <c r="B22" s="303" t="s">
        <v>453</v>
      </c>
      <c r="C22" s="304"/>
      <c r="D22" s="304"/>
      <c r="E22" s="304"/>
      <c r="F22" s="304"/>
      <c r="G22" s="304"/>
      <c r="H22" s="304"/>
      <c r="I22" s="304"/>
      <c r="J22" s="304"/>
      <c r="K22" s="304"/>
      <c r="L22" s="304"/>
      <c r="M22" s="305"/>
    </row>
    <row r="23" spans="1:13" ht="15.75" x14ac:dyDescent="0.2">
      <c r="A23" s="298" t="s">
        <v>437</v>
      </c>
      <c r="B23" s="299"/>
      <c r="C23" s="299"/>
      <c r="D23" s="299"/>
      <c r="E23" s="299"/>
      <c r="F23" s="299"/>
      <c r="G23" s="299"/>
      <c r="H23" s="299"/>
      <c r="I23" s="299"/>
      <c r="J23" s="299"/>
      <c r="K23" s="299"/>
      <c r="L23" s="299"/>
      <c r="M23" s="300"/>
    </row>
    <row r="24" spans="1:13" ht="63.75" x14ac:dyDescent="0.2">
      <c r="A24" s="301">
        <v>4</v>
      </c>
      <c r="B24" s="106" t="s">
        <v>611</v>
      </c>
      <c r="C24" s="106" t="s">
        <v>134</v>
      </c>
      <c r="D24" s="17" t="s">
        <v>612</v>
      </c>
      <c r="E24" s="18">
        <v>100</v>
      </c>
      <c r="F24" s="19" t="s">
        <v>18</v>
      </c>
      <c r="G24" s="19" t="s">
        <v>18</v>
      </c>
      <c r="H24" s="19">
        <v>117000</v>
      </c>
      <c r="I24" s="19">
        <v>117000</v>
      </c>
      <c r="J24" s="17" t="s">
        <v>20</v>
      </c>
      <c r="K24" s="107" t="s">
        <v>21</v>
      </c>
      <c r="L24" s="108"/>
      <c r="M24" s="109">
        <v>400444010</v>
      </c>
    </row>
    <row r="25" spans="1:13" ht="13.9" customHeight="1" x14ac:dyDescent="0.2">
      <c r="A25" s="302"/>
      <c r="B25" s="303" t="s">
        <v>613</v>
      </c>
      <c r="C25" s="304"/>
      <c r="D25" s="304"/>
      <c r="E25" s="304"/>
      <c r="F25" s="304"/>
      <c r="G25" s="304"/>
      <c r="H25" s="304"/>
      <c r="I25" s="304"/>
      <c r="J25" s="304"/>
      <c r="K25" s="304"/>
      <c r="L25" s="304"/>
      <c r="M25" s="305"/>
    </row>
    <row r="26" spans="1:13" ht="15.75" x14ac:dyDescent="0.2">
      <c r="A26" s="298" t="s">
        <v>458</v>
      </c>
      <c r="B26" s="299"/>
      <c r="C26" s="299"/>
      <c r="D26" s="299"/>
      <c r="E26" s="299"/>
      <c r="F26" s="299"/>
      <c r="G26" s="299"/>
      <c r="H26" s="299"/>
      <c r="I26" s="299"/>
      <c r="J26" s="299"/>
      <c r="K26" s="299"/>
      <c r="L26" s="299"/>
      <c r="M26" s="300"/>
    </row>
    <row r="27" spans="1:13" ht="25.5" x14ac:dyDescent="0.2">
      <c r="A27" s="301">
        <v>5</v>
      </c>
      <c r="B27" s="307" t="s">
        <v>456</v>
      </c>
      <c r="C27" s="307" t="s">
        <v>460</v>
      </c>
      <c r="D27" s="17" t="s">
        <v>459</v>
      </c>
      <c r="E27" s="18">
        <v>100</v>
      </c>
      <c r="F27" s="19" t="s">
        <v>29</v>
      </c>
      <c r="G27" s="19" t="s">
        <v>30</v>
      </c>
      <c r="H27" s="19">
        <v>245</v>
      </c>
      <c r="I27" s="19">
        <f>H27*100</f>
        <v>24500</v>
      </c>
      <c r="J27" s="17"/>
      <c r="K27" s="309" t="s">
        <v>426</v>
      </c>
      <c r="L27" s="319"/>
      <c r="M27" s="312"/>
    </row>
    <row r="28" spans="1:13" ht="14.25" x14ac:dyDescent="0.2">
      <c r="A28" s="306"/>
      <c r="B28" s="308"/>
      <c r="C28" s="308"/>
      <c r="D28" s="7" t="s">
        <v>124</v>
      </c>
      <c r="E28" s="20">
        <v>90</v>
      </c>
      <c r="F28" s="21" t="s">
        <v>29</v>
      </c>
      <c r="G28" s="21" t="s">
        <v>30</v>
      </c>
      <c r="H28" s="21">
        <f>210*117/100</f>
        <v>245.7</v>
      </c>
      <c r="I28" s="21">
        <f>H28*100</f>
        <v>24570</v>
      </c>
      <c r="J28" s="7" t="s">
        <v>20</v>
      </c>
      <c r="K28" s="310"/>
      <c r="L28" s="320"/>
      <c r="M28" s="313"/>
    </row>
    <row r="29" spans="1:13" ht="14.25" x14ac:dyDescent="0.2">
      <c r="A29" s="306"/>
      <c r="B29" s="308"/>
      <c r="C29" s="308"/>
      <c r="D29" s="7" t="s">
        <v>40</v>
      </c>
      <c r="E29" s="20">
        <v>80</v>
      </c>
      <c r="F29" s="21" t="s">
        <v>29</v>
      </c>
      <c r="G29" s="21" t="s">
        <v>30</v>
      </c>
      <c r="H29" s="21">
        <f>210*117/100</f>
        <v>245.7</v>
      </c>
      <c r="I29" s="21">
        <f>H29*100</f>
        <v>24570</v>
      </c>
      <c r="J29" s="7" t="s">
        <v>20</v>
      </c>
      <c r="K29" s="310"/>
      <c r="L29" s="320"/>
      <c r="M29" s="313"/>
    </row>
    <row r="30" spans="1:13" ht="25.5" x14ac:dyDescent="0.2">
      <c r="A30" s="306"/>
      <c r="B30" s="308"/>
      <c r="C30" s="308"/>
      <c r="D30" s="7" t="s">
        <v>138</v>
      </c>
      <c r="E30" s="20">
        <v>70</v>
      </c>
      <c r="F30" s="21" t="s">
        <v>29</v>
      </c>
      <c r="G30" s="21" t="s">
        <v>30</v>
      </c>
      <c r="H30" s="21">
        <f>220*117/100</f>
        <v>257.39999999999998</v>
      </c>
      <c r="I30" s="21">
        <f t="shared" ref="I30:I31" si="1">H30*100</f>
        <v>25739.999999999996</v>
      </c>
      <c r="J30" s="7" t="s">
        <v>20</v>
      </c>
      <c r="K30" s="310"/>
      <c r="L30" s="320"/>
      <c r="M30" s="313"/>
    </row>
    <row r="31" spans="1:13" ht="25.5" x14ac:dyDescent="0.2">
      <c r="A31" s="306"/>
      <c r="B31" s="328"/>
      <c r="C31" s="328"/>
      <c r="D31" s="7" t="s">
        <v>42</v>
      </c>
      <c r="E31" s="20">
        <v>60</v>
      </c>
      <c r="F31" s="21" t="s">
        <v>29</v>
      </c>
      <c r="G31" s="21" t="s">
        <v>30</v>
      </c>
      <c r="H31" s="21">
        <f>228*117/100</f>
        <v>266.76</v>
      </c>
      <c r="I31" s="21">
        <f t="shared" si="1"/>
        <v>26676</v>
      </c>
      <c r="J31" s="7" t="s">
        <v>20</v>
      </c>
      <c r="K31" s="323"/>
      <c r="L31" s="332"/>
      <c r="M31" s="327"/>
    </row>
    <row r="32" spans="1:13" ht="14.25" x14ac:dyDescent="0.2">
      <c r="A32" s="302"/>
      <c r="B32" s="303"/>
      <c r="C32" s="304"/>
      <c r="D32" s="304"/>
      <c r="E32" s="304"/>
      <c r="F32" s="304"/>
      <c r="G32" s="304"/>
      <c r="H32" s="304"/>
      <c r="I32" s="304"/>
      <c r="J32" s="304"/>
      <c r="K32" s="304"/>
      <c r="L32" s="304"/>
      <c r="M32" s="305"/>
    </row>
  </sheetData>
  <mergeCells count="41">
    <mergeCell ref="B25:M25"/>
    <mergeCell ref="A24:A25"/>
    <mergeCell ref="A26:M26"/>
    <mergeCell ref="A27:A32"/>
    <mergeCell ref="B27:B31"/>
    <mergeCell ref="C27:C31"/>
    <mergeCell ref="K27:K31"/>
    <mergeCell ref="L27:L31"/>
    <mergeCell ref="M27:M31"/>
    <mergeCell ref="B32:M32"/>
    <mergeCell ref="A1:A6"/>
    <mergeCell ref="B1:M1"/>
    <mergeCell ref="B2:M2"/>
    <mergeCell ref="B3:M3"/>
    <mergeCell ref="B4:M4"/>
    <mergeCell ref="B5:M5"/>
    <mergeCell ref="A7:M7"/>
    <mergeCell ref="A8:A12"/>
    <mergeCell ref="A13:M13"/>
    <mergeCell ref="A14:A18"/>
    <mergeCell ref="B14:B17"/>
    <mergeCell ref="C14:C17"/>
    <mergeCell ref="K14:K17"/>
    <mergeCell ref="L14:L17"/>
    <mergeCell ref="M14:M17"/>
    <mergeCell ref="B18:M18"/>
    <mergeCell ref="B12:M12"/>
    <mergeCell ref="B8:B11"/>
    <mergeCell ref="C8:C11"/>
    <mergeCell ref="K8:K11"/>
    <mergeCell ref="L8:L11"/>
    <mergeCell ref="M8:M11"/>
    <mergeCell ref="A23:M23"/>
    <mergeCell ref="A19:M19"/>
    <mergeCell ref="A20:A22"/>
    <mergeCell ref="B20:B21"/>
    <mergeCell ref="C20:C21"/>
    <mergeCell ref="K20:K21"/>
    <mergeCell ref="L20:L21"/>
    <mergeCell ref="M20:M21"/>
    <mergeCell ref="B22:M22"/>
  </mergeCells>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rightToLeft="1" tabSelected="1" topLeftCell="B1" zoomScaleNormal="100" workbookViewId="0">
      <pane ySplit="6" topLeftCell="A7" activePane="bottomLeft" state="frozen"/>
      <selection pane="bottomLeft" activeCell="F8" sqref="F8"/>
    </sheetView>
  </sheetViews>
  <sheetFormatPr defaultColWidth="8.75" defaultRowHeight="15" x14ac:dyDescent="0.2"/>
  <cols>
    <col min="1" max="1" width="4.25" style="270" customWidth="1"/>
    <col min="2" max="2" width="21.125" style="8" bestFit="1" customWidth="1"/>
    <col min="3" max="3" width="8.75" style="270"/>
    <col min="4" max="4" width="7.25" style="270" customWidth="1"/>
    <col min="5" max="5" width="7.75" style="270" customWidth="1"/>
    <col min="6" max="6" width="10.25" style="270" bestFit="1" customWidth="1"/>
    <col min="7" max="7" width="12.125" style="9" bestFit="1" customWidth="1"/>
    <col min="8" max="8" width="13.625" style="10" bestFit="1" customWidth="1"/>
    <col min="9" max="9" width="14.625" style="10" bestFit="1" customWidth="1"/>
    <col min="10" max="10" width="9" style="270" customWidth="1"/>
    <col min="11" max="11" width="23.625" style="11" customWidth="1"/>
    <col min="12" max="12" width="13.5" style="12" customWidth="1"/>
    <col min="13" max="13" width="16.5" style="13" customWidth="1"/>
    <col min="14" max="16384" width="8.75" style="270"/>
  </cols>
  <sheetData>
    <row r="1" spans="1:13" ht="20.25" x14ac:dyDescent="0.2">
      <c r="A1" s="314"/>
      <c r="B1" s="315" t="s">
        <v>1426</v>
      </c>
      <c r="C1" s="315"/>
      <c r="D1" s="315"/>
      <c r="E1" s="315"/>
      <c r="F1" s="315"/>
      <c r="G1" s="315"/>
      <c r="H1" s="315"/>
      <c r="I1" s="315"/>
      <c r="J1" s="315"/>
      <c r="K1" s="315"/>
      <c r="L1" s="315"/>
      <c r="M1" s="315"/>
    </row>
    <row r="2" spans="1:13" ht="29.45" customHeight="1" x14ac:dyDescent="0.2">
      <c r="A2" s="314"/>
      <c r="B2" s="316" t="s">
        <v>1420</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14.25" x14ac:dyDescent="0.2">
      <c r="A5" s="314"/>
      <c r="B5" s="318"/>
      <c r="C5" s="318"/>
      <c r="D5" s="318"/>
      <c r="E5" s="318"/>
      <c r="F5" s="318"/>
      <c r="G5" s="318"/>
      <c r="H5" s="318"/>
      <c r="I5" s="318"/>
      <c r="J5" s="318"/>
      <c r="K5" s="318"/>
      <c r="L5" s="318"/>
      <c r="M5" s="318"/>
    </row>
    <row r="6" spans="1:13" ht="47.25" x14ac:dyDescent="0.2">
      <c r="A6" s="314"/>
      <c r="B6" s="271" t="s">
        <v>2</v>
      </c>
      <c r="C6" s="2" t="s">
        <v>3</v>
      </c>
      <c r="D6" s="3" t="s">
        <v>4</v>
      </c>
      <c r="E6" s="3" t="s">
        <v>5</v>
      </c>
      <c r="F6" s="3" t="s">
        <v>6</v>
      </c>
      <c r="G6" s="3" t="s">
        <v>7</v>
      </c>
      <c r="H6" s="4" t="s">
        <v>8</v>
      </c>
      <c r="I6" s="5" t="s">
        <v>9</v>
      </c>
      <c r="J6" s="3" t="s">
        <v>10</v>
      </c>
      <c r="K6" s="3" t="s">
        <v>11</v>
      </c>
      <c r="L6" s="130" t="s">
        <v>12</v>
      </c>
      <c r="M6" s="3" t="s">
        <v>13</v>
      </c>
    </row>
    <row r="7" spans="1:13" ht="15.75" x14ac:dyDescent="0.2">
      <c r="A7" s="298" t="s">
        <v>1382</v>
      </c>
      <c r="B7" s="299"/>
      <c r="C7" s="299"/>
      <c r="D7" s="299"/>
      <c r="E7" s="299"/>
      <c r="F7" s="299"/>
      <c r="G7" s="299"/>
      <c r="H7" s="299"/>
      <c r="I7" s="299"/>
      <c r="J7" s="299"/>
      <c r="K7" s="299"/>
      <c r="L7" s="299"/>
      <c r="M7" s="300"/>
    </row>
    <row r="8" spans="1:13" ht="89.25" x14ac:dyDescent="0.2">
      <c r="A8" s="301">
        <v>1</v>
      </c>
      <c r="B8" s="268" t="s">
        <v>1374</v>
      </c>
      <c r="C8" s="268" t="s">
        <v>1375</v>
      </c>
      <c r="D8" s="17" t="s">
        <v>860</v>
      </c>
      <c r="E8" s="18">
        <v>100</v>
      </c>
      <c r="F8" s="19" t="s">
        <v>29</v>
      </c>
      <c r="G8" s="19" t="s">
        <v>1376</v>
      </c>
      <c r="H8" s="19">
        <f>280*117/100</f>
        <v>327.60000000000002</v>
      </c>
      <c r="I8" s="19">
        <f>H8*10</f>
        <v>3276</v>
      </c>
      <c r="J8" s="17" t="s">
        <v>20</v>
      </c>
      <c r="K8" s="295" t="s">
        <v>583</v>
      </c>
      <c r="L8" s="272"/>
      <c r="M8" s="269"/>
    </row>
    <row r="9" spans="1:13" ht="14.25" customHeight="1" x14ac:dyDescent="0.2">
      <c r="A9" s="302"/>
      <c r="B9" s="303" t="s">
        <v>1393</v>
      </c>
      <c r="C9" s="304"/>
      <c r="D9" s="304"/>
      <c r="E9" s="304"/>
      <c r="F9" s="304"/>
      <c r="G9" s="304"/>
      <c r="H9" s="304"/>
      <c r="I9" s="304"/>
      <c r="J9" s="304"/>
      <c r="K9" s="304"/>
      <c r="L9" s="304"/>
      <c r="M9" s="305"/>
    </row>
    <row r="10" spans="1:13" ht="15.75" x14ac:dyDescent="0.2">
      <c r="A10" s="298" t="s">
        <v>1383</v>
      </c>
      <c r="B10" s="299"/>
      <c r="C10" s="299"/>
      <c r="D10" s="299"/>
      <c r="E10" s="299"/>
      <c r="F10" s="299"/>
      <c r="G10" s="299"/>
      <c r="H10" s="299"/>
      <c r="I10" s="299"/>
      <c r="J10" s="299"/>
      <c r="K10" s="299"/>
      <c r="L10" s="299"/>
      <c r="M10" s="300"/>
    </row>
    <row r="11" spans="1:13" ht="59.25" customHeight="1" x14ac:dyDescent="0.2">
      <c r="A11" s="301">
        <v>2</v>
      </c>
      <c r="B11" s="307" t="s">
        <v>1377</v>
      </c>
      <c r="C11" s="321" t="s">
        <v>1330</v>
      </c>
      <c r="D11" s="296" t="s">
        <v>1427</v>
      </c>
      <c r="E11" s="53">
        <v>100</v>
      </c>
      <c r="F11" s="54" t="s">
        <v>1274</v>
      </c>
      <c r="G11" s="54" t="s">
        <v>1380</v>
      </c>
      <c r="H11" s="55">
        <v>2.75E-2</v>
      </c>
      <c r="I11" s="54">
        <f>2.75/100*3300000*117/100</f>
        <v>106177.5</v>
      </c>
      <c r="J11" s="52" t="s">
        <v>20</v>
      </c>
      <c r="K11" s="324" t="s">
        <v>1421</v>
      </c>
      <c r="L11" s="311"/>
      <c r="M11" s="312" t="s">
        <v>1381</v>
      </c>
    </row>
    <row r="12" spans="1:13" ht="46.5" customHeight="1" x14ac:dyDescent="0.2">
      <c r="A12" s="306"/>
      <c r="B12" s="308"/>
      <c r="C12" s="322"/>
      <c r="D12" s="196" t="s">
        <v>1428</v>
      </c>
      <c r="E12" s="20">
        <v>98.75</v>
      </c>
      <c r="F12" s="21" t="s">
        <v>1274</v>
      </c>
      <c r="G12" s="258" t="s">
        <v>1380</v>
      </c>
      <c r="H12" s="36">
        <v>2.8000000000000001E-2</v>
      </c>
      <c r="I12" s="259">
        <f>2.8/100*3300000*117/100</f>
        <v>108107.99999999999</v>
      </c>
      <c r="J12" s="7" t="s">
        <v>20</v>
      </c>
      <c r="K12" s="325"/>
      <c r="L12" s="311"/>
      <c r="M12" s="313"/>
    </row>
    <row r="13" spans="1:13" ht="24" x14ac:dyDescent="0.2">
      <c r="A13" s="306"/>
      <c r="B13" s="308"/>
      <c r="C13" s="322"/>
      <c r="D13" s="7" t="s">
        <v>1378</v>
      </c>
      <c r="E13" s="20">
        <v>85</v>
      </c>
      <c r="F13" s="21" t="s">
        <v>1274</v>
      </c>
      <c r="G13" s="258" t="s">
        <v>1380</v>
      </c>
      <c r="H13" s="36">
        <v>3.5000000000000003E-2</v>
      </c>
      <c r="I13" s="259">
        <f>3.5/100*3300000*117/100</f>
        <v>135135.00000000003</v>
      </c>
      <c r="J13" s="7"/>
      <c r="K13" s="326"/>
      <c r="L13" s="311"/>
      <c r="M13" s="313"/>
    </row>
    <row r="14" spans="1:13" ht="14.25" x14ac:dyDescent="0.2">
      <c r="A14" s="302"/>
      <c r="B14" s="303" t="s">
        <v>1379</v>
      </c>
      <c r="C14" s="304"/>
      <c r="D14" s="304"/>
      <c r="E14" s="304"/>
      <c r="F14" s="304"/>
      <c r="G14" s="304"/>
      <c r="H14" s="304"/>
      <c r="I14" s="304"/>
      <c r="J14" s="304"/>
      <c r="K14" s="304"/>
      <c r="L14" s="304"/>
      <c r="M14" s="305"/>
    </row>
    <row r="15" spans="1:13" ht="15.75" x14ac:dyDescent="0.2">
      <c r="A15" s="298" t="s">
        <v>1384</v>
      </c>
      <c r="B15" s="299"/>
      <c r="C15" s="299"/>
      <c r="D15" s="299"/>
      <c r="E15" s="299"/>
      <c r="F15" s="299"/>
      <c r="G15" s="299"/>
      <c r="H15" s="299"/>
      <c r="I15" s="299"/>
      <c r="J15" s="299"/>
      <c r="K15" s="299"/>
      <c r="L15" s="299"/>
      <c r="M15" s="300"/>
    </row>
    <row r="16" spans="1:13" ht="38.25" x14ac:dyDescent="0.2">
      <c r="A16" s="301">
        <v>3</v>
      </c>
      <c r="B16" s="274" t="s">
        <v>1317</v>
      </c>
      <c r="C16" s="274" t="s">
        <v>210</v>
      </c>
      <c r="D16" s="49" t="s">
        <v>1121</v>
      </c>
      <c r="E16" s="50">
        <v>100</v>
      </c>
      <c r="F16" s="51" t="s">
        <v>1309</v>
      </c>
      <c r="G16" s="51" t="s">
        <v>1309</v>
      </c>
      <c r="H16" s="51">
        <f>27500*117/100</f>
        <v>32175</v>
      </c>
      <c r="I16" s="51">
        <f>27500*117/100</f>
        <v>32175</v>
      </c>
      <c r="J16" s="49" t="s">
        <v>20</v>
      </c>
      <c r="K16" s="295" t="s">
        <v>583</v>
      </c>
      <c r="L16" s="276"/>
      <c r="M16" s="275" t="s">
        <v>1310</v>
      </c>
    </row>
    <row r="17" spans="1:13" ht="27" customHeight="1" x14ac:dyDescent="0.2">
      <c r="A17" s="302"/>
      <c r="B17" s="303" t="s">
        <v>1440</v>
      </c>
      <c r="C17" s="304"/>
      <c r="D17" s="304"/>
      <c r="E17" s="304"/>
      <c r="F17" s="304"/>
      <c r="G17" s="304"/>
      <c r="H17" s="304"/>
      <c r="I17" s="304"/>
      <c r="J17" s="304"/>
      <c r="K17" s="304"/>
      <c r="L17" s="304"/>
      <c r="M17" s="305"/>
    </row>
    <row r="18" spans="1:13" s="277" customFormat="1" ht="15.75" x14ac:dyDescent="0.2">
      <c r="A18" s="298" t="s">
        <v>1385</v>
      </c>
      <c r="B18" s="299"/>
      <c r="C18" s="299"/>
      <c r="D18" s="299"/>
      <c r="E18" s="299"/>
      <c r="F18" s="299"/>
      <c r="G18" s="299"/>
      <c r="H18" s="299"/>
      <c r="I18" s="299"/>
      <c r="J18" s="299"/>
      <c r="K18" s="299"/>
      <c r="L18" s="299"/>
      <c r="M18" s="300"/>
    </row>
    <row r="19" spans="1:13" s="277" customFormat="1" ht="36.75" customHeight="1" x14ac:dyDescent="0.2">
      <c r="A19" s="301">
        <v>4</v>
      </c>
      <c r="B19" s="307" t="s">
        <v>1386</v>
      </c>
      <c r="C19" s="321" t="s">
        <v>1356</v>
      </c>
      <c r="D19" s="296" t="s">
        <v>1429</v>
      </c>
      <c r="E19" s="53">
        <v>100</v>
      </c>
      <c r="F19" s="54" t="s">
        <v>1309</v>
      </c>
      <c r="G19" s="54" t="s">
        <v>1309</v>
      </c>
      <c r="H19" s="54">
        <f>45000*117/100</f>
        <v>52650</v>
      </c>
      <c r="I19" s="54">
        <f>45000*117/100</f>
        <v>52650</v>
      </c>
      <c r="J19" s="52" t="s">
        <v>20</v>
      </c>
      <c r="K19" s="309" t="s">
        <v>1422</v>
      </c>
      <c r="L19" s="311"/>
      <c r="M19" s="312">
        <v>295001</v>
      </c>
    </row>
    <row r="20" spans="1:13" s="277" customFormat="1" ht="48" customHeight="1" x14ac:dyDescent="0.2">
      <c r="A20" s="306"/>
      <c r="B20" s="308"/>
      <c r="C20" s="322"/>
      <c r="D20" s="297" t="s">
        <v>1430</v>
      </c>
      <c r="E20" s="279">
        <v>87</v>
      </c>
      <c r="F20" s="280" t="s">
        <v>1309</v>
      </c>
      <c r="G20" s="280" t="s">
        <v>1309</v>
      </c>
      <c r="H20" s="280">
        <f>55000*117/100</f>
        <v>64350</v>
      </c>
      <c r="I20" s="280">
        <f>55000*117/100</f>
        <v>64350</v>
      </c>
      <c r="J20" s="278" t="s">
        <v>20</v>
      </c>
      <c r="K20" s="310"/>
      <c r="L20" s="311"/>
      <c r="M20" s="313"/>
    </row>
    <row r="21" spans="1:13" s="277" customFormat="1" ht="25.5" customHeight="1" x14ac:dyDescent="0.2">
      <c r="A21" s="306"/>
      <c r="B21" s="308"/>
      <c r="C21" s="322"/>
      <c r="D21" s="278" t="s">
        <v>163</v>
      </c>
      <c r="E21" s="279">
        <v>85</v>
      </c>
      <c r="F21" s="280" t="s">
        <v>1309</v>
      </c>
      <c r="G21" s="280" t="s">
        <v>1309</v>
      </c>
      <c r="H21" s="280">
        <f>57000*117/100</f>
        <v>66690</v>
      </c>
      <c r="I21" s="280">
        <f>57000*117/100</f>
        <v>66690</v>
      </c>
      <c r="J21" s="278" t="s">
        <v>20</v>
      </c>
      <c r="K21" s="310"/>
      <c r="L21" s="311"/>
      <c r="M21" s="313"/>
    </row>
    <row r="22" spans="1:13" s="277" customFormat="1" ht="25.5" customHeight="1" x14ac:dyDescent="0.2">
      <c r="A22" s="306"/>
      <c r="B22" s="308"/>
      <c r="C22" s="322"/>
      <c r="D22" s="278" t="s">
        <v>1431</v>
      </c>
      <c r="E22" s="279">
        <v>70</v>
      </c>
      <c r="F22" s="280" t="s">
        <v>1309</v>
      </c>
      <c r="G22" s="280" t="s">
        <v>1309</v>
      </c>
      <c r="H22" s="280">
        <f>78000*117/100</f>
        <v>91260</v>
      </c>
      <c r="I22" s="280">
        <f>78000*117/100</f>
        <v>91260</v>
      </c>
      <c r="J22" s="278" t="s">
        <v>20</v>
      </c>
      <c r="K22" s="310"/>
      <c r="L22" s="311"/>
      <c r="M22" s="313"/>
    </row>
    <row r="23" spans="1:13" s="277" customFormat="1" ht="28.5" customHeight="1" x14ac:dyDescent="0.2">
      <c r="A23" s="306"/>
      <c r="B23" s="308"/>
      <c r="C23" s="322"/>
      <c r="D23" s="278" t="s">
        <v>19</v>
      </c>
      <c r="E23" s="279">
        <v>65</v>
      </c>
      <c r="F23" s="280" t="s">
        <v>1309</v>
      </c>
      <c r="G23" s="280" t="s">
        <v>1309</v>
      </c>
      <c r="H23" s="280">
        <f>90000*117/100</f>
        <v>105300</v>
      </c>
      <c r="I23" s="280">
        <f>90000*117/100</f>
        <v>105300</v>
      </c>
      <c r="J23" s="278" t="s">
        <v>20</v>
      </c>
      <c r="K23" s="310"/>
      <c r="L23" s="311"/>
      <c r="M23" s="313"/>
    </row>
    <row r="24" spans="1:13" s="277" customFormat="1" ht="28.5" customHeight="1" x14ac:dyDescent="0.2">
      <c r="A24" s="306"/>
      <c r="B24" s="308"/>
      <c r="C24" s="322"/>
      <c r="D24" s="278" t="s">
        <v>1387</v>
      </c>
      <c r="E24" s="279">
        <v>60</v>
      </c>
      <c r="F24" s="280" t="s">
        <v>1309</v>
      </c>
      <c r="G24" s="280" t="s">
        <v>1309</v>
      </c>
      <c r="H24" s="280">
        <f>103000*117/100</f>
        <v>120510</v>
      </c>
      <c r="I24" s="280">
        <f>103000*117/100</f>
        <v>120510</v>
      </c>
      <c r="J24" s="278"/>
      <c r="K24" s="310"/>
      <c r="L24" s="311"/>
      <c r="M24" s="313"/>
    </row>
    <row r="25" spans="1:13" s="277" customFormat="1" ht="28.5" customHeight="1" x14ac:dyDescent="0.2">
      <c r="A25" s="306"/>
      <c r="B25" s="308"/>
      <c r="C25" s="322"/>
      <c r="D25" s="278" t="s">
        <v>1432</v>
      </c>
      <c r="E25" s="279">
        <v>52.5</v>
      </c>
      <c r="F25" s="280" t="s">
        <v>1309</v>
      </c>
      <c r="G25" s="280" t="s">
        <v>1309</v>
      </c>
      <c r="H25" s="280">
        <f>140000*117/100</f>
        <v>163800</v>
      </c>
      <c r="I25" s="280">
        <f>140000*117/100</f>
        <v>163800</v>
      </c>
      <c r="J25" s="278" t="s">
        <v>20</v>
      </c>
      <c r="K25" s="310"/>
      <c r="L25" s="311"/>
      <c r="M25" s="313"/>
    </row>
    <row r="26" spans="1:13" s="277" customFormat="1" ht="25.5" x14ac:dyDescent="0.2">
      <c r="A26" s="306"/>
      <c r="B26" s="308"/>
      <c r="C26" s="322"/>
      <c r="D26" s="278" t="s">
        <v>1357</v>
      </c>
      <c r="E26" s="279">
        <v>53</v>
      </c>
      <c r="F26" s="280" t="s">
        <v>1309</v>
      </c>
      <c r="G26" s="280" t="s">
        <v>1309</v>
      </c>
      <c r="H26" s="280">
        <f>140000*117/100</f>
        <v>163800</v>
      </c>
      <c r="I26" s="280">
        <f>140000*117/100</f>
        <v>163800</v>
      </c>
      <c r="J26" s="278" t="s">
        <v>20</v>
      </c>
      <c r="K26" s="323"/>
      <c r="L26" s="311"/>
      <c r="M26" s="313"/>
    </row>
    <row r="27" spans="1:13" s="277" customFormat="1" ht="14.25" x14ac:dyDescent="0.2">
      <c r="A27" s="302"/>
      <c r="B27" s="303"/>
      <c r="C27" s="304"/>
      <c r="D27" s="304"/>
      <c r="E27" s="304"/>
      <c r="F27" s="304"/>
      <c r="G27" s="304"/>
      <c r="H27" s="304"/>
      <c r="I27" s="304"/>
      <c r="J27" s="304"/>
      <c r="K27" s="304"/>
      <c r="L27" s="304"/>
      <c r="M27" s="305"/>
    </row>
    <row r="28" spans="1:13" s="284" customFormat="1" ht="15.75" x14ac:dyDescent="0.2">
      <c r="A28" s="298" t="s">
        <v>1388</v>
      </c>
      <c r="B28" s="299"/>
      <c r="C28" s="299"/>
      <c r="D28" s="299"/>
      <c r="E28" s="299"/>
      <c r="F28" s="299"/>
      <c r="G28" s="299"/>
      <c r="H28" s="299"/>
      <c r="I28" s="299"/>
      <c r="J28" s="299"/>
      <c r="K28" s="299"/>
      <c r="L28" s="299"/>
      <c r="M28" s="300"/>
    </row>
    <row r="29" spans="1:13" s="284" customFormat="1" ht="57" x14ac:dyDescent="0.2">
      <c r="A29" s="301">
        <v>5</v>
      </c>
      <c r="B29" s="281" t="s">
        <v>1389</v>
      </c>
      <c r="C29" s="281" t="s">
        <v>1390</v>
      </c>
      <c r="D29" s="52" t="s">
        <v>1391</v>
      </c>
      <c r="E29" s="53">
        <v>100</v>
      </c>
      <c r="F29" s="54" t="s">
        <v>29</v>
      </c>
      <c r="G29" s="54" t="s">
        <v>608</v>
      </c>
      <c r="H29" s="54">
        <f>139*117/100</f>
        <v>162.63</v>
      </c>
      <c r="I29" s="54">
        <f>H29*120</f>
        <v>19515.599999999999</v>
      </c>
      <c r="J29" s="52" t="s">
        <v>20</v>
      </c>
      <c r="K29" s="282" t="s">
        <v>1423</v>
      </c>
      <c r="L29" s="285"/>
      <c r="M29" s="283">
        <v>181100786</v>
      </c>
    </row>
    <row r="30" spans="1:13" s="284" customFormat="1" ht="29.25" customHeight="1" x14ac:dyDescent="0.2">
      <c r="A30" s="302"/>
      <c r="B30" s="303" t="s">
        <v>1394</v>
      </c>
      <c r="C30" s="304"/>
      <c r="D30" s="304"/>
      <c r="E30" s="304"/>
      <c r="F30" s="304"/>
      <c r="G30" s="304"/>
      <c r="H30" s="304"/>
      <c r="I30" s="304"/>
      <c r="J30" s="304"/>
      <c r="K30" s="304"/>
      <c r="L30" s="304"/>
      <c r="M30" s="305"/>
    </row>
    <row r="31" spans="1:13" ht="15.75" x14ac:dyDescent="0.2">
      <c r="A31" s="298" t="s">
        <v>1392</v>
      </c>
      <c r="B31" s="299"/>
      <c r="C31" s="299"/>
      <c r="D31" s="299"/>
      <c r="E31" s="299"/>
      <c r="F31" s="299"/>
      <c r="G31" s="299"/>
      <c r="H31" s="299"/>
      <c r="I31" s="299"/>
      <c r="J31" s="299"/>
      <c r="K31" s="299"/>
      <c r="L31" s="299"/>
      <c r="M31" s="300"/>
    </row>
    <row r="32" spans="1:13" ht="56.25" x14ac:dyDescent="0.2">
      <c r="A32" s="306">
        <v>6</v>
      </c>
      <c r="B32" s="308" t="s">
        <v>1127</v>
      </c>
      <c r="C32" s="308" t="s">
        <v>27</v>
      </c>
      <c r="D32" s="296" t="s">
        <v>1427</v>
      </c>
      <c r="E32" s="53">
        <v>100</v>
      </c>
      <c r="F32" s="54" t="s">
        <v>29</v>
      </c>
      <c r="G32" s="54" t="s">
        <v>30</v>
      </c>
      <c r="H32" s="54">
        <f>250*117/100</f>
        <v>292.5</v>
      </c>
      <c r="I32" s="54">
        <f>100*H32</f>
        <v>29250</v>
      </c>
      <c r="J32" s="52" t="s">
        <v>20</v>
      </c>
      <c r="K32" s="310" t="s">
        <v>1424</v>
      </c>
      <c r="L32" s="320"/>
      <c r="M32" s="313"/>
    </row>
    <row r="33" spans="1:13" ht="59.25" customHeight="1" x14ac:dyDescent="0.2">
      <c r="A33" s="306"/>
      <c r="B33" s="308"/>
      <c r="C33" s="308"/>
      <c r="D33" s="196" t="s">
        <v>1433</v>
      </c>
      <c r="E33" s="20">
        <v>96</v>
      </c>
      <c r="F33" s="21" t="s">
        <v>29</v>
      </c>
      <c r="G33" s="21" t="s">
        <v>30</v>
      </c>
      <c r="H33" s="21">
        <f>265*117/100</f>
        <v>310.05</v>
      </c>
      <c r="I33" s="21">
        <f t="shared" ref="I33:I35" si="0">100*H33</f>
        <v>31005</v>
      </c>
      <c r="J33" s="7" t="s">
        <v>20</v>
      </c>
      <c r="K33" s="310"/>
      <c r="L33" s="320"/>
      <c r="M33" s="313"/>
    </row>
    <row r="34" spans="1:13" ht="76.5" x14ac:dyDescent="0.2">
      <c r="A34" s="306"/>
      <c r="B34" s="308"/>
      <c r="C34" s="308"/>
      <c r="D34" s="7" t="s">
        <v>1434</v>
      </c>
      <c r="E34" s="20">
        <v>95</v>
      </c>
      <c r="F34" s="21" t="s">
        <v>29</v>
      </c>
      <c r="G34" s="21" t="s">
        <v>30</v>
      </c>
      <c r="H34" s="21">
        <f>267.9*117/100</f>
        <v>313.44299999999998</v>
      </c>
      <c r="I34" s="21">
        <f t="shared" si="0"/>
        <v>31344.3</v>
      </c>
      <c r="J34" s="7" t="s">
        <v>20</v>
      </c>
      <c r="K34" s="310"/>
      <c r="L34" s="320"/>
      <c r="M34" s="313"/>
    </row>
    <row r="35" spans="1:13" ht="63" customHeight="1" x14ac:dyDescent="0.2">
      <c r="A35" s="306"/>
      <c r="B35" s="308"/>
      <c r="C35" s="308"/>
      <c r="D35" s="196" t="s">
        <v>1435</v>
      </c>
      <c r="E35" s="20">
        <v>95</v>
      </c>
      <c r="F35" s="21" t="s">
        <v>29</v>
      </c>
      <c r="G35" s="21" t="s">
        <v>30</v>
      </c>
      <c r="H35" s="21">
        <f>267.9*117/100</f>
        <v>313.44299999999998</v>
      </c>
      <c r="I35" s="21">
        <f t="shared" si="0"/>
        <v>31344.3</v>
      </c>
      <c r="J35" s="7" t="s">
        <v>20</v>
      </c>
      <c r="K35" s="310"/>
      <c r="L35" s="320"/>
      <c r="M35" s="313"/>
    </row>
    <row r="36" spans="1:13" ht="14.25" x14ac:dyDescent="0.2">
      <c r="A36" s="302"/>
      <c r="B36" s="303" t="s">
        <v>1395</v>
      </c>
      <c r="C36" s="304"/>
      <c r="D36" s="304"/>
      <c r="E36" s="304"/>
      <c r="F36" s="304"/>
      <c r="G36" s="304"/>
      <c r="H36" s="304"/>
      <c r="I36" s="304"/>
      <c r="J36" s="304"/>
      <c r="K36" s="304"/>
      <c r="L36" s="304"/>
      <c r="M36" s="305"/>
    </row>
    <row r="37" spans="1:13" ht="15.75" x14ac:dyDescent="0.2">
      <c r="A37" s="298" t="s">
        <v>1396</v>
      </c>
      <c r="B37" s="299"/>
      <c r="C37" s="299"/>
      <c r="D37" s="299"/>
      <c r="E37" s="299"/>
      <c r="F37" s="299"/>
      <c r="G37" s="299"/>
      <c r="H37" s="299"/>
      <c r="I37" s="299"/>
      <c r="J37" s="299"/>
      <c r="K37" s="299"/>
      <c r="L37" s="299"/>
      <c r="M37" s="300"/>
    </row>
    <row r="38" spans="1:13" ht="39" customHeight="1" x14ac:dyDescent="0.2">
      <c r="A38" s="306">
        <v>7</v>
      </c>
      <c r="B38" s="308" t="s">
        <v>1397</v>
      </c>
      <c r="C38" s="308" t="s">
        <v>1398</v>
      </c>
      <c r="D38" s="49" t="s">
        <v>1436</v>
      </c>
      <c r="E38" s="50">
        <v>96</v>
      </c>
      <c r="F38" s="51" t="s">
        <v>1309</v>
      </c>
      <c r="G38" s="51" t="s">
        <v>1309</v>
      </c>
      <c r="H38" s="51">
        <f>12800*117/100</f>
        <v>14976</v>
      </c>
      <c r="I38" s="51">
        <f>12800*117/100</f>
        <v>14976</v>
      </c>
      <c r="J38" s="49" t="s">
        <v>20</v>
      </c>
      <c r="K38" s="310" t="s">
        <v>426</v>
      </c>
      <c r="L38" s="320"/>
      <c r="M38" s="313"/>
    </row>
    <row r="39" spans="1:13" ht="63.75" x14ac:dyDescent="0.2">
      <c r="A39" s="306"/>
      <c r="B39" s="308"/>
      <c r="C39" s="308"/>
      <c r="D39" s="7" t="s">
        <v>1437</v>
      </c>
      <c r="E39" s="20">
        <v>94</v>
      </c>
      <c r="F39" s="21" t="s">
        <v>1309</v>
      </c>
      <c r="G39" s="21" t="s">
        <v>1309</v>
      </c>
      <c r="H39" s="21">
        <f>12000*117/100</f>
        <v>14040</v>
      </c>
      <c r="I39" s="21">
        <f>12000*117/100</f>
        <v>14040</v>
      </c>
      <c r="J39" s="7" t="s">
        <v>20</v>
      </c>
      <c r="K39" s="310"/>
      <c r="L39" s="320"/>
      <c r="M39" s="313"/>
    </row>
    <row r="40" spans="1:13" ht="38.25" x14ac:dyDescent="0.2">
      <c r="A40" s="306"/>
      <c r="B40" s="308"/>
      <c r="C40" s="308"/>
      <c r="D40" s="7" t="s">
        <v>342</v>
      </c>
      <c r="E40" s="20">
        <v>67</v>
      </c>
      <c r="F40" s="21" t="s">
        <v>1309</v>
      </c>
      <c r="G40" s="21" t="s">
        <v>1309</v>
      </c>
      <c r="H40" s="21">
        <f>23000*117/100</f>
        <v>26910</v>
      </c>
      <c r="I40" s="21">
        <f>23000*117/100</f>
        <v>26910</v>
      </c>
      <c r="J40" s="7" t="s">
        <v>20</v>
      </c>
      <c r="K40" s="310"/>
      <c r="L40" s="320"/>
      <c r="M40" s="313"/>
    </row>
    <row r="41" spans="1:13" ht="53.25" customHeight="1" x14ac:dyDescent="0.2">
      <c r="A41" s="306"/>
      <c r="B41" s="308"/>
      <c r="C41" s="308"/>
      <c r="D41" s="196" t="s">
        <v>1438</v>
      </c>
      <c r="E41" s="20">
        <v>62</v>
      </c>
      <c r="F41" s="21" t="s">
        <v>1309</v>
      </c>
      <c r="G41" s="21" t="s">
        <v>1309</v>
      </c>
      <c r="H41" s="21">
        <f>26000*117/100</f>
        <v>30420</v>
      </c>
      <c r="I41" s="21">
        <f>26000*117/100</f>
        <v>30420</v>
      </c>
      <c r="J41" s="7" t="s">
        <v>20</v>
      </c>
      <c r="K41" s="310"/>
      <c r="L41" s="320"/>
      <c r="M41" s="313"/>
    </row>
    <row r="42" spans="1:13" ht="18" customHeight="1" x14ac:dyDescent="0.2">
      <c r="A42" s="302"/>
      <c r="B42" s="303"/>
      <c r="C42" s="304"/>
      <c r="D42" s="304"/>
      <c r="E42" s="304"/>
      <c r="F42" s="304"/>
      <c r="G42" s="304"/>
      <c r="H42" s="304"/>
      <c r="I42" s="304"/>
      <c r="J42" s="304"/>
      <c r="K42" s="304"/>
      <c r="L42" s="304"/>
      <c r="M42" s="305"/>
    </row>
    <row r="43" spans="1:13" s="289" customFormat="1" ht="15.75" x14ac:dyDescent="0.2">
      <c r="A43" s="298" t="s">
        <v>1399</v>
      </c>
      <c r="B43" s="299"/>
      <c r="C43" s="299"/>
      <c r="D43" s="299"/>
      <c r="E43" s="299"/>
      <c r="F43" s="299"/>
      <c r="G43" s="299"/>
      <c r="H43" s="299"/>
      <c r="I43" s="299"/>
      <c r="J43" s="299"/>
      <c r="K43" s="299"/>
      <c r="L43" s="299"/>
      <c r="M43" s="300"/>
    </row>
    <row r="44" spans="1:13" s="289" customFormat="1" ht="38.25" x14ac:dyDescent="0.2">
      <c r="A44" s="301">
        <v>8</v>
      </c>
      <c r="B44" s="307" t="s">
        <v>407</v>
      </c>
      <c r="C44" s="307" t="s">
        <v>189</v>
      </c>
      <c r="D44" s="49" t="s">
        <v>401</v>
      </c>
      <c r="E44" s="49">
        <v>100</v>
      </c>
      <c r="F44" s="50" t="s">
        <v>18</v>
      </c>
      <c r="G44" s="51" t="s">
        <v>18</v>
      </c>
      <c r="H44" s="51">
        <f>55000*117/100</f>
        <v>64350</v>
      </c>
      <c r="I44" s="51">
        <f>55000*117/100</f>
        <v>64350</v>
      </c>
      <c r="J44" s="51" t="s">
        <v>20</v>
      </c>
      <c r="K44" s="309" t="s">
        <v>426</v>
      </c>
      <c r="L44" s="319"/>
      <c r="M44" s="312" t="s">
        <v>1416</v>
      </c>
    </row>
    <row r="45" spans="1:13" s="289" customFormat="1" ht="38.25" x14ac:dyDescent="0.2">
      <c r="A45" s="306"/>
      <c r="B45" s="308"/>
      <c r="C45" s="308"/>
      <c r="D45" s="7" t="s">
        <v>1439</v>
      </c>
      <c r="E45" s="20">
        <v>80</v>
      </c>
      <c r="F45" s="21" t="s">
        <v>18</v>
      </c>
      <c r="G45" s="21" t="s">
        <v>18</v>
      </c>
      <c r="H45" s="21">
        <f>70000*117/100</f>
        <v>81900</v>
      </c>
      <c r="I45" s="21">
        <f>70000*117/100</f>
        <v>81900</v>
      </c>
      <c r="J45" s="7" t="s">
        <v>20</v>
      </c>
      <c r="K45" s="310"/>
      <c r="L45" s="320"/>
      <c r="M45" s="313"/>
    </row>
    <row r="46" spans="1:13" s="289" customFormat="1" ht="38.25" x14ac:dyDescent="0.2">
      <c r="A46" s="306"/>
      <c r="B46" s="308"/>
      <c r="C46" s="308"/>
      <c r="D46" s="7" t="s">
        <v>402</v>
      </c>
      <c r="E46" s="20">
        <v>70</v>
      </c>
      <c r="F46" s="21" t="s">
        <v>18</v>
      </c>
      <c r="G46" s="21" t="s">
        <v>18</v>
      </c>
      <c r="H46" s="21">
        <f>180000*117/100</f>
        <v>210600</v>
      </c>
      <c r="I46" s="21">
        <f>180000*117/100</f>
        <v>210600</v>
      </c>
      <c r="J46" s="7" t="s">
        <v>20</v>
      </c>
      <c r="K46" s="310"/>
      <c r="L46" s="320"/>
      <c r="M46" s="313"/>
    </row>
    <row r="47" spans="1:13" s="289" customFormat="1" ht="14.25" x14ac:dyDescent="0.2">
      <c r="A47" s="302"/>
      <c r="B47" s="303" t="s">
        <v>1407</v>
      </c>
      <c r="C47" s="304"/>
      <c r="D47" s="304"/>
      <c r="E47" s="304"/>
      <c r="F47" s="304"/>
      <c r="G47" s="304"/>
      <c r="H47" s="304"/>
      <c r="I47" s="304"/>
      <c r="J47" s="304"/>
      <c r="K47" s="304"/>
      <c r="L47" s="304"/>
      <c r="M47" s="305"/>
    </row>
    <row r="48" spans="1:13" s="289" customFormat="1" ht="15.75" x14ac:dyDescent="0.2">
      <c r="A48" s="298" t="s">
        <v>1400</v>
      </c>
      <c r="B48" s="299"/>
      <c r="C48" s="299"/>
      <c r="D48" s="299"/>
      <c r="E48" s="299"/>
      <c r="F48" s="299"/>
      <c r="G48" s="299"/>
      <c r="H48" s="299"/>
      <c r="I48" s="299"/>
      <c r="J48" s="299"/>
      <c r="K48" s="299"/>
      <c r="L48" s="299"/>
      <c r="M48" s="300"/>
    </row>
    <row r="49" spans="1:13" s="289" customFormat="1" ht="63" x14ac:dyDescent="0.2">
      <c r="A49" s="301">
        <v>9</v>
      </c>
      <c r="B49" s="286" t="s">
        <v>1401</v>
      </c>
      <c r="C49" s="286" t="s">
        <v>189</v>
      </c>
      <c r="D49" s="49" t="s">
        <v>95</v>
      </c>
      <c r="E49" s="50">
        <v>100</v>
      </c>
      <c r="F49" s="51" t="s">
        <v>29</v>
      </c>
      <c r="G49" s="51" t="s">
        <v>1409</v>
      </c>
      <c r="H49" s="51">
        <f>180*117/100</f>
        <v>210.6</v>
      </c>
      <c r="I49" s="51">
        <f>H49*84*2</f>
        <v>35380.799999999996</v>
      </c>
      <c r="J49" s="49" t="s">
        <v>20</v>
      </c>
      <c r="K49" s="295" t="s">
        <v>1425</v>
      </c>
      <c r="L49" s="290"/>
      <c r="M49" s="288" t="s">
        <v>1417</v>
      </c>
    </row>
    <row r="50" spans="1:13" s="289" customFormat="1" ht="28.5" customHeight="1" x14ac:dyDescent="0.2">
      <c r="A50" s="302"/>
      <c r="B50" s="303" t="s">
        <v>1408</v>
      </c>
      <c r="C50" s="304"/>
      <c r="D50" s="304"/>
      <c r="E50" s="304"/>
      <c r="F50" s="304"/>
      <c r="G50" s="304"/>
      <c r="H50" s="304"/>
      <c r="I50" s="304"/>
      <c r="J50" s="304"/>
      <c r="K50" s="304"/>
      <c r="L50" s="304"/>
      <c r="M50" s="305"/>
    </row>
    <row r="51" spans="1:13" s="289" customFormat="1" ht="15.75" x14ac:dyDescent="0.2">
      <c r="A51" s="298" t="s">
        <v>1402</v>
      </c>
      <c r="B51" s="299"/>
      <c r="C51" s="299"/>
      <c r="D51" s="299"/>
      <c r="E51" s="299"/>
      <c r="F51" s="299"/>
      <c r="G51" s="299"/>
      <c r="H51" s="299"/>
      <c r="I51" s="299"/>
      <c r="J51" s="299"/>
      <c r="K51" s="299"/>
      <c r="L51" s="299"/>
      <c r="M51" s="300"/>
    </row>
    <row r="52" spans="1:13" ht="38.25" x14ac:dyDescent="0.2">
      <c r="A52" s="301">
        <v>10</v>
      </c>
      <c r="B52" s="286" t="s">
        <v>699</v>
      </c>
      <c r="C52" s="286" t="s">
        <v>506</v>
      </c>
      <c r="D52" s="49" t="s">
        <v>695</v>
      </c>
      <c r="E52" s="50">
        <v>100</v>
      </c>
      <c r="F52" s="51" t="s">
        <v>18</v>
      </c>
      <c r="G52" s="51" t="s">
        <v>18</v>
      </c>
      <c r="H52" s="51">
        <f>6836*117/100</f>
        <v>7998.12</v>
      </c>
      <c r="I52" s="51">
        <f>6836*117/100</f>
        <v>7998.12</v>
      </c>
      <c r="J52" s="49"/>
      <c r="K52" s="287" t="s">
        <v>583</v>
      </c>
      <c r="L52" s="290"/>
      <c r="M52" s="288" t="s">
        <v>1418</v>
      </c>
    </row>
    <row r="53" spans="1:13" ht="35.25" customHeight="1" x14ac:dyDescent="0.2">
      <c r="A53" s="302"/>
      <c r="B53" s="303" t="s">
        <v>1403</v>
      </c>
      <c r="C53" s="304"/>
      <c r="D53" s="304"/>
      <c r="E53" s="304"/>
      <c r="F53" s="304"/>
      <c r="G53" s="304"/>
      <c r="H53" s="304"/>
      <c r="I53" s="304"/>
      <c r="J53" s="304"/>
      <c r="K53" s="304"/>
      <c r="L53" s="304"/>
      <c r="M53" s="305"/>
    </row>
    <row r="54" spans="1:13" s="289" customFormat="1" ht="15.75" x14ac:dyDescent="0.2">
      <c r="A54" s="298" t="s">
        <v>1404</v>
      </c>
      <c r="B54" s="299"/>
      <c r="C54" s="299"/>
      <c r="D54" s="299"/>
      <c r="E54" s="299"/>
      <c r="F54" s="299"/>
      <c r="G54" s="299"/>
      <c r="H54" s="299"/>
      <c r="I54" s="299"/>
      <c r="J54" s="299"/>
      <c r="K54" s="299"/>
      <c r="L54" s="299"/>
      <c r="M54" s="300"/>
    </row>
    <row r="55" spans="1:13" s="289" customFormat="1" ht="38.25" x14ac:dyDescent="0.2">
      <c r="A55" s="301">
        <v>11</v>
      </c>
      <c r="B55" s="286" t="s">
        <v>1405</v>
      </c>
      <c r="C55" s="286" t="s">
        <v>189</v>
      </c>
      <c r="D55" s="49" t="s">
        <v>95</v>
      </c>
      <c r="E55" s="50">
        <v>100</v>
      </c>
      <c r="F55" s="51" t="s">
        <v>29</v>
      </c>
      <c r="G55" s="51" t="s">
        <v>1406</v>
      </c>
      <c r="H55" s="51">
        <f>150*117/100</f>
        <v>175.5</v>
      </c>
      <c r="I55" s="51">
        <f>H55*30*12</f>
        <v>63180</v>
      </c>
      <c r="J55" s="49" t="s">
        <v>20</v>
      </c>
      <c r="K55" s="287" t="s">
        <v>583</v>
      </c>
      <c r="L55" s="290"/>
      <c r="M55" s="288" t="s">
        <v>132</v>
      </c>
    </row>
    <row r="56" spans="1:13" s="289" customFormat="1" ht="28.5" customHeight="1" x14ac:dyDescent="0.2">
      <c r="A56" s="302"/>
      <c r="B56" s="303" t="s">
        <v>1410</v>
      </c>
      <c r="C56" s="304"/>
      <c r="D56" s="304"/>
      <c r="E56" s="304"/>
      <c r="F56" s="304"/>
      <c r="G56" s="304"/>
      <c r="H56" s="304"/>
      <c r="I56" s="304"/>
      <c r="J56" s="304"/>
      <c r="K56" s="304"/>
      <c r="L56" s="304"/>
      <c r="M56" s="305"/>
    </row>
    <row r="57" spans="1:13" ht="15.75" x14ac:dyDescent="0.2">
      <c r="A57" s="298" t="s">
        <v>1411</v>
      </c>
      <c r="B57" s="299"/>
      <c r="C57" s="299"/>
      <c r="D57" s="299"/>
      <c r="E57" s="299"/>
      <c r="F57" s="299"/>
      <c r="G57" s="299"/>
      <c r="H57" s="299"/>
      <c r="I57" s="299"/>
      <c r="J57" s="299"/>
      <c r="K57" s="299"/>
      <c r="L57" s="299"/>
      <c r="M57" s="300"/>
    </row>
    <row r="58" spans="1:13" ht="38.25" x14ac:dyDescent="0.2">
      <c r="A58" s="301">
        <v>12</v>
      </c>
      <c r="B58" s="291" t="s">
        <v>1412</v>
      </c>
      <c r="C58" s="291" t="s">
        <v>189</v>
      </c>
      <c r="D58" s="49" t="s">
        <v>1413</v>
      </c>
      <c r="E58" s="50">
        <v>90</v>
      </c>
      <c r="F58" s="51" t="s">
        <v>29</v>
      </c>
      <c r="G58" s="51" t="s">
        <v>1414</v>
      </c>
      <c r="H58" s="51">
        <f>234*117/100</f>
        <v>273.77999999999997</v>
      </c>
      <c r="I58" s="51">
        <f>H58*50*12</f>
        <v>164267.99999999997</v>
      </c>
      <c r="J58" s="49" t="s">
        <v>20</v>
      </c>
      <c r="K58" s="292" t="s">
        <v>583</v>
      </c>
      <c r="L58" s="294"/>
      <c r="M58" s="293" t="s">
        <v>1415</v>
      </c>
    </row>
    <row r="59" spans="1:13" ht="14.25" customHeight="1" x14ac:dyDescent="0.2">
      <c r="A59" s="302"/>
      <c r="B59" s="303" t="s">
        <v>1419</v>
      </c>
      <c r="C59" s="304"/>
      <c r="D59" s="304"/>
      <c r="E59" s="304"/>
      <c r="F59" s="304"/>
      <c r="G59" s="304"/>
      <c r="H59" s="304"/>
      <c r="I59" s="304"/>
      <c r="J59" s="304"/>
      <c r="K59" s="304"/>
      <c r="L59" s="304"/>
      <c r="M59" s="305"/>
    </row>
  </sheetData>
  <mergeCells count="67">
    <mergeCell ref="A57:M57"/>
    <mergeCell ref="A58:A59"/>
    <mergeCell ref="B59:M59"/>
    <mergeCell ref="A31:M31"/>
    <mergeCell ref="A1:A6"/>
    <mergeCell ref="B1:M1"/>
    <mergeCell ref="B2:M2"/>
    <mergeCell ref="B3:M3"/>
    <mergeCell ref="B4:M4"/>
    <mergeCell ref="B5:M5"/>
    <mergeCell ref="A15:M15"/>
    <mergeCell ref="A16:A17"/>
    <mergeCell ref="B17:M17"/>
    <mergeCell ref="B14:M14"/>
    <mergeCell ref="A7:M7"/>
    <mergeCell ref="A8:A9"/>
    <mergeCell ref="B9:M9"/>
    <mergeCell ref="A10:M10"/>
    <mergeCell ref="A11:A14"/>
    <mergeCell ref="B11:B13"/>
    <mergeCell ref="C11:C13"/>
    <mergeCell ref="K11:K13"/>
    <mergeCell ref="L11:L13"/>
    <mergeCell ref="M11:M13"/>
    <mergeCell ref="A28:M28"/>
    <mergeCell ref="A29:A30"/>
    <mergeCell ref="B30:M30"/>
    <mergeCell ref="A18:M18"/>
    <mergeCell ref="A19:A27"/>
    <mergeCell ref="B19:B26"/>
    <mergeCell ref="C19:C26"/>
    <mergeCell ref="K19:K26"/>
    <mergeCell ref="L19:L26"/>
    <mergeCell ref="M19:M26"/>
    <mergeCell ref="B27:M27"/>
    <mergeCell ref="M32:M35"/>
    <mergeCell ref="B36:M36"/>
    <mergeCell ref="A32:A36"/>
    <mergeCell ref="B32:B35"/>
    <mergeCell ref="C32:C35"/>
    <mergeCell ref="K32:K35"/>
    <mergeCell ref="L32:L35"/>
    <mergeCell ref="A37:M37"/>
    <mergeCell ref="A38:A42"/>
    <mergeCell ref="B38:B41"/>
    <mergeCell ref="C38:C41"/>
    <mergeCell ref="K38:K41"/>
    <mergeCell ref="L38:L41"/>
    <mergeCell ref="M38:M41"/>
    <mergeCell ref="B42:M42"/>
    <mergeCell ref="A48:M48"/>
    <mergeCell ref="A49:A50"/>
    <mergeCell ref="B50:M50"/>
    <mergeCell ref="A43:M43"/>
    <mergeCell ref="A44:A47"/>
    <mergeCell ref="B44:B46"/>
    <mergeCell ref="C44:C46"/>
    <mergeCell ref="K44:K46"/>
    <mergeCell ref="L44:L46"/>
    <mergeCell ref="M44:M46"/>
    <mergeCell ref="B47:M47"/>
    <mergeCell ref="A51:M51"/>
    <mergeCell ref="A52:A53"/>
    <mergeCell ref="B53:M53"/>
    <mergeCell ref="A54:M54"/>
    <mergeCell ref="A55:A56"/>
    <mergeCell ref="B56:M56"/>
  </mergeCells>
  <pageMargins left="0.7" right="0.7" top="0.75" bottom="0.75" header="0.3" footer="0.3"/>
  <pageSetup paperSize="9" scale="73"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3"/>
  <sheetViews>
    <sheetView rightToLeft="1" zoomScale="85" zoomScaleNormal="85" workbookViewId="0">
      <pane ySplit="6" topLeftCell="A59" activePane="bottomLeft" state="frozen"/>
      <selection pane="bottomLeft" activeCell="A101" sqref="A101:XFD106"/>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 style="10" bestFit="1" customWidth="1"/>
    <col min="9" max="9" width="12.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419</v>
      </c>
      <c r="C1" s="315"/>
      <c r="D1" s="315"/>
      <c r="E1" s="315"/>
      <c r="F1" s="315"/>
      <c r="G1" s="315"/>
      <c r="H1" s="315"/>
      <c r="I1" s="315"/>
      <c r="J1" s="315"/>
      <c r="K1" s="315"/>
      <c r="L1" s="315"/>
      <c r="M1" s="315"/>
    </row>
    <row r="2" spans="1:13" ht="14.25" x14ac:dyDescent="0.2">
      <c r="A2" s="314"/>
      <c r="B2" s="346" t="s">
        <v>22</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308</v>
      </c>
      <c r="C4" s="318"/>
      <c r="D4" s="318"/>
      <c r="E4" s="318"/>
      <c r="F4" s="318"/>
      <c r="G4" s="318"/>
      <c r="H4" s="318"/>
      <c r="I4" s="318"/>
      <c r="J4" s="318"/>
      <c r="K4" s="318"/>
      <c r="L4" s="318"/>
      <c r="M4" s="318"/>
    </row>
    <row r="5" spans="1:13" ht="14.25" x14ac:dyDescent="0.2">
      <c r="A5" s="314"/>
      <c r="B5" s="318"/>
      <c r="C5" s="318"/>
      <c r="D5" s="318"/>
      <c r="E5" s="318"/>
      <c r="F5" s="318"/>
      <c r="G5" s="318"/>
      <c r="H5" s="318"/>
      <c r="I5" s="318"/>
      <c r="J5" s="318"/>
      <c r="K5" s="318"/>
      <c r="L5" s="318"/>
      <c r="M5" s="318"/>
    </row>
    <row r="6" spans="1:13" ht="47.25" x14ac:dyDescent="0.2">
      <c r="A6" s="314"/>
      <c r="B6" s="61" t="s">
        <v>2</v>
      </c>
      <c r="C6" s="2" t="s">
        <v>3</v>
      </c>
      <c r="D6" s="3" t="s">
        <v>4</v>
      </c>
      <c r="E6" s="3" t="s">
        <v>5</v>
      </c>
      <c r="F6" s="3" t="s">
        <v>6</v>
      </c>
      <c r="G6" s="3" t="s">
        <v>7</v>
      </c>
      <c r="H6" s="4" t="s">
        <v>8</v>
      </c>
      <c r="I6" s="5" t="s">
        <v>9</v>
      </c>
      <c r="J6" s="3" t="s">
        <v>10</v>
      </c>
      <c r="K6" s="3" t="s">
        <v>11</v>
      </c>
      <c r="L6" s="6" t="s">
        <v>12</v>
      </c>
      <c r="M6" s="3" t="s">
        <v>13</v>
      </c>
    </row>
    <row r="7" spans="1:13" ht="15.75" x14ac:dyDescent="0.2">
      <c r="A7" s="298" t="s">
        <v>319</v>
      </c>
      <c r="B7" s="299"/>
      <c r="C7" s="299"/>
      <c r="D7" s="299"/>
      <c r="E7" s="299"/>
      <c r="F7" s="299"/>
      <c r="G7" s="299"/>
      <c r="H7" s="299"/>
      <c r="I7" s="299"/>
      <c r="J7" s="299"/>
      <c r="K7" s="299"/>
      <c r="L7" s="299"/>
      <c r="M7" s="300"/>
    </row>
    <row r="8" spans="1:13" ht="24" customHeight="1" x14ac:dyDescent="0.2">
      <c r="A8" s="301">
        <v>1</v>
      </c>
      <c r="B8" s="307" t="s">
        <v>333</v>
      </c>
      <c r="C8" s="307" t="s">
        <v>52</v>
      </c>
      <c r="D8" s="17" t="s">
        <v>53</v>
      </c>
      <c r="E8" s="18">
        <v>100</v>
      </c>
      <c r="F8" s="19" t="s">
        <v>18</v>
      </c>
      <c r="G8" s="19" t="s">
        <v>18</v>
      </c>
      <c r="H8" s="19">
        <f t="shared" ref="H8:I8" si="0">72000*117/100</f>
        <v>84240</v>
      </c>
      <c r="I8" s="19">
        <f t="shared" si="0"/>
        <v>84240</v>
      </c>
      <c r="J8" s="17" t="s">
        <v>20</v>
      </c>
      <c r="K8" s="309" t="s">
        <v>46</v>
      </c>
      <c r="L8" s="319"/>
      <c r="M8" s="312">
        <v>2530092770</v>
      </c>
    </row>
    <row r="9" spans="1:13" ht="22.15" customHeight="1" x14ac:dyDescent="0.2">
      <c r="A9" s="306"/>
      <c r="B9" s="308"/>
      <c r="C9" s="308"/>
      <c r="D9" s="7" t="s">
        <v>163</v>
      </c>
      <c r="E9" s="20">
        <v>90</v>
      </c>
      <c r="F9" s="21" t="s">
        <v>18</v>
      </c>
      <c r="G9" s="21" t="s">
        <v>18</v>
      </c>
      <c r="H9" s="21">
        <f>124000*117/100</f>
        <v>145080</v>
      </c>
      <c r="I9" s="21">
        <f>124000*117/100</f>
        <v>145080</v>
      </c>
      <c r="J9" s="7" t="s">
        <v>20</v>
      </c>
      <c r="K9" s="310"/>
      <c r="L9" s="320"/>
      <c r="M9" s="313"/>
    </row>
    <row r="10" spans="1:13" ht="25.5" x14ac:dyDescent="0.2">
      <c r="A10" s="306"/>
      <c r="B10" s="308"/>
      <c r="C10" s="308"/>
      <c r="D10" s="7" t="s">
        <v>55</v>
      </c>
      <c r="E10" s="20">
        <v>80</v>
      </c>
      <c r="F10" s="21" t="s">
        <v>18</v>
      </c>
      <c r="G10" s="21" t="s">
        <v>18</v>
      </c>
      <c r="H10" s="21">
        <f>136000*117/100</f>
        <v>159120</v>
      </c>
      <c r="I10" s="21">
        <f>136000*117/100</f>
        <v>159120</v>
      </c>
      <c r="J10" s="7" t="s">
        <v>20</v>
      </c>
      <c r="K10" s="310"/>
      <c r="L10" s="320"/>
      <c r="M10" s="313"/>
    </row>
    <row r="11" spans="1:13" ht="25.5" x14ac:dyDescent="0.2">
      <c r="A11" s="306"/>
      <c r="B11" s="308"/>
      <c r="C11" s="308"/>
      <c r="D11" s="7" t="s">
        <v>56</v>
      </c>
      <c r="E11" s="20">
        <v>70</v>
      </c>
      <c r="F11" s="21" t="s">
        <v>18</v>
      </c>
      <c r="G11" s="21" t="s">
        <v>18</v>
      </c>
      <c r="H11" s="21">
        <f>162000*117/100</f>
        <v>189540</v>
      </c>
      <c r="I11" s="21">
        <f>162000*117/100</f>
        <v>189540</v>
      </c>
      <c r="J11" s="7" t="s">
        <v>20</v>
      </c>
      <c r="K11" s="310"/>
      <c r="L11" s="320"/>
      <c r="M11" s="313"/>
    </row>
    <row r="12" spans="1:13" ht="13.9" customHeight="1" x14ac:dyDescent="0.2">
      <c r="A12" s="302"/>
      <c r="B12" s="303"/>
      <c r="C12" s="304"/>
      <c r="D12" s="304"/>
      <c r="E12" s="304"/>
      <c r="F12" s="304"/>
      <c r="G12" s="304"/>
      <c r="H12" s="304"/>
      <c r="I12" s="304"/>
      <c r="J12" s="304"/>
      <c r="K12" s="304"/>
      <c r="L12" s="304"/>
      <c r="M12" s="305"/>
    </row>
    <row r="13" spans="1:13" ht="15.75" x14ac:dyDescent="0.2">
      <c r="A13" s="298" t="s">
        <v>320</v>
      </c>
      <c r="B13" s="299"/>
      <c r="C13" s="299"/>
      <c r="D13" s="299"/>
      <c r="E13" s="299"/>
      <c r="F13" s="299"/>
      <c r="G13" s="299"/>
      <c r="H13" s="299"/>
      <c r="I13" s="299"/>
      <c r="J13" s="299"/>
      <c r="K13" s="299"/>
      <c r="L13" s="299"/>
      <c r="M13" s="300"/>
    </row>
    <row r="14" spans="1:13" ht="14.25" x14ac:dyDescent="0.2">
      <c r="A14" s="301">
        <v>2</v>
      </c>
      <c r="B14" s="307" t="s">
        <v>334</v>
      </c>
      <c r="C14" s="307" t="s">
        <v>52</v>
      </c>
      <c r="D14" s="67" t="s">
        <v>163</v>
      </c>
      <c r="E14" s="68">
        <v>100</v>
      </c>
      <c r="F14" s="69" t="s">
        <v>18</v>
      </c>
      <c r="G14" s="69" t="s">
        <v>18</v>
      </c>
      <c r="H14" s="69">
        <f>47000*117/100</f>
        <v>54990</v>
      </c>
      <c r="I14" s="69">
        <f>47000*117/100</f>
        <v>54990</v>
      </c>
      <c r="J14" s="67" t="s">
        <v>20</v>
      </c>
      <c r="K14" s="309" t="s">
        <v>420</v>
      </c>
      <c r="L14" s="319"/>
      <c r="M14" s="312">
        <v>2530092770</v>
      </c>
    </row>
    <row r="15" spans="1:13" ht="14.25" x14ac:dyDescent="0.2">
      <c r="A15" s="306"/>
      <c r="B15" s="308"/>
      <c r="C15" s="308"/>
      <c r="D15" s="7" t="s">
        <v>53</v>
      </c>
      <c r="E15" s="20">
        <v>90</v>
      </c>
      <c r="F15" s="21" t="s">
        <v>18</v>
      </c>
      <c r="G15" s="21" t="s">
        <v>18</v>
      </c>
      <c r="H15" s="21">
        <f>54000*117/100</f>
        <v>63180</v>
      </c>
      <c r="I15" s="21">
        <f>54000*117/100</f>
        <v>63180</v>
      </c>
      <c r="J15" s="7" t="s">
        <v>20</v>
      </c>
      <c r="K15" s="310"/>
      <c r="L15" s="320"/>
      <c r="M15" s="313"/>
    </row>
    <row r="16" spans="1:13" ht="25.5" x14ac:dyDescent="0.2">
      <c r="A16" s="306"/>
      <c r="B16" s="308"/>
      <c r="C16" s="308"/>
      <c r="D16" s="7" t="s">
        <v>56</v>
      </c>
      <c r="E16" s="20">
        <v>80</v>
      </c>
      <c r="F16" s="21" t="s">
        <v>18</v>
      </c>
      <c r="G16" s="21" t="s">
        <v>18</v>
      </c>
      <c r="H16" s="21">
        <f>88000*117/100</f>
        <v>102960</v>
      </c>
      <c r="I16" s="21">
        <f>88000*117/100</f>
        <v>102960</v>
      </c>
      <c r="J16" s="7" t="s">
        <v>20</v>
      </c>
      <c r="K16" s="310"/>
      <c r="L16" s="320"/>
      <c r="M16" s="313"/>
    </row>
    <row r="17" spans="1:13" ht="25.5" x14ac:dyDescent="0.2">
      <c r="A17" s="306"/>
      <c r="B17" s="308"/>
      <c r="C17" s="308"/>
      <c r="D17" s="7" t="s">
        <v>55</v>
      </c>
      <c r="E17" s="20">
        <v>70</v>
      </c>
      <c r="F17" s="21" t="s">
        <v>18</v>
      </c>
      <c r="G17" s="21" t="s">
        <v>18</v>
      </c>
      <c r="H17" s="21">
        <f>95000*117/100</f>
        <v>111150</v>
      </c>
      <c r="I17" s="21">
        <f>95000*117/100</f>
        <v>111150</v>
      </c>
      <c r="J17" s="7" t="s">
        <v>20</v>
      </c>
      <c r="K17" s="310"/>
      <c r="L17" s="320"/>
      <c r="M17" s="313"/>
    </row>
    <row r="18" spans="1:13" ht="14.25" x14ac:dyDescent="0.2">
      <c r="A18" s="302"/>
      <c r="B18" s="303"/>
      <c r="C18" s="304"/>
      <c r="D18" s="304"/>
      <c r="E18" s="304"/>
      <c r="F18" s="304"/>
      <c r="G18" s="304"/>
      <c r="H18" s="304"/>
      <c r="I18" s="304"/>
      <c r="J18" s="304"/>
      <c r="K18" s="304"/>
      <c r="L18" s="304"/>
      <c r="M18" s="305"/>
    </row>
    <row r="19" spans="1:13" ht="15.75" x14ac:dyDescent="0.2">
      <c r="A19" s="298" t="s">
        <v>321</v>
      </c>
      <c r="B19" s="299"/>
      <c r="C19" s="299"/>
      <c r="D19" s="299"/>
      <c r="E19" s="299"/>
      <c r="F19" s="299"/>
      <c r="G19" s="299"/>
      <c r="H19" s="299"/>
      <c r="I19" s="299"/>
      <c r="J19" s="299"/>
      <c r="K19" s="299"/>
      <c r="L19" s="299"/>
      <c r="M19" s="300"/>
    </row>
    <row r="20" spans="1:13" ht="28.9" customHeight="1" x14ac:dyDescent="0.2">
      <c r="A20" s="301">
        <v>3</v>
      </c>
      <c r="B20" s="307" t="s">
        <v>335</v>
      </c>
      <c r="C20" s="307" t="s">
        <v>52</v>
      </c>
      <c r="D20" s="17" t="s">
        <v>163</v>
      </c>
      <c r="E20" s="18">
        <v>100</v>
      </c>
      <c r="F20" s="19" t="s">
        <v>18</v>
      </c>
      <c r="G20" s="19" t="s">
        <v>18</v>
      </c>
      <c r="H20" s="19">
        <f>41000*117/100</f>
        <v>47970</v>
      </c>
      <c r="I20" s="19">
        <f>41000*117/100</f>
        <v>47970</v>
      </c>
      <c r="J20" s="17" t="s">
        <v>20</v>
      </c>
      <c r="K20" s="309" t="s">
        <v>427</v>
      </c>
      <c r="L20" s="319"/>
      <c r="M20" s="312">
        <v>2910012760</v>
      </c>
    </row>
    <row r="21" spans="1:13" ht="33.6" customHeight="1" x14ac:dyDescent="0.2">
      <c r="A21" s="306"/>
      <c r="B21" s="308"/>
      <c r="C21" s="308"/>
      <c r="D21" s="7" t="s">
        <v>53</v>
      </c>
      <c r="E21" s="20">
        <v>90</v>
      </c>
      <c r="F21" s="21" t="s">
        <v>18</v>
      </c>
      <c r="G21" s="21" t="s">
        <v>18</v>
      </c>
      <c r="H21" s="21">
        <f>48000*117/100</f>
        <v>56160</v>
      </c>
      <c r="I21" s="21">
        <f>48000*117/100</f>
        <v>56160</v>
      </c>
      <c r="J21" s="7" t="s">
        <v>20</v>
      </c>
      <c r="K21" s="310"/>
      <c r="L21" s="320"/>
      <c r="M21" s="313"/>
    </row>
    <row r="22" spans="1:13" ht="36" customHeight="1" x14ac:dyDescent="0.2">
      <c r="A22" s="306"/>
      <c r="B22" s="308"/>
      <c r="C22" s="308"/>
      <c r="D22" s="7" t="s">
        <v>56</v>
      </c>
      <c r="E22" s="20">
        <v>80</v>
      </c>
      <c r="F22" s="21" t="s">
        <v>18</v>
      </c>
      <c r="G22" s="21" t="s">
        <v>18</v>
      </c>
      <c r="H22" s="21">
        <f>90000*117/100</f>
        <v>105300</v>
      </c>
      <c r="I22" s="21">
        <f>90000*117/100</f>
        <v>105300</v>
      </c>
      <c r="J22" s="7" t="s">
        <v>20</v>
      </c>
      <c r="K22" s="310"/>
      <c r="L22" s="320"/>
      <c r="M22" s="313"/>
    </row>
    <row r="23" spans="1:13" ht="58.9" customHeight="1" x14ac:dyDescent="0.2">
      <c r="A23" s="306"/>
      <c r="B23" s="308"/>
      <c r="C23" s="308"/>
      <c r="D23" s="7" t="s">
        <v>55</v>
      </c>
      <c r="E23" s="20">
        <v>80</v>
      </c>
      <c r="F23" s="21" t="s">
        <v>18</v>
      </c>
      <c r="G23" s="21" t="s">
        <v>18</v>
      </c>
      <c r="H23" s="21">
        <f>90000*117/100</f>
        <v>105300</v>
      </c>
      <c r="I23" s="21">
        <f>90000*117/100</f>
        <v>105300</v>
      </c>
      <c r="J23" s="7" t="s">
        <v>20</v>
      </c>
      <c r="K23" s="310"/>
      <c r="L23" s="320"/>
      <c r="M23" s="313"/>
    </row>
    <row r="24" spans="1:13" ht="14.25" x14ac:dyDescent="0.2">
      <c r="A24" s="302"/>
      <c r="B24" s="303"/>
      <c r="C24" s="304"/>
      <c r="D24" s="304"/>
      <c r="E24" s="304"/>
      <c r="F24" s="304"/>
      <c r="G24" s="304"/>
      <c r="H24" s="304"/>
      <c r="I24" s="304"/>
      <c r="J24" s="304"/>
      <c r="K24" s="304"/>
      <c r="L24" s="304"/>
      <c r="M24" s="305"/>
    </row>
    <row r="25" spans="1:13" ht="15.75" x14ac:dyDescent="0.2">
      <c r="A25" s="298" t="s">
        <v>322</v>
      </c>
      <c r="B25" s="299"/>
      <c r="C25" s="299"/>
      <c r="D25" s="299"/>
      <c r="E25" s="299"/>
      <c r="F25" s="299"/>
      <c r="G25" s="299"/>
      <c r="H25" s="299"/>
      <c r="I25" s="299"/>
      <c r="J25" s="299"/>
      <c r="K25" s="299"/>
      <c r="L25" s="299"/>
      <c r="M25" s="300"/>
    </row>
    <row r="26" spans="1:13" ht="78.75" x14ac:dyDescent="0.2">
      <c r="A26" s="301">
        <v>4</v>
      </c>
      <c r="B26" s="62" t="s">
        <v>336</v>
      </c>
      <c r="C26" s="62" t="s">
        <v>52</v>
      </c>
      <c r="D26" s="67" t="s">
        <v>337</v>
      </c>
      <c r="E26" s="68">
        <v>100</v>
      </c>
      <c r="F26" s="69" t="s">
        <v>18</v>
      </c>
      <c r="G26" s="69" t="s">
        <v>18</v>
      </c>
      <c r="H26" s="69">
        <f>80000*117/100</f>
        <v>93600</v>
      </c>
      <c r="I26" s="69">
        <f>80000*117/100</f>
        <v>93600</v>
      </c>
      <c r="J26" s="67" t="s">
        <v>20</v>
      </c>
      <c r="K26" s="63" t="s">
        <v>421</v>
      </c>
      <c r="L26" s="64"/>
      <c r="M26" s="65"/>
    </row>
    <row r="27" spans="1:13" ht="14.25" x14ac:dyDescent="0.2">
      <c r="A27" s="302"/>
      <c r="B27" s="303" t="s">
        <v>338</v>
      </c>
      <c r="C27" s="304"/>
      <c r="D27" s="304"/>
      <c r="E27" s="304"/>
      <c r="F27" s="304"/>
      <c r="G27" s="304"/>
      <c r="H27" s="304"/>
      <c r="I27" s="304"/>
      <c r="J27" s="304"/>
      <c r="K27" s="304"/>
      <c r="L27" s="304"/>
      <c r="M27" s="305"/>
    </row>
    <row r="28" spans="1:13" ht="15.75" x14ac:dyDescent="0.2">
      <c r="A28" s="298" t="s">
        <v>323</v>
      </c>
      <c r="B28" s="299"/>
      <c r="C28" s="299"/>
      <c r="D28" s="299"/>
      <c r="E28" s="299"/>
      <c r="F28" s="299"/>
      <c r="G28" s="299"/>
      <c r="H28" s="299"/>
      <c r="I28" s="299"/>
      <c r="J28" s="299"/>
      <c r="K28" s="299"/>
      <c r="L28" s="299"/>
      <c r="M28" s="300"/>
    </row>
    <row r="29" spans="1:13" ht="25.5" x14ac:dyDescent="0.2">
      <c r="A29" s="301">
        <v>5</v>
      </c>
      <c r="B29" s="307" t="s">
        <v>339</v>
      </c>
      <c r="C29" s="307" t="s">
        <v>52</v>
      </c>
      <c r="D29" s="17" t="s">
        <v>340</v>
      </c>
      <c r="E29" s="18">
        <v>100</v>
      </c>
      <c r="F29" s="19" t="s">
        <v>18</v>
      </c>
      <c r="G29" s="19" t="s">
        <v>18</v>
      </c>
      <c r="H29" s="19">
        <f>79000*117/100</f>
        <v>92430</v>
      </c>
      <c r="I29" s="19">
        <f>79000*117/100</f>
        <v>92430</v>
      </c>
      <c r="J29" s="17" t="s">
        <v>20</v>
      </c>
      <c r="K29" s="309" t="s">
        <v>46</v>
      </c>
      <c r="L29" s="319"/>
      <c r="M29" s="312">
        <v>253011</v>
      </c>
    </row>
    <row r="30" spans="1:13" ht="14.25" x14ac:dyDescent="0.2">
      <c r="A30" s="306"/>
      <c r="B30" s="308"/>
      <c r="C30" s="308"/>
      <c r="D30" s="7" t="s">
        <v>341</v>
      </c>
      <c r="E30" s="20">
        <v>90</v>
      </c>
      <c r="F30" s="21" t="s">
        <v>18</v>
      </c>
      <c r="G30" s="21" t="s">
        <v>18</v>
      </c>
      <c r="H30" s="21">
        <f>88000*117/100</f>
        <v>102960</v>
      </c>
      <c r="I30" s="21">
        <f>88000*117/100</f>
        <v>102960</v>
      </c>
      <c r="J30" s="7" t="s">
        <v>20</v>
      </c>
      <c r="K30" s="310"/>
      <c r="L30" s="320"/>
      <c r="M30" s="313"/>
    </row>
    <row r="31" spans="1:13" ht="38.25" x14ac:dyDescent="0.2">
      <c r="A31" s="306"/>
      <c r="B31" s="308"/>
      <c r="C31" s="308"/>
      <c r="D31" s="7" t="s">
        <v>342</v>
      </c>
      <c r="E31" s="20">
        <v>80</v>
      </c>
      <c r="F31" s="21" t="s">
        <v>18</v>
      </c>
      <c r="G31" s="21" t="s">
        <v>18</v>
      </c>
      <c r="H31" s="21">
        <f>259000*117/100</f>
        <v>303030</v>
      </c>
      <c r="I31" s="21">
        <f>259000*117/100</f>
        <v>303030</v>
      </c>
      <c r="J31" s="7" t="s">
        <v>20</v>
      </c>
      <c r="K31" s="310"/>
      <c r="L31" s="320"/>
      <c r="M31" s="313"/>
    </row>
    <row r="32" spans="1:13" ht="25.5" x14ac:dyDescent="0.2">
      <c r="A32" s="306"/>
      <c r="B32" s="308"/>
      <c r="C32" s="308"/>
      <c r="D32" s="7" t="s">
        <v>287</v>
      </c>
      <c r="E32" s="20">
        <v>70</v>
      </c>
      <c r="F32" s="21" t="s">
        <v>18</v>
      </c>
      <c r="G32" s="21" t="s">
        <v>18</v>
      </c>
      <c r="H32" s="21">
        <f>355000*117/100</f>
        <v>415350</v>
      </c>
      <c r="I32" s="21">
        <f>355000*117/100</f>
        <v>415350</v>
      </c>
      <c r="J32" s="7" t="s">
        <v>20</v>
      </c>
      <c r="K32" s="310"/>
      <c r="L32" s="320"/>
      <c r="M32" s="313"/>
    </row>
    <row r="33" spans="1:13" ht="25.5" x14ac:dyDescent="0.2">
      <c r="A33" s="306"/>
      <c r="B33" s="308"/>
      <c r="C33" s="308"/>
      <c r="D33" s="7" t="s">
        <v>343</v>
      </c>
      <c r="E33" s="20">
        <v>60</v>
      </c>
      <c r="F33" s="21" t="s">
        <v>18</v>
      </c>
      <c r="G33" s="21" t="s">
        <v>18</v>
      </c>
      <c r="H33" s="21">
        <f>360000*117/100</f>
        <v>421200</v>
      </c>
      <c r="I33" s="21">
        <f>360000*117/100</f>
        <v>421200</v>
      </c>
      <c r="J33" s="7" t="s">
        <v>20</v>
      </c>
      <c r="K33" s="310"/>
      <c r="L33" s="320"/>
      <c r="M33" s="313"/>
    </row>
    <row r="34" spans="1:13" ht="25.5" x14ac:dyDescent="0.2">
      <c r="A34" s="306"/>
      <c r="B34" s="308"/>
      <c r="C34" s="308"/>
      <c r="D34" s="7" t="s">
        <v>344</v>
      </c>
      <c r="E34" s="20">
        <v>50</v>
      </c>
      <c r="F34" s="21" t="s">
        <v>18</v>
      </c>
      <c r="G34" s="21" t="s">
        <v>18</v>
      </c>
      <c r="H34" s="21">
        <f>368502*117/100</f>
        <v>431147.34</v>
      </c>
      <c r="I34" s="21">
        <f>368502*117/100</f>
        <v>431147.34</v>
      </c>
      <c r="J34" s="7" t="s">
        <v>20</v>
      </c>
      <c r="K34" s="310"/>
      <c r="L34" s="320"/>
      <c r="M34" s="313"/>
    </row>
    <row r="35" spans="1:13" ht="14.25" x14ac:dyDescent="0.2">
      <c r="A35" s="306"/>
      <c r="B35" s="308"/>
      <c r="C35" s="308"/>
      <c r="D35" s="7" t="s">
        <v>285</v>
      </c>
      <c r="E35" s="20">
        <v>40</v>
      </c>
      <c r="F35" s="21" t="s">
        <v>18</v>
      </c>
      <c r="G35" s="21" t="s">
        <v>18</v>
      </c>
      <c r="H35" s="21">
        <f>2808000*117/100</f>
        <v>3285360</v>
      </c>
      <c r="I35" s="21">
        <f>2808000*117/100</f>
        <v>3285360</v>
      </c>
      <c r="J35" s="7" t="s">
        <v>20</v>
      </c>
      <c r="K35" s="310"/>
      <c r="L35" s="320"/>
      <c r="M35" s="313"/>
    </row>
    <row r="36" spans="1:13" ht="14.25" x14ac:dyDescent="0.2">
      <c r="A36" s="302"/>
      <c r="B36" s="303"/>
      <c r="C36" s="304"/>
      <c r="D36" s="304"/>
      <c r="E36" s="304"/>
      <c r="F36" s="304"/>
      <c r="G36" s="304"/>
      <c r="H36" s="304"/>
      <c r="I36" s="304"/>
      <c r="J36" s="304"/>
      <c r="K36" s="304"/>
      <c r="L36" s="304"/>
      <c r="M36" s="305"/>
    </row>
    <row r="37" spans="1:13" ht="15.75" x14ac:dyDescent="0.2">
      <c r="A37" s="298" t="s">
        <v>324</v>
      </c>
      <c r="B37" s="299"/>
      <c r="C37" s="299"/>
      <c r="D37" s="299"/>
      <c r="E37" s="299"/>
      <c r="F37" s="299"/>
      <c r="G37" s="299"/>
      <c r="H37" s="299"/>
      <c r="I37" s="299"/>
      <c r="J37" s="299"/>
      <c r="K37" s="299"/>
      <c r="L37" s="299"/>
      <c r="M37" s="300"/>
    </row>
    <row r="38" spans="1:13" ht="14.25" x14ac:dyDescent="0.2">
      <c r="A38" s="301">
        <v>6</v>
      </c>
      <c r="B38" s="307" t="s">
        <v>345</v>
      </c>
      <c r="C38" s="307" t="s">
        <v>276</v>
      </c>
      <c r="D38" s="17" t="s">
        <v>346</v>
      </c>
      <c r="E38" s="18">
        <v>100</v>
      </c>
      <c r="F38" s="19" t="s">
        <v>18</v>
      </c>
      <c r="G38" s="19" t="s">
        <v>18</v>
      </c>
      <c r="H38" s="19">
        <f>35000*117/100</f>
        <v>40950</v>
      </c>
      <c r="I38" s="19">
        <f>35000*117/100</f>
        <v>40950</v>
      </c>
      <c r="J38" s="17" t="s">
        <v>20</v>
      </c>
      <c r="K38" s="309" t="s">
        <v>46</v>
      </c>
      <c r="L38" s="319"/>
      <c r="M38" s="312" t="s">
        <v>349</v>
      </c>
    </row>
    <row r="39" spans="1:13" ht="25.5" x14ac:dyDescent="0.2">
      <c r="A39" s="306"/>
      <c r="B39" s="308"/>
      <c r="C39" s="308"/>
      <c r="D39" s="7" t="s">
        <v>209</v>
      </c>
      <c r="E39" s="20">
        <v>90</v>
      </c>
      <c r="F39" s="21" t="s">
        <v>18</v>
      </c>
      <c r="G39" s="21" t="s">
        <v>18</v>
      </c>
      <c r="H39" s="21">
        <f>56822*117/100</f>
        <v>66481.740000000005</v>
      </c>
      <c r="I39" s="21">
        <f>56822*117/100</f>
        <v>66481.740000000005</v>
      </c>
      <c r="J39" s="7" t="s">
        <v>20</v>
      </c>
      <c r="K39" s="310"/>
      <c r="L39" s="320"/>
      <c r="M39" s="313"/>
    </row>
    <row r="40" spans="1:13" ht="25.5" x14ac:dyDescent="0.2">
      <c r="A40" s="306"/>
      <c r="B40" s="308"/>
      <c r="C40" s="308"/>
      <c r="D40" s="7" t="s">
        <v>347</v>
      </c>
      <c r="E40" s="20">
        <v>80</v>
      </c>
      <c r="F40" s="21" t="s">
        <v>18</v>
      </c>
      <c r="G40" s="21" t="s">
        <v>18</v>
      </c>
      <c r="H40" s="21">
        <f>73000*117/100</f>
        <v>85410</v>
      </c>
      <c r="I40" s="21">
        <f>73000*117/100</f>
        <v>85410</v>
      </c>
      <c r="J40" s="7" t="s">
        <v>20</v>
      </c>
      <c r="K40" s="310"/>
      <c r="L40" s="320"/>
      <c r="M40" s="313"/>
    </row>
    <row r="41" spans="1:13" ht="25.5" x14ac:dyDescent="0.2">
      <c r="A41" s="306"/>
      <c r="B41" s="308"/>
      <c r="C41" s="308"/>
      <c r="D41" s="7" t="s">
        <v>348</v>
      </c>
      <c r="E41" s="20">
        <v>70</v>
      </c>
      <c r="F41" s="21" t="s">
        <v>18</v>
      </c>
      <c r="G41" s="21" t="s">
        <v>18</v>
      </c>
      <c r="H41" s="21">
        <f>100000*117/100</f>
        <v>117000</v>
      </c>
      <c r="I41" s="21">
        <f>100000*117/100</f>
        <v>117000</v>
      </c>
      <c r="J41" s="7" t="s">
        <v>20</v>
      </c>
      <c r="K41" s="310"/>
      <c r="L41" s="320"/>
      <c r="M41" s="313"/>
    </row>
    <row r="42" spans="1:13" ht="14.25" x14ac:dyDescent="0.2">
      <c r="A42" s="302"/>
      <c r="B42" s="303"/>
      <c r="C42" s="304"/>
      <c r="D42" s="304"/>
      <c r="E42" s="304"/>
      <c r="F42" s="304"/>
      <c r="G42" s="304"/>
      <c r="H42" s="304"/>
      <c r="I42" s="304"/>
      <c r="J42" s="304"/>
      <c r="K42" s="304"/>
      <c r="L42" s="304"/>
      <c r="M42" s="305"/>
    </row>
    <row r="43" spans="1:13" ht="15.75" x14ac:dyDescent="0.2">
      <c r="A43" s="298" t="s">
        <v>325</v>
      </c>
      <c r="B43" s="299"/>
      <c r="C43" s="299"/>
      <c r="D43" s="299"/>
      <c r="E43" s="299"/>
      <c r="F43" s="299"/>
      <c r="G43" s="299"/>
      <c r="H43" s="299"/>
      <c r="I43" s="299"/>
      <c r="J43" s="299"/>
      <c r="K43" s="299"/>
      <c r="L43" s="299"/>
      <c r="M43" s="300"/>
    </row>
    <row r="44" spans="1:13" ht="25.5" x14ac:dyDescent="0.2">
      <c r="A44" s="301">
        <v>7</v>
      </c>
      <c r="B44" s="307" t="s">
        <v>422</v>
      </c>
      <c r="C44" s="307" t="s">
        <v>276</v>
      </c>
      <c r="D44" s="17" t="s">
        <v>177</v>
      </c>
      <c r="E44" s="18">
        <v>94</v>
      </c>
      <c r="F44" s="19" t="s">
        <v>18</v>
      </c>
      <c r="G44" s="19" t="s">
        <v>18</v>
      </c>
      <c r="H44" s="19">
        <f>25000*117/100</f>
        <v>29250</v>
      </c>
      <c r="I44" s="19">
        <f>25000*117/100</f>
        <v>29250</v>
      </c>
      <c r="J44" s="17" t="s">
        <v>20</v>
      </c>
      <c r="K44" s="309" t="s">
        <v>46</v>
      </c>
      <c r="L44" s="319"/>
      <c r="M44" s="312" t="s">
        <v>349</v>
      </c>
    </row>
    <row r="45" spans="1:13" ht="76.5" x14ac:dyDescent="0.2">
      <c r="A45" s="306"/>
      <c r="B45" s="308"/>
      <c r="C45" s="308"/>
      <c r="D45" s="7" t="s">
        <v>350</v>
      </c>
      <c r="E45" s="20">
        <v>84</v>
      </c>
      <c r="F45" s="21" t="s">
        <v>18</v>
      </c>
      <c r="G45" s="21" t="s">
        <v>18</v>
      </c>
      <c r="H45" s="21">
        <f>58000*117/100</f>
        <v>67860</v>
      </c>
      <c r="I45" s="21">
        <f>58000*117/100</f>
        <v>67860</v>
      </c>
      <c r="J45" s="66" t="s">
        <v>372</v>
      </c>
      <c r="K45" s="310"/>
      <c r="L45" s="320"/>
      <c r="M45" s="313"/>
    </row>
    <row r="46" spans="1:13" ht="38.25" x14ac:dyDescent="0.2">
      <c r="A46" s="306"/>
      <c r="B46" s="308"/>
      <c r="C46" s="308"/>
      <c r="D46" s="7" t="s">
        <v>351</v>
      </c>
      <c r="E46" s="20">
        <v>74</v>
      </c>
      <c r="F46" s="21" t="s">
        <v>18</v>
      </c>
      <c r="G46" s="21" t="s">
        <v>18</v>
      </c>
      <c r="H46" s="21">
        <f>72500*117/100</f>
        <v>84825</v>
      </c>
      <c r="I46" s="21">
        <f>72500*117/100</f>
        <v>84825</v>
      </c>
      <c r="J46" s="7" t="s">
        <v>20</v>
      </c>
      <c r="K46" s="310"/>
      <c r="L46" s="320"/>
      <c r="M46" s="313"/>
    </row>
    <row r="47" spans="1:13" ht="14.25" x14ac:dyDescent="0.2">
      <c r="A47" s="306"/>
      <c r="B47" s="308"/>
      <c r="C47" s="308"/>
      <c r="D47" s="7" t="s">
        <v>192</v>
      </c>
      <c r="E47" s="20">
        <v>64</v>
      </c>
      <c r="F47" s="21" t="s">
        <v>18</v>
      </c>
      <c r="G47" s="21" t="s">
        <v>18</v>
      </c>
      <c r="H47" s="21">
        <f>110000*117/100</f>
        <v>128700</v>
      </c>
      <c r="I47" s="21">
        <f>110000*117/100</f>
        <v>128700</v>
      </c>
      <c r="J47" s="7" t="s">
        <v>20</v>
      </c>
      <c r="K47" s="310"/>
      <c r="L47" s="320"/>
      <c r="M47" s="313"/>
    </row>
    <row r="48" spans="1:13" ht="14.25" x14ac:dyDescent="0.2">
      <c r="A48" s="302"/>
      <c r="B48" s="303"/>
      <c r="C48" s="304"/>
      <c r="D48" s="304"/>
      <c r="E48" s="304"/>
      <c r="F48" s="304"/>
      <c r="G48" s="304"/>
      <c r="H48" s="304"/>
      <c r="I48" s="304"/>
      <c r="J48" s="304"/>
      <c r="K48" s="304"/>
      <c r="L48" s="304"/>
      <c r="M48" s="305"/>
    </row>
    <row r="49" spans="1:13" ht="15.75" x14ac:dyDescent="0.2">
      <c r="A49" s="298" t="s">
        <v>326</v>
      </c>
      <c r="B49" s="299"/>
      <c r="C49" s="299"/>
      <c r="D49" s="299"/>
      <c r="E49" s="299"/>
      <c r="F49" s="299"/>
      <c r="G49" s="299"/>
      <c r="H49" s="299"/>
      <c r="I49" s="299"/>
      <c r="J49" s="299"/>
      <c r="K49" s="299"/>
      <c r="L49" s="299"/>
      <c r="M49" s="300"/>
    </row>
    <row r="50" spans="1:13" ht="25.5" x14ac:dyDescent="0.2">
      <c r="A50" s="301">
        <v>8</v>
      </c>
      <c r="B50" s="307" t="s">
        <v>352</v>
      </c>
      <c r="C50" s="307" t="s">
        <v>276</v>
      </c>
      <c r="D50" s="17" t="s">
        <v>353</v>
      </c>
      <c r="E50" s="18">
        <v>94</v>
      </c>
      <c r="F50" s="19" t="s">
        <v>18</v>
      </c>
      <c r="G50" s="19" t="s">
        <v>18</v>
      </c>
      <c r="H50" s="19">
        <f>14000*117/100</f>
        <v>16380</v>
      </c>
      <c r="I50" s="19">
        <f>14000*117/100</f>
        <v>16380</v>
      </c>
      <c r="J50" s="17" t="s">
        <v>20</v>
      </c>
      <c r="K50" s="309" t="s">
        <v>46</v>
      </c>
      <c r="L50" s="319"/>
      <c r="M50" s="312"/>
    </row>
    <row r="51" spans="1:13" ht="25.5" x14ac:dyDescent="0.2">
      <c r="A51" s="306"/>
      <c r="B51" s="308"/>
      <c r="C51" s="308"/>
      <c r="D51" s="7" t="s">
        <v>354</v>
      </c>
      <c r="E51" s="20">
        <v>84</v>
      </c>
      <c r="F51" s="21" t="s">
        <v>18</v>
      </c>
      <c r="G51" s="21" t="s">
        <v>18</v>
      </c>
      <c r="H51" s="21">
        <f>15000*117/100</f>
        <v>17550</v>
      </c>
      <c r="I51" s="21">
        <f>15000*117/100</f>
        <v>17550</v>
      </c>
      <c r="J51" s="7" t="s">
        <v>20</v>
      </c>
      <c r="K51" s="310"/>
      <c r="L51" s="320"/>
      <c r="M51" s="313"/>
    </row>
    <row r="52" spans="1:13" ht="25.5" x14ac:dyDescent="0.2">
      <c r="A52" s="306"/>
      <c r="B52" s="308"/>
      <c r="C52" s="308"/>
      <c r="D52" s="7" t="s">
        <v>355</v>
      </c>
      <c r="E52" s="20">
        <v>68</v>
      </c>
      <c r="F52" s="21" t="s">
        <v>18</v>
      </c>
      <c r="G52" s="21" t="s">
        <v>18</v>
      </c>
      <c r="H52" s="21">
        <f>24000*117/100</f>
        <v>28080</v>
      </c>
      <c r="I52" s="21">
        <f>24000*117/100</f>
        <v>28080</v>
      </c>
      <c r="J52" s="7" t="s">
        <v>20</v>
      </c>
      <c r="K52" s="310"/>
      <c r="L52" s="320"/>
      <c r="M52" s="313"/>
    </row>
    <row r="53" spans="1:13" ht="51" x14ac:dyDescent="0.2">
      <c r="A53" s="306"/>
      <c r="B53" s="308"/>
      <c r="C53" s="308"/>
      <c r="D53" s="7" t="s">
        <v>356</v>
      </c>
      <c r="E53" s="20">
        <v>64</v>
      </c>
      <c r="F53" s="21" t="s">
        <v>18</v>
      </c>
      <c r="G53" s="21" t="s">
        <v>18</v>
      </c>
      <c r="H53" s="21">
        <f>31700*117/100</f>
        <v>37089</v>
      </c>
      <c r="I53" s="21">
        <f>31700*117/100</f>
        <v>37089</v>
      </c>
      <c r="J53" s="7" t="s">
        <v>20</v>
      </c>
      <c r="K53" s="310"/>
      <c r="L53" s="320"/>
      <c r="M53" s="313"/>
    </row>
    <row r="54" spans="1:13" ht="25.5" x14ac:dyDescent="0.2">
      <c r="A54" s="306"/>
      <c r="B54" s="308"/>
      <c r="C54" s="308"/>
      <c r="D54" s="7" t="s">
        <v>357</v>
      </c>
      <c r="E54" s="20">
        <v>54</v>
      </c>
      <c r="F54" s="21" t="s">
        <v>18</v>
      </c>
      <c r="G54" s="21" t="s">
        <v>18</v>
      </c>
      <c r="H54" s="21">
        <f>34500*117/100</f>
        <v>40365</v>
      </c>
      <c r="I54" s="21">
        <f>34500*117/100</f>
        <v>40365</v>
      </c>
      <c r="J54" s="7" t="s">
        <v>20</v>
      </c>
      <c r="K54" s="310"/>
      <c r="L54" s="320"/>
      <c r="M54" s="313"/>
    </row>
    <row r="55" spans="1:13" ht="14.25" x14ac:dyDescent="0.2">
      <c r="A55" s="302"/>
      <c r="B55" s="303"/>
      <c r="C55" s="304"/>
      <c r="D55" s="304"/>
      <c r="E55" s="304"/>
      <c r="F55" s="304"/>
      <c r="G55" s="304"/>
      <c r="H55" s="304"/>
      <c r="I55" s="304"/>
      <c r="J55" s="304"/>
      <c r="K55" s="304"/>
      <c r="L55" s="304"/>
      <c r="M55" s="305"/>
    </row>
    <row r="56" spans="1:13" ht="15.75" x14ac:dyDescent="0.2">
      <c r="A56" s="298" t="s">
        <v>327</v>
      </c>
      <c r="B56" s="299"/>
      <c r="C56" s="299"/>
      <c r="D56" s="299"/>
      <c r="E56" s="299"/>
      <c r="F56" s="299"/>
      <c r="G56" s="299"/>
      <c r="H56" s="299"/>
      <c r="I56" s="299"/>
      <c r="J56" s="299"/>
      <c r="K56" s="299"/>
      <c r="L56" s="299"/>
      <c r="M56" s="300"/>
    </row>
    <row r="57" spans="1:13" ht="63.75" x14ac:dyDescent="0.2">
      <c r="A57" s="301">
        <v>9</v>
      </c>
      <c r="B57" s="307" t="s">
        <v>358</v>
      </c>
      <c r="C57" s="307" t="s">
        <v>276</v>
      </c>
      <c r="D57" s="17" t="s">
        <v>469</v>
      </c>
      <c r="E57" s="18">
        <v>100</v>
      </c>
      <c r="F57" s="19" t="s">
        <v>170</v>
      </c>
      <c r="G57" s="19" t="s">
        <v>389</v>
      </c>
      <c r="H57" s="38">
        <v>3.4000000000000002E-2</v>
      </c>
      <c r="I57" s="19">
        <f>3.4/100*2800000</f>
        <v>95200</v>
      </c>
      <c r="J57" s="17" t="s">
        <v>20</v>
      </c>
      <c r="K57" s="309" t="s">
        <v>426</v>
      </c>
      <c r="L57" s="319"/>
      <c r="M57" s="312"/>
    </row>
    <row r="58" spans="1:13" ht="38.25" x14ac:dyDescent="0.2">
      <c r="A58" s="306"/>
      <c r="B58" s="308"/>
      <c r="C58" s="308"/>
      <c r="D58" s="7" t="s">
        <v>295</v>
      </c>
      <c r="E58" s="20">
        <v>90</v>
      </c>
      <c r="F58" s="21" t="s">
        <v>170</v>
      </c>
      <c r="G58" s="21" t="s">
        <v>389</v>
      </c>
      <c r="H58" s="36">
        <v>3.4500000000000003E-2</v>
      </c>
      <c r="I58" s="21">
        <f>3.45/100*2800000</f>
        <v>96600.000000000015</v>
      </c>
      <c r="J58" s="7" t="s">
        <v>20</v>
      </c>
      <c r="K58" s="310"/>
      <c r="L58" s="320"/>
      <c r="M58" s="313"/>
    </row>
    <row r="59" spans="1:13" ht="38.25" x14ac:dyDescent="0.2">
      <c r="A59" s="306"/>
      <c r="B59" s="308"/>
      <c r="C59" s="308"/>
      <c r="D59" s="7" t="s">
        <v>359</v>
      </c>
      <c r="E59" s="20">
        <v>80</v>
      </c>
      <c r="F59" s="21" t="s">
        <v>170</v>
      </c>
      <c r="G59" s="21" t="s">
        <v>390</v>
      </c>
      <c r="H59" s="36">
        <v>3.9E-2</v>
      </c>
      <c r="I59" s="21">
        <f>3.9/100*2800000</f>
        <v>109200</v>
      </c>
      <c r="J59" s="7" t="s">
        <v>20</v>
      </c>
      <c r="K59" s="310"/>
      <c r="L59" s="320"/>
      <c r="M59" s="313"/>
    </row>
    <row r="60" spans="1:13" ht="38.25" x14ac:dyDescent="0.2">
      <c r="A60" s="306"/>
      <c r="B60" s="308"/>
      <c r="C60" s="308"/>
      <c r="D60" s="7" t="s">
        <v>219</v>
      </c>
      <c r="E60" s="20">
        <v>64</v>
      </c>
      <c r="F60" s="21" t="s">
        <v>170</v>
      </c>
      <c r="G60" s="21" t="s">
        <v>391</v>
      </c>
      <c r="H60" s="36">
        <v>3.95E-2</v>
      </c>
      <c r="I60" s="21">
        <f>3.95/100*2800000</f>
        <v>110600</v>
      </c>
      <c r="J60" s="7" t="s">
        <v>20</v>
      </c>
      <c r="K60" s="310"/>
      <c r="L60" s="320"/>
      <c r="M60" s="313"/>
    </row>
    <row r="61" spans="1:13" ht="38.25" x14ac:dyDescent="0.2">
      <c r="A61" s="306"/>
      <c r="B61" s="308"/>
      <c r="C61" s="308"/>
      <c r="D61" s="7" t="s">
        <v>221</v>
      </c>
      <c r="E61" s="20">
        <v>50</v>
      </c>
      <c r="F61" s="21" t="s">
        <v>170</v>
      </c>
      <c r="G61" s="21" t="s">
        <v>392</v>
      </c>
      <c r="H61" s="36">
        <v>0.05</v>
      </c>
      <c r="I61" s="21">
        <f>5/100*2800000</f>
        <v>140000</v>
      </c>
      <c r="J61" s="7" t="s">
        <v>20</v>
      </c>
      <c r="K61" s="310"/>
      <c r="L61" s="320"/>
      <c r="M61" s="313"/>
    </row>
    <row r="62" spans="1:13" ht="14.25" x14ac:dyDescent="0.2">
      <c r="A62" s="302"/>
      <c r="B62" s="303"/>
      <c r="C62" s="304"/>
      <c r="D62" s="304"/>
      <c r="E62" s="304"/>
      <c r="F62" s="304"/>
      <c r="G62" s="304"/>
      <c r="H62" s="304"/>
      <c r="I62" s="304"/>
      <c r="J62" s="304"/>
      <c r="K62" s="304"/>
      <c r="L62" s="304"/>
      <c r="M62" s="305"/>
    </row>
    <row r="63" spans="1:13" ht="15.75" x14ac:dyDescent="0.2">
      <c r="A63" s="298" t="s">
        <v>328</v>
      </c>
      <c r="B63" s="299"/>
      <c r="C63" s="299"/>
      <c r="D63" s="299"/>
      <c r="E63" s="299"/>
      <c r="F63" s="299"/>
      <c r="G63" s="299"/>
      <c r="H63" s="299"/>
      <c r="I63" s="299"/>
      <c r="J63" s="299"/>
      <c r="K63" s="299"/>
      <c r="L63" s="299"/>
      <c r="M63" s="300"/>
    </row>
    <row r="64" spans="1:13" ht="25.5" x14ac:dyDescent="0.2">
      <c r="A64" s="301">
        <v>10</v>
      </c>
      <c r="B64" s="307" t="s">
        <v>368</v>
      </c>
      <c r="C64" s="307" t="s">
        <v>276</v>
      </c>
      <c r="D64" s="17" t="s">
        <v>369</v>
      </c>
      <c r="E64" s="18">
        <v>100</v>
      </c>
      <c r="F64" s="19" t="s">
        <v>18</v>
      </c>
      <c r="G64" s="19" t="s">
        <v>18</v>
      </c>
      <c r="H64" s="19">
        <f>52000*117/100</f>
        <v>60840</v>
      </c>
      <c r="I64" s="19">
        <f>52000*117/100</f>
        <v>60840</v>
      </c>
      <c r="J64" s="17" t="s">
        <v>20</v>
      </c>
      <c r="K64" s="309" t="s">
        <v>46</v>
      </c>
      <c r="L64" s="319"/>
      <c r="M64" s="312" t="s">
        <v>349</v>
      </c>
    </row>
    <row r="65" spans="1:13" ht="25.5" x14ac:dyDescent="0.2">
      <c r="A65" s="306"/>
      <c r="B65" s="308"/>
      <c r="C65" s="308"/>
      <c r="D65" s="7" t="s">
        <v>370</v>
      </c>
      <c r="E65" s="20">
        <v>84</v>
      </c>
      <c r="F65" s="21" t="s">
        <v>18</v>
      </c>
      <c r="G65" s="21" t="s">
        <v>18</v>
      </c>
      <c r="H65" s="21">
        <f>58000*117/100</f>
        <v>67860</v>
      </c>
      <c r="I65" s="21">
        <f>58000*117/100</f>
        <v>67860</v>
      </c>
      <c r="J65" s="7" t="s">
        <v>20</v>
      </c>
      <c r="K65" s="310"/>
      <c r="L65" s="320"/>
      <c r="M65" s="313"/>
    </row>
    <row r="66" spans="1:13" ht="14.25" x14ac:dyDescent="0.2">
      <c r="A66" s="306"/>
      <c r="B66" s="308"/>
      <c r="C66" s="308"/>
      <c r="D66" s="7" t="s">
        <v>371</v>
      </c>
      <c r="E66" s="20">
        <v>74</v>
      </c>
      <c r="F66" s="21" t="s">
        <v>18</v>
      </c>
      <c r="G66" s="21" t="s">
        <v>18</v>
      </c>
      <c r="H66" s="21">
        <f>93530*117/100</f>
        <v>109430.1</v>
      </c>
      <c r="I66" s="21">
        <f>93530*117/100</f>
        <v>109430.1</v>
      </c>
      <c r="J66" s="7" t="s">
        <v>20</v>
      </c>
      <c r="K66" s="310"/>
      <c r="L66" s="320"/>
      <c r="M66" s="313"/>
    </row>
    <row r="67" spans="1:13" ht="14.25" x14ac:dyDescent="0.2">
      <c r="A67" s="306"/>
      <c r="B67" s="308"/>
      <c r="C67" s="308"/>
      <c r="D67" s="7" t="s">
        <v>341</v>
      </c>
      <c r="E67" s="20">
        <v>64</v>
      </c>
      <c r="F67" s="21" t="s">
        <v>18</v>
      </c>
      <c r="G67" s="21" t="s">
        <v>18</v>
      </c>
      <c r="H67" s="21">
        <f>120000*117/100</f>
        <v>140400</v>
      </c>
      <c r="I67" s="21">
        <f>120000*117/100</f>
        <v>140400</v>
      </c>
      <c r="J67" s="7" t="s">
        <v>20</v>
      </c>
      <c r="K67" s="310"/>
      <c r="L67" s="320"/>
      <c r="M67" s="313"/>
    </row>
    <row r="68" spans="1:13" ht="25.5" x14ac:dyDescent="0.2">
      <c r="A68" s="306"/>
      <c r="B68" s="308"/>
      <c r="C68" s="308"/>
      <c r="D68" s="7" t="s">
        <v>209</v>
      </c>
      <c r="E68" s="20">
        <v>54</v>
      </c>
      <c r="F68" s="21" t="s">
        <v>18</v>
      </c>
      <c r="G68" s="21" t="s">
        <v>18</v>
      </c>
      <c r="H68" s="21">
        <f>136138*117/100</f>
        <v>159281.46</v>
      </c>
      <c r="I68" s="21">
        <f>136138*117/100</f>
        <v>159281.46</v>
      </c>
      <c r="J68" s="7" t="s">
        <v>20</v>
      </c>
      <c r="K68" s="310"/>
      <c r="L68" s="320"/>
      <c r="M68" s="313"/>
    </row>
    <row r="69" spans="1:13" ht="14.25" x14ac:dyDescent="0.2">
      <c r="A69" s="302"/>
      <c r="B69" s="303"/>
      <c r="C69" s="304"/>
      <c r="D69" s="304"/>
      <c r="E69" s="304"/>
      <c r="F69" s="304"/>
      <c r="G69" s="304"/>
      <c r="H69" s="304"/>
      <c r="I69" s="304"/>
      <c r="J69" s="304"/>
      <c r="K69" s="304"/>
      <c r="L69" s="304"/>
      <c r="M69" s="305"/>
    </row>
    <row r="70" spans="1:13" ht="15.75" x14ac:dyDescent="0.2">
      <c r="A70" s="298" t="s">
        <v>329</v>
      </c>
      <c r="B70" s="299"/>
      <c r="C70" s="299"/>
      <c r="D70" s="299"/>
      <c r="E70" s="299"/>
      <c r="F70" s="299"/>
      <c r="G70" s="299"/>
      <c r="H70" s="299"/>
      <c r="I70" s="299"/>
      <c r="J70" s="299"/>
      <c r="K70" s="299"/>
      <c r="L70" s="299"/>
      <c r="M70" s="300"/>
    </row>
    <row r="71" spans="1:13" ht="10.9" customHeight="1" x14ac:dyDescent="0.2">
      <c r="A71" s="301">
        <v>11</v>
      </c>
      <c r="B71" s="307" t="s">
        <v>373</v>
      </c>
      <c r="C71" s="307" t="s">
        <v>210</v>
      </c>
      <c r="D71" s="17" t="s">
        <v>375</v>
      </c>
      <c r="E71" s="18">
        <v>100</v>
      </c>
      <c r="F71" s="19" t="s">
        <v>29</v>
      </c>
      <c r="G71" s="19" t="s">
        <v>379</v>
      </c>
      <c r="H71" s="19">
        <f>201.78*117/100</f>
        <v>236.08259999999999</v>
      </c>
      <c r="I71" s="19">
        <f>200*H71</f>
        <v>47216.52</v>
      </c>
      <c r="J71" s="17" t="s">
        <v>20</v>
      </c>
      <c r="K71" s="309" t="s">
        <v>46</v>
      </c>
      <c r="L71" s="319"/>
      <c r="M71" s="312" t="s">
        <v>374</v>
      </c>
    </row>
    <row r="72" spans="1:13" ht="11.45" customHeight="1" x14ac:dyDescent="0.2">
      <c r="A72" s="306"/>
      <c r="B72" s="308"/>
      <c r="C72" s="308"/>
      <c r="D72" s="7" t="s">
        <v>376</v>
      </c>
      <c r="E72" s="20">
        <v>90</v>
      </c>
      <c r="F72" s="21" t="s">
        <v>29</v>
      </c>
      <c r="G72" s="21" t="s">
        <v>379</v>
      </c>
      <c r="H72" s="21">
        <f>250*117/100</f>
        <v>292.5</v>
      </c>
      <c r="I72" s="21">
        <f t="shared" ref="I72:I75" si="1">200*H72</f>
        <v>58500</v>
      </c>
      <c r="J72" s="7" t="s">
        <v>20</v>
      </c>
      <c r="K72" s="310"/>
      <c r="L72" s="320"/>
      <c r="M72" s="313"/>
    </row>
    <row r="73" spans="1:13" ht="16.149999999999999" customHeight="1" x14ac:dyDescent="0.2">
      <c r="A73" s="306"/>
      <c r="B73" s="308"/>
      <c r="C73" s="308"/>
      <c r="D73" s="7" t="s">
        <v>377</v>
      </c>
      <c r="E73" s="20">
        <v>84</v>
      </c>
      <c r="F73" s="21" t="s">
        <v>29</v>
      </c>
      <c r="G73" s="21" t="s">
        <v>379</v>
      </c>
      <c r="H73" s="21">
        <f>250*117/100</f>
        <v>292.5</v>
      </c>
      <c r="I73" s="21">
        <f t="shared" si="1"/>
        <v>58500</v>
      </c>
      <c r="J73" s="7" t="s">
        <v>20</v>
      </c>
      <c r="K73" s="310"/>
      <c r="L73" s="320"/>
      <c r="M73" s="313"/>
    </row>
    <row r="74" spans="1:13" ht="14.45" customHeight="1" x14ac:dyDescent="0.2">
      <c r="A74" s="306"/>
      <c r="B74" s="308"/>
      <c r="C74" s="308"/>
      <c r="D74" s="7" t="s">
        <v>209</v>
      </c>
      <c r="E74" s="20">
        <v>80</v>
      </c>
      <c r="F74" s="21" t="s">
        <v>29</v>
      </c>
      <c r="G74" s="21" t="s">
        <v>379</v>
      </c>
      <c r="H74" s="21">
        <f>270*117/100</f>
        <v>315.89999999999998</v>
      </c>
      <c r="I74" s="21">
        <f t="shared" si="1"/>
        <v>63179.999999999993</v>
      </c>
      <c r="J74" s="7" t="s">
        <v>20</v>
      </c>
      <c r="K74" s="310"/>
      <c r="L74" s="320"/>
      <c r="M74" s="313"/>
    </row>
    <row r="75" spans="1:13" ht="15" customHeight="1" x14ac:dyDescent="0.2">
      <c r="A75" s="306"/>
      <c r="B75" s="308"/>
      <c r="C75" s="308"/>
      <c r="D75" s="7" t="s">
        <v>378</v>
      </c>
      <c r="E75" s="20">
        <v>70</v>
      </c>
      <c r="F75" s="21" t="s">
        <v>29</v>
      </c>
      <c r="G75" s="21" t="s">
        <v>379</v>
      </c>
      <c r="H75" s="21">
        <f>300.16*117/100</f>
        <v>351.18720000000002</v>
      </c>
      <c r="I75" s="21">
        <f t="shared" si="1"/>
        <v>70237.440000000002</v>
      </c>
      <c r="J75" s="7" t="s">
        <v>20</v>
      </c>
      <c r="K75" s="310"/>
      <c r="L75" s="320"/>
      <c r="M75" s="313"/>
    </row>
    <row r="76" spans="1:13" ht="14.25" x14ac:dyDescent="0.2">
      <c r="A76" s="302"/>
      <c r="B76" s="303"/>
      <c r="C76" s="304"/>
      <c r="D76" s="304"/>
      <c r="E76" s="304"/>
      <c r="F76" s="304"/>
      <c r="G76" s="304"/>
      <c r="H76" s="304"/>
      <c r="I76" s="304"/>
      <c r="J76" s="304"/>
      <c r="K76" s="304"/>
      <c r="L76" s="304"/>
      <c r="M76" s="305"/>
    </row>
    <row r="77" spans="1:13" ht="15.75" x14ac:dyDescent="0.2">
      <c r="A77" s="298" t="s">
        <v>330</v>
      </c>
      <c r="B77" s="299"/>
      <c r="C77" s="299"/>
      <c r="D77" s="299"/>
      <c r="E77" s="299"/>
      <c r="F77" s="299"/>
      <c r="G77" s="299"/>
      <c r="H77" s="299"/>
      <c r="I77" s="299"/>
      <c r="J77" s="299"/>
      <c r="K77" s="299"/>
      <c r="L77" s="299"/>
      <c r="M77" s="300"/>
    </row>
    <row r="78" spans="1:13" ht="38.25" x14ac:dyDescent="0.2">
      <c r="A78" s="301">
        <v>12</v>
      </c>
      <c r="B78" s="307" t="s">
        <v>387</v>
      </c>
      <c r="C78" s="307" t="s">
        <v>52</v>
      </c>
      <c r="D78" s="17" t="s">
        <v>380</v>
      </c>
      <c r="E78" s="18">
        <v>100</v>
      </c>
      <c r="F78" s="19" t="s">
        <v>170</v>
      </c>
      <c r="G78" s="19" t="s">
        <v>383</v>
      </c>
      <c r="H78" s="38">
        <v>3.3000000000000002E-2</v>
      </c>
      <c r="I78" s="19">
        <f>3.3/100*6000000</f>
        <v>198000</v>
      </c>
      <c r="J78" s="17" t="s">
        <v>20</v>
      </c>
      <c r="K78" s="309" t="s">
        <v>46</v>
      </c>
      <c r="L78" s="319"/>
      <c r="M78" s="312">
        <v>2530092770</v>
      </c>
    </row>
    <row r="79" spans="1:13" ht="51" x14ac:dyDescent="0.2">
      <c r="A79" s="306"/>
      <c r="B79" s="308"/>
      <c r="C79" s="308"/>
      <c r="D79" s="7" t="s">
        <v>388</v>
      </c>
      <c r="E79" s="20">
        <v>90</v>
      </c>
      <c r="F79" s="21" t="s">
        <v>170</v>
      </c>
      <c r="G79" s="21" t="s">
        <v>383</v>
      </c>
      <c r="H79" s="36" t="s">
        <v>386</v>
      </c>
      <c r="I79" s="21">
        <f>4.4/100*6000000</f>
        <v>264000</v>
      </c>
      <c r="J79" s="7" t="s">
        <v>20</v>
      </c>
      <c r="K79" s="310"/>
      <c r="L79" s="320"/>
      <c r="M79" s="313"/>
    </row>
    <row r="80" spans="1:13" ht="25.5" x14ac:dyDescent="0.2">
      <c r="A80" s="306"/>
      <c r="B80" s="308"/>
      <c r="C80" s="308"/>
      <c r="D80" s="7" t="s">
        <v>381</v>
      </c>
      <c r="E80" s="20">
        <v>80</v>
      </c>
      <c r="F80" s="21" t="s">
        <v>170</v>
      </c>
      <c r="G80" s="21" t="s">
        <v>383</v>
      </c>
      <c r="H80" s="36" t="s">
        <v>384</v>
      </c>
      <c r="I80" s="21">
        <f>6/100*6000000</f>
        <v>360000</v>
      </c>
      <c r="J80" s="7" t="s">
        <v>20</v>
      </c>
      <c r="K80" s="310"/>
      <c r="L80" s="320"/>
      <c r="M80" s="313"/>
    </row>
    <row r="81" spans="1:13" ht="25.5" x14ac:dyDescent="0.2">
      <c r="A81" s="306"/>
      <c r="B81" s="308"/>
      <c r="C81" s="308"/>
      <c r="D81" s="7" t="s">
        <v>382</v>
      </c>
      <c r="E81" s="20">
        <v>70</v>
      </c>
      <c r="F81" s="21" t="s">
        <v>170</v>
      </c>
      <c r="G81" s="21" t="s">
        <v>383</v>
      </c>
      <c r="H81" s="36" t="s">
        <v>385</v>
      </c>
      <c r="I81" s="21">
        <f>8/100*6000000</f>
        <v>480000</v>
      </c>
      <c r="J81" s="7" t="s">
        <v>20</v>
      </c>
      <c r="K81" s="310"/>
      <c r="L81" s="320"/>
      <c r="M81" s="313"/>
    </row>
    <row r="82" spans="1:13" ht="14.25" x14ac:dyDescent="0.2">
      <c r="A82" s="302"/>
      <c r="B82" s="303" t="s">
        <v>393</v>
      </c>
      <c r="C82" s="304"/>
      <c r="D82" s="304"/>
      <c r="E82" s="304"/>
      <c r="F82" s="304"/>
      <c r="G82" s="304"/>
      <c r="H82" s="304"/>
      <c r="I82" s="304"/>
      <c r="J82" s="304"/>
      <c r="K82" s="304"/>
      <c r="L82" s="304"/>
      <c r="M82" s="305"/>
    </row>
    <row r="83" spans="1:13" ht="15.75" x14ac:dyDescent="0.2">
      <c r="A83" s="298" t="s">
        <v>331</v>
      </c>
      <c r="B83" s="299"/>
      <c r="C83" s="299"/>
      <c r="D83" s="299"/>
      <c r="E83" s="299"/>
      <c r="F83" s="299"/>
      <c r="G83" s="299"/>
      <c r="H83" s="299"/>
      <c r="I83" s="299"/>
      <c r="J83" s="299"/>
      <c r="K83" s="299"/>
      <c r="L83" s="299"/>
      <c r="M83" s="300"/>
    </row>
    <row r="84" spans="1:13" ht="31.5" x14ac:dyDescent="0.2">
      <c r="A84" s="301">
        <v>13</v>
      </c>
      <c r="B84" s="62" t="s">
        <v>360</v>
      </c>
      <c r="C84" s="62" t="s">
        <v>361</v>
      </c>
      <c r="D84" s="17" t="s">
        <v>362</v>
      </c>
      <c r="E84" s="18">
        <v>100</v>
      </c>
      <c r="F84" s="19" t="s">
        <v>18</v>
      </c>
      <c r="G84" s="19" t="s">
        <v>18</v>
      </c>
      <c r="H84" s="19">
        <f>11934*117/100</f>
        <v>13962.78</v>
      </c>
      <c r="I84" s="19">
        <f>11934*117/100</f>
        <v>13962.78</v>
      </c>
      <c r="J84" s="17" t="s">
        <v>20</v>
      </c>
      <c r="K84" s="63" t="s">
        <v>100</v>
      </c>
      <c r="L84" s="64"/>
      <c r="M84" s="65">
        <v>1811000786</v>
      </c>
    </row>
    <row r="85" spans="1:13" ht="14.25" x14ac:dyDescent="0.2">
      <c r="A85" s="302"/>
      <c r="B85" s="303" t="s">
        <v>364</v>
      </c>
      <c r="C85" s="304"/>
      <c r="D85" s="304"/>
      <c r="E85" s="304"/>
      <c r="F85" s="304"/>
      <c r="G85" s="304"/>
      <c r="H85" s="304"/>
      <c r="I85" s="304"/>
      <c r="J85" s="304"/>
      <c r="K85" s="304"/>
      <c r="L85" s="304"/>
      <c r="M85" s="305"/>
    </row>
    <row r="86" spans="1:13" ht="15.75" x14ac:dyDescent="0.2">
      <c r="A86" s="298" t="s">
        <v>332</v>
      </c>
      <c r="B86" s="299"/>
      <c r="C86" s="299"/>
      <c r="D86" s="299"/>
      <c r="E86" s="299"/>
      <c r="F86" s="299"/>
      <c r="G86" s="299"/>
      <c r="H86" s="299"/>
      <c r="I86" s="299"/>
      <c r="J86" s="299"/>
      <c r="K86" s="299"/>
      <c r="L86" s="299"/>
      <c r="M86" s="300"/>
    </row>
    <row r="87" spans="1:13" ht="126" x14ac:dyDescent="0.2">
      <c r="A87" s="301">
        <v>14</v>
      </c>
      <c r="B87" s="62" t="s">
        <v>363</v>
      </c>
      <c r="C87" s="62" t="s">
        <v>361</v>
      </c>
      <c r="D87" s="67" t="s">
        <v>365</v>
      </c>
      <c r="E87" s="68">
        <v>100</v>
      </c>
      <c r="F87" s="69" t="s">
        <v>29</v>
      </c>
      <c r="G87" s="69" t="s">
        <v>366</v>
      </c>
      <c r="H87" s="69">
        <f>315*117/100</f>
        <v>368.55</v>
      </c>
      <c r="I87" s="69">
        <f>H87*416</f>
        <v>153316.80000000002</v>
      </c>
      <c r="J87" s="67" t="s">
        <v>20</v>
      </c>
      <c r="K87" s="63" t="s">
        <v>423</v>
      </c>
      <c r="L87" s="64"/>
      <c r="M87" s="65">
        <v>2550022758</v>
      </c>
    </row>
    <row r="88" spans="1:13" ht="14.25" x14ac:dyDescent="0.2">
      <c r="A88" s="302"/>
      <c r="B88" s="303" t="s">
        <v>367</v>
      </c>
      <c r="C88" s="304"/>
      <c r="D88" s="304"/>
      <c r="E88" s="304"/>
      <c r="F88" s="304"/>
      <c r="G88" s="304"/>
      <c r="H88" s="304"/>
      <c r="I88" s="304"/>
      <c r="J88" s="304"/>
      <c r="K88" s="304"/>
      <c r="L88" s="304"/>
      <c r="M88" s="305"/>
    </row>
    <row r="89" spans="1:13" ht="15.75" x14ac:dyDescent="0.2">
      <c r="A89" s="298" t="s">
        <v>394</v>
      </c>
      <c r="B89" s="299"/>
      <c r="C89" s="299"/>
      <c r="D89" s="299"/>
      <c r="E89" s="299"/>
      <c r="F89" s="299"/>
      <c r="G89" s="299"/>
      <c r="H89" s="299"/>
      <c r="I89" s="299"/>
      <c r="J89" s="299"/>
      <c r="K89" s="299"/>
      <c r="L89" s="299"/>
      <c r="M89" s="300"/>
    </row>
    <row r="90" spans="1:13" ht="38.25" x14ac:dyDescent="0.2">
      <c r="A90" s="301">
        <v>15</v>
      </c>
      <c r="B90" s="307" t="s">
        <v>398</v>
      </c>
      <c r="C90" s="307" t="s">
        <v>189</v>
      </c>
      <c r="D90" s="17" t="s">
        <v>409</v>
      </c>
      <c r="E90" s="18">
        <v>100</v>
      </c>
      <c r="F90" s="19" t="s">
        <v>18</v>
      </c>
      <c r="G90" s="19" t="s">
        <v>18</v>
      </c>
      <c r="H90" s="19">
        <f>40000*117/100</f>
        <v>46800</v>
      </c>
      <c r="I90" s="19">
        <f>40000*117/100</f>
        <v>46800</v>
      </c>
      <c r="J90" s="17" t="s">
        <v>20</v>
      </c>
      <c r="K90" s="309" t="s">
        <v>46</v>
      </c>
      <c r="L90" s="319"/>
      <c r="M90" s="312" t="s">
        <v>403</v>
      </c>
    </row>
    <row r="91" spans="1:13" ht="25.5" x14ac:dyDescent="0.2">
      <c r="A91" s="306"/>
      <c r="B91" s="308"/>
      <c r="C91" s="308"/>
      <c r="D91" s="7" t="s">
        <v>400</v>
      </c>
      <c r="E91" s="20">
        <v>90</v>
      </c>
      <c r="F91" s="21" t="s">
        <v>18</v>
      </c>
      <c r="G91" s="21" t="s">
        <v>18</v>
      </c>
      <c r="H91" s="21">
        <f>55000*117/100</f>
        <v>64350</v>
      </c>
      <c r="I91" s="21">
        <f>55000*117/100</f>
        <v>64350</v>
      </c>
      <c r="J91" s="66"/>
      <c r="K91" s="310"/>
      <c r="L91" s="320"/>
      <c r="M91" s="313"/>
    </row>
    <row r="92" spans="1:13" ht="38.25" x14ac:dyDescent="0.2">
      <c r="A92" s="306"/>
      <c r="B92" s="308"/>
      <c r="C92" s="308"/>
      <c r="D92" s="7" t="s">
        <v>401</v>
      </c>
      <c r="E92" s="20">
        <v>80</v>
      </c>
      <c r="F92" s="21" t="s">
        <v>18</v>
      </c>
      <c r="G92" s="21" t="s">
        <v>18</v>
      </c>
      <c r="H92" s="21">
        <f>63000*117/100</f>
        <v>73710</v>
      </c>
      <c r="I92" s="21">
        <f>63000*117/100</f>
        <v>73710</v>
      </c>
      <c r="J92" s="7" t="s">
        <v>20</v>
      </c>
      <c r="K92" s="310"/>
      <c r="L92" s="320"/>
      <c r="M92" s="313"/>
    </row>
    <row r="93" spans="1:13" ht="38.25" x14ac:dyDescent="0.2">
      <c r="A93" s="306"/>
      <c r="B93" s="308"/>
      <c r="C93" s="308"/>
      <c r="D93" s="7" t="s">
        <v>402</v>
      </c>
      <c r="E93" s="20">
        <v>70</v>
      </c>
      <c r="F93" s="21" t="s">
        <v>18</v>
      </c>
      <c r="G93" s="21" t="s">
        <v>18</v>
      </c>
      <c r="H93" s="21">
        <f>180000*117/100</f>
        <v>210600</v>
      </c>
      <c r="I93" s="21">
        <f>180000*117/100</f>
        <v>210600</v>
      </c>
      <c r="J93" s="7" t="s">
        <v>20</v>
      </c>
      <c r="K93" s="310"/>
      <c r="L93" s="320"/>
      <c r="M93" s="313"/>
    </row>
    <row r="94" spans="1:13" ht="14.25" x14ac:dyDescent="0.2">
      <c r="A94" s="302"/>
      <c r="B94" s="303"/>
      <c r="C94" s="304"/>
      <c r="D94" s="304"/>
      <c r="E94" s="304"/>
      <c r="F94" s="304"/>
      <c r="G94" s="304"/>
      <c r="H94" s="304"/>
      <c r="I94" s="304"/>
      <c r="J94" s="304"/>
      <c r="K94" s="304"/>
      <c r="L94" s="304"/>
      <c r="M94" s="305"/>
    </row>
    <row r="95" spans="1:13" ht="15.75" x14ac:dyDescent="0.2">
      <c r="A95" s="298" t="s">
        <v>395</v>
      </c>
      <c r="B95" s="299"/>
      <c r="C95" s="299"/>
      <c r="D95" s="299"/>
      <c r="E95" s="299"/>
      <c r="F95" s="299"/>
      <c r="G95" s="299"/>
      <c r="H95" s="299"/>
      <c r="I95" s="299"/>
      <c r="J95" s="299"/>
      <c r="K95" s="299"/>
      <c r="L95" s="299"/>
      <c r="M95" s="300"/>
    </row>
    <row r="96" spans="1:13" ht="25.5" x14ac:dyDescent="0.2">
      <c r="A96" s="301">
        <v>16</v>
      </c>
      <c r="B96" s="307" t="s">
        <v>404</v>
      </c>
      <c r="C96" s="307" t="s">
        <v>189</v>
      </c>
      <c r="D96" s="17" t="s">
        <v>405</v>
      </c>
      <c r="E96" s="18">
        <v>100</v>
      </c>
      <c r="F96" s="19" t="s">
        <v>18</v>
      </c>
      <c r="G96" s="19" t="s">
        <v>18</v>
      </c>
      <c r="H96" s="19">
        <f>25000*117/100</f>
        <v>29250</v>
      </c>
      <c r="I96" s="19">
        <f>25000*117/100</f>
        <v>29250</v>
      </c>
      <c r="J96" s="70" t="s">
        <v>410</v>
      </c>
      <c r="K96" s="309" t="s">
        <v>46</v>
      </c>
      <c r="L96" s="319"/>
      <c r="M96" s="312" t="s">
        <v>403</v>
      </c>
    </row>
    <row r="97" spans="1:13" ht="25.5" x14ac:dyDescent="0.2">
      <c r="A97" s="306"/>
      <c r="B97" s="308"/>
      <c r="C97" s="308"/>
      <c r="D97" s="7" t="s">
        <v>406</v>
      </c>
      <c r="E97" s="20">
        <v>90</v>
      </c>
      <c r="F97" s="21" t="s">
        <v>18</v>
      </c>
      <c r="G97" s="21" t="s">
        <v>18</v>
      </c>
      <c r="H97" s="21">
        <f>34000*117/100</f>
        <v>39780</v>
      </c>
      <c r="I97" s="21">
        <f>34000*117/100</f>
        <v>39780</v>
      </c>
      <c r="J97" s="7" t="s">
        <v>20</v>
      </c>
      <c r="K97" s="310"/>
      <c r="L97" s="320"/>
      <c r="M97" s="313"/>
    </row>
    <row r="98" spans="1:13" ht="38.25" x14ac:dyDescent="0.2">
      <c r="A98" s="306"/>
      <c r="B98" s="308"/>
      <c r="C98" s="308"/>
      <c r="D98" s="7" t="s">
        <v>401</v>
      </c>
      <c r="E98" s="20">
        <v>80</v>
      </c>
      <c r="F98" s="21" t="s">
        <v>18</v>
      </c>
      <c r="G98" s="21" t="s">
        <v>18</v>
      </c>
      <c r="H98" s="21">
        <f>48000*117/100</f>
        <v>56160</v>
      </c>
      <c r="I98" s="21">
        <f>48000*117/100</f>
        <v>56160</v>
      </c>
      <c r="J98" s="7" t="s">
        <v>20</v>
      </c>
      <c r="K98" s="310"/>
      <c r="L98" s="320"/>
      <c r="M98" s="313"/>
    </row>
    <row r="99" spans="1:13" ht="38.25" x14ac:dyDescent="0.2">
      <c r="A99" s="306"/>
      <c r="B99" s="308"/>
      <c r="C99" s="308"/>
      <c r="D99" s="7" t="s">
        <v>402</v>
      </c>
      <c r="E99" s="20">
        <v>70</v>
      </c>
      <c r="F99" s="21" t="s">
        <v>18</v>
      </c>
      <c r="G99" s="21" t="s">
        <v>18</v>
      </c>
      <c r="H99" s="21">
        <f>180000*117/100</f>
        <v>210600</v>
      </c>
      <c r="I99" s="21">
        <f>180000*117/100</f>
        <v>210600</v>
      </c>
      <c r="J99" s="7" t="s">
        <v>20</v>
      </c>
      <c r="K99" s="310"/>
      <c r="L99" s="320"/>
      <c r="M99" s="313"/>
    </row>
    <row r="100" spans="1:13" ht="14.25" x14ac:dyDescent="0.2">
      <c r="A100" s="302"/>
      <c r="B100" s="303"/>
      <c r="C100" s="304"/>
      <c r="D100" s="304"/>
      <c r="E100" s="304"/>
      <c r="F100" s="304"/>
      <c r="G100" s="304"/>
      <c r="H100" s="304"/>
      <c r="I100" s="304"/>
      <c r="J100" s="304"/>
      <c r="K100" s="304"/>
      <c r="L100" s="304"/>
      <c r="M100" s="305"/>
    </row>
    <row r="101" spans="1:13" ht="15.75" x14ac:dyDescent="0.2">
      <c r="A101" s="298" t="s">
        <v>396</v>
      </c>
      <c r="B101" s="299"/>
      <c r="C101" s="299"/>
      <c r="D101" s="299"/>
      <c r="E101" s="299"/>
      <c r="F101" s="299"/>
      <c r="G101" s="299"/>
      <c r="H101" s="299"/>
      <c r="I101" s="299"/>
      <c r="J101" s="299"/>
      <c r="K101" s="299"/>
      <c r="L101" s="299"/>
      <c r="M101" s="300"/>
    </row>
    <row r="102" spans="1:13" ht="25.5" x14ac:dyDescent="0.2">
      <c r="A102" s="301">
        <v>17</v>
      </c>
      <c r="B102" s="307" t="s">
        <v>407</v>
      </c>
      <c r="C102" s="307" t="s">
        <v>189</v>
      </c>
      <c r="D102" s="17" t="s">
        <v>405</v>
      </c>
      <c r="E102" s="18">
        <v>100</v>
      </c>
      <c r="F102" s="19" t="s">
        <v>18</v>
      </c>
      <c r="G102" s="19" t="s">
        <v>18</v>
      </c>
      <c r="H102" s="19">
        <f>55000*117/100</f>
        <v>64350</v>
      </c>
      <c r="I102" s="19">
        <f>55000*117/100</f>
        <v>64350</v>
      </c>
      <c r="J102" s="70"/>
      <c r="K102" s="309" t="s">
        <v>46</v>
      </c>
      <c r="L102" s="319"/>
      <c r="M102" s="312" t="s">
        <v>403</v>
      </c>
    </row>
    <row r="103" spans="1:13" ht="38.25" x14ac:dyDescent="0.2">
      <c r="A103" s="306"/>
      <c r="B103" s="308"/>
      <c r="C103" s="308"/>
      <c r="D103" s="7" t="s">
        <v>401</v>
      </c>
      <c r="E103" s="20">
        <v>90</v>
      </c>
      <c r="F103" s="21" t="s">
        <v>18</v>
      </c>
      <c r="G103" s="21" t="s">
        <v>18</v>
      </c>
      <c r="H103" s="21">
        <f>63000*117/100</f>
        <v>73710</v>
      </c>
      <c r="I103" s="21">
        <f>63000*117/100</f>
        <v>73710</v>
      </c>
      <c r="J103" s="7" t="s">
        <v>20</v>
      </c>
      <c r="K103" s="310"/>
      <c r="L103" s="320"/>
      <c r="M103" s="313"/>
    </row>
    <row r="104" spans="1:13" ht="14.25" x14ac:dyDescent="0.2">
      <c r="A104" s="306"/>
      <c r="B104" s="308"/>
      <c r="C104" s="308"/>
      <c r="D104" s="7" t="s">
        <v>399</v>
      </c>
      <c r="E104" s="20">
        <v>80</v>
      </c>
      <c r="F104" s="21" t="s">
        <v>18</v>
      </c>
      <c r="G104" s="21" t="s">
        <v>18</v>
      </c>
      <c r="H104" s="21">
        <f>70000*117/100</f>
        <v>81900</v>
      </c>
      <c r="I104" s="21">
        <f>70000*117/100</f>
        <v>81900</v>
      </c>
      <c r="J104" s="7" t="s">
        <v>20</v>
      </c>
      <c r="K104" s="310"/>
      <c r="L104" s="320"/>
      <c r="M104" s="313"/>
    </row>
    <row r="105" spans="1:13" ht="38.25" x14ac:dyDescent="0.2">
      <c r="A105" s="306"/>
      <c r="B105" s="308"/>
      <c r="C105" s="308"/>
      <c r="D105" s="7" t="s">
        <v>402</v>
      </c>
      <c r="E105" s="20">
        <v>70</v>
      </c>
      <c r="F105" s="21" t="s">
        <v>18</v>
      </c>
      <c r="G105" s="21" t="s">
        <v>18</v>
      </c>
      <c r="H105" s="21">
        <f>180000*117/100</f>
        <v>210600</v>
      </c>
      <c r="I105" s="21">
        <f>180000*117/100</f>
        <v>210600</v>
      </c>
      <c r="J105" s="7" t="s">
        <v>20</v>
      </c>
      <c r="K105" s="310"/>
      <c r="L105" s="320"/>
      <c r="M105" s="313"/>
    </row>
    <row r="106" spans="1:13" ht="14.25" x14ac:dyDescent="0.2">
      <c r="A106" s="302"/>
      <c r="B106" s="303"/>
      <c r="C106" s="304"/>
      <c r="D106" s="304"/>
      <c r="E106" s="304"/>
      <c r="F106" s="304"/>
      <c r="G106" s="304"/>
      <c r="H106" s="304"/>
      <c r="I106" s="304"/>
      <c r="J106" s="304"/>
      <c r="K106" s="304"/>
      <c r="L106" s="304"/>
      <c r="M106" s="305"/>
    </row>
    <row r="107" spans="1:13" ht="15.75" x14ac:dyDescent="0.2">
      <c r="A107" s="298" t="s">
        <v>397</v>
      </c>
      <c r="B107" s="299"/>
      <c r="C107" s="299"/>
      <c r="D107" s="299"/>
      <c r="E107" s="299"/>
      <c r="F107" s="299"/>
      <c r="G107" s="299"/>
      <c r="H107" s="299"/>
      <c r="I107" s="299"/>
      <c r="J107" s="299"/>
      <c r="K107" s="299"/>
      <c r="L107" s="299"/>
      <c r="M107" s="300"/>
    </row>
    <row r="108" spans="1:13" ht="14.25" x14ac:dyDescent="0.2">
      <c r="A108" s="301">
        <v>18</v>
      </c>
      <c r="B108" s="307" t="s">
        <v>408</v>
      </c>
      <c r="C108" s="307" t="s">
        <v>189</v>
      </c>
      <c r="D108" s="17" t="s">
        <v>399</v>
      </c>
      <c r="E108" s="18">
        <v>100</v>
      </c>
      <c r="F108" s="19" t="s">
        <v>18</v>
      </c>
      <c r="G108" s="19" t="s">
        <v>18</v>
      </c>
      <c r="H108" s="19">
        <f>36000*117/100</f>
        <v>42120</v>
      </c>
      <c r="I108" s="19">
        <f>36000*117/100</f>
        <v>42120</v>
      </c>
      <c r="J108" s="17" t="s">
        <v>20</v>
      </c>
      <c r="K108" s="309" t="s">
        <v>46</v>
      </c>
      <c r="L108" s="319"/>
      <c r="M108" s="312" t="s">
        <v>403</v>
      </c>
    </row>
    <row r="109" spans="1:13" ht="25.5" x14ac:dyDescent="0.2">
      <c r="A109" s="306"/>
      <c r="B109" s="308"/>
      <c r="C109" s="308"/>
      <c r="D109" s="7" t="s">
        <v>405</v>
      </c>
      <c r="E109" s="20">
        <v>90</v>
      </c>
      <c r="F109" s="21" t="s">
        <v>18</v>
      </c>
      <c r="G109" s="21" t="s">
        <v>18</v>
      </c>
      <c r="H109" s="21">
        <f>45000*117/100</f>
        <v>52650</v>
      </c>
      <c r="I109" s="21">
        <f>45000*117/100</f>
        <v>52650</v>
      </c>
      <c r="J109" s="66"/>
      <c r="K109" s="310"/>
      <c r="L109" s="320"/>
      <c r="M109" s="313"/>
    </row>
    <row r="110" spans="1:13" ht="38.25" x14ac:dyDescent="0.2">
      <c r="A110" s="306"/>
      <c r="B110" s="308"/>
      <c r="C110" s="308"/>
      <c r="D110" s="7" t="s">
        <v>401</v>
      </c>
      <c r="E110" s="20">
        <v>80</v>
      </c>
      <c r="F110" s="21" t="s">
        <v>18</v>
      </c>
      <c r="G110" s="21" t="s">
        <v>18</v>
      </c>
      <c r="H110" s="21">
        <f>73000*117/100</f>
        <v>85410</v>
      </c>
      <c r="I110" s="21">
        <f>73000*117/100</f>
        <v>85410</v>
      </c>
      <c r="J110" s="7" t="s">
        <v>20</v>
      </c>
      <c r="K110" s="310"/>
      <c r="L110" s="320"/>
      <c r="M110" s="313"/>
    </row>
    <row r="111" spans="1:13" ht="38.25" x14ac:dyDescent="0.2">
      <c r="A111" s="306"/>
      <c r="B111" s="308"/>
      <c r="C111" s="308"/>
      <c r="D111" s="7" t="s">
        <v>402</v>
      </c>
      <c r="E111" s="20">
        <v>70</v>
      </c>
      <c r="F111" s="21" t="s">
        <v>18</v>
      </c>
      <c r="G111" s="21" t="s">
        <v>18</v>
      </c>
      <c r="H111" s="21">
        <f>180000*117/100</f>
        <v>210600</v>
      </c>
      <c r="I111" s="21">
        <f>180000*117/100</f>
        <v>210600</v>
      </c>
      <c r="J111" s="7" t="s">
        <v>20</v>
      </c>
      <c r="K111" s="310"/>
      <c r="L111" s="320"/>
      <c r="M111" s="313"/>
    </row>
    <row r="112" spans="1:13" ht="14.25" x14ac:dyDescent="0.2">
      <c r="A112" s="302"/>
      <c r="B112" s="303"/>
      <c r="C112" s="304"/>
      <c r="D112" s="304"/>
      <c r="E112" s="304"/>
      <c r="F112" s="304"/>
      <c r="G112" s="304"/>
      <c r="H112" s="304"/>
      <c r="I112" s="304"/>
      <c r="J112" s="304"/>
      <c r="K112" s="304"/>
      <c r="L112" s="304"/>
      <c r="M112" s="305"/>
    </row>
    <row r="113" spans="1:13" ht="15.75" x14ac:dyDescent="0.2">
      <c r="A113" s="298" t="s">
        <v>411</v>
      </c>
      <c r="B113" s="299"/>
      <c r="C113" s="299"/>
      <c r="D113" s="299"/>
      <c r="E113" s="299"/>
      <c r="F113" s="299"/>
      <c r="G113" s="299"/>
      <c r="H113" s="299"/>
      <c r="I113" s="299"/>
      <c r="J113" s="299"/>
      <c r="K113" s="299"/>
      <c r="L113" s="299"/>
      <c r="M113" s="300"/>
    </row>
    <row r="114" spans="1:13" ht="25.5" x14ac:dyDescent="0.2">
      <c r="A114" s="301">
        <v>19</v>
      </c>
      <c r="B114" s="307" t="s">
        <v>412</v>
      </c>
      <c r="C114" s="307" t="s">
        <v>413</v>
      </c>
      <c r="D114" s="17" t="s">
        <v>414</v>
      </c>
      <c r="E114" s="18">
        <v>100</v>
      </c>
      <c r="F114" s="19" t="s">
        <v>29</v>
      </c>
      <c r="G114" s="19" t="s">
        <v>417</v>
      </c>
      <c r="H114" s="19">
        <f>150*117/100</f>
        <v>175.5</v>
      </c>
      <c r="I114" s="19">
        <f>800*H114</f>
        <v>140400</v>
      </c>
      <c r="J114" s="17"/>
      <c r="K114" s="309" t="s">
        <v>46</v>
      </c>
      <c r="L114" s="319"/>
      <c r="M114" s="312">
        <v>273000758</v>
      </c>
    </row>
    <row r="115" spans="1:13" ht="14.25" x14ac:dyDescent="0.2">
      <c r="A115" s="306"/>
      <c r="B115" s="308"/>
      <c r="C115" s="308"/>
      <c r="D115" s="7" t="s">
        <v>415</v>
      </c>
      <c r="E115" s="20">
        <v>90</v>
      </c>
      <c r="F115" s="21" t="s">
        <v>29</v>
      </c>
      <c r="G115" s="21" t="s">
        <v>417</v>
      </c>
      <c r="H115" s="21">
        <f>250*117/100</f>
        <v>292.5</v>
      </c>
      <c r="I115" s="21">
        <f>800*H115</f>
        <v>234000</v>
      </c>
      <c r="J115" s="66"/>
      <c r="K115" s="310"/>
      <c r="L115" s="320"/>
      <c r="M115" s="313"/>
    </row>
    <row r="116" spans="1:13" ht="25.5" x14ac:dyDescent="0.2">
      <c r="A116" s="306"/>
      <c r="B116" s="308"/>
      <c r="C116" s="308"/>
      <c r="D116" s="7" t="s">
        <v>416</v>
      </c>
      <c r="E116" s="20">
        <v>90</v>
      </c>
      <c r="F116" s="21" t="s">
        <v>29</v>
      </c>
      <c r="G116" s="21" t="s">
        <v>417</v>
      </c>
      <c r="H116" s="21">
        <f>260*117/100</f>
        <v>304.2</v>
      </c>
      <c r="I116" s="21">
        <f>800*H116</f>
        <v>243360</v>
      </c>
      <c r="J116" s="7"/>
      <c r="K116" s="310"/>
      <c r="L116" s="320"/>
      <c r="M116" s="313"/>
    </row>
    <row r="117" spans="1:13" ht="14.25" x14ac:dyDescent="0.2">
      <c r="A117" s="302"/>
      <c r="B117" s="303" t="s">
        <v>418</v>
      </c>
      <c r="C117" s="304"/>
      <c r="D117" s="304"/>
      <c r="E117" s="304"/>
      <c r="F117" s="304"/>
      <c r="G117" s="304"/>
      <c r="H117" s="304"/>
      <c r="I117" s="304"/>
      <c r="J117" s="304"/>
      <c r="K117" s="304"/>
      <c r="L117" s="304"/>
      <c r="M117" s="305"/>
    </row>
    <row r="118" spans="1:13" ht="15.75" x14ac:dyDescent="0.2">
      <c r="A118" s="298" t="s">
        <v>424</v>
      </c>
      <c r="B118" s="299"/>
      <c r="C118" s="299"/>
      <c r="D118" s="299"/>
      <c r="E118" s="299"/>
      <c r="F118" s="299"/>
      <c r="G118" s="299"/>
      <c r="H118" s="299"/>
      <c r="I118" s="299"/>
      <c r="J118" s="299"/>
      <c r="K118" s="299"/>
      <c r="L118" s="299"/>
      <c r="M118" s="300"/>
    </row>
    <row r="119" spans="1:13" ht="38.25" x14ac:dyDescent="0.2">
      <c r="A119" s="301">
        <v>20</v>
      </c>
      <c r="B119" s="307" t="s">
        <v>468</v>
      </c>
      <c r="C119" s="307" t="s">
        <v>425</v>
      </c>
      <c r="D119" s="17" t="s">
        <v>461</v>
      </c>
      <c r="E119" s="18">
        <v>94</v>
      </c>
      <c r="F119" s="19" t="s">
        <v>29</v>
      </c>
      <c r="G119" s="19" t="s">
        <v>465</v>
      </c>
      <c r="H119" s="19">
        <f>200*117/100</f>
        <v>234</v>
      </c>
      <c r="I119" s="19">
        <f>50*H119*3</f>
        <v>35100</v>
      </c>
      <c r="J119" s="17"/>
      <c r="K119" s="309" t="s">
        <v>467</v>
      </c>
      <c r="L119" s="319"/>
      <c r="M119" s="312"/>
    </row>
    <row r="120" spans="1:13" ht="38.25" x14ac:dyDescent="0.2">
      <c r="A120" s="306"/>
      <c r="B120" s="308"/>
      <c r="C120" s="308"/>
      <c r="D120" s="7" t="s">
        <v>462</v>
      </c>
      <c r="E120" s="20">
        <v>84</v>
      </c>
      <c r="F120" s="21" t="s">
        <v>29</v>
      </c>
      <c r="G120" s="21" t="s">
        <v>465</v>
      </c>
      <c r="H120" s="21">
        <f>240*117/100</f>
        <v>280.8</v>
      </c>
      <c r="I120" s="21">
        <f t="shared" ref="I120:I122" si="2">50*H120*3</f>
        <v>42120</v>
      </c>
      <c r="J120" s="66"/>
      <c r="K120" s="310"/>
      <c r="L120" s="320"/>
      <c r="M120" s="313"/>
    </row>
    <row r="121" spans="1:13" ht="38.25" x14ac:dyDescent="0.2">
      <c r="A121" s="306"/>
      <c r="B121" s="308"/>
      <c r="C121" s="308"/>
      <c r="D121" s="7" t="s">
        <v>463</v>
      </c>
      <c r="E121" s="20">
        <v>74</v>
      </c>
      <c r="F121" s="21" t="s">
        <v>29</v>
      </c>
      <c r="G121" s="21" t="s">
        <v>466</v>
      </c>
      <c r="H121" s="21">
        <f>266*117/100</f>
        <v>311.22000000000003</v>
      </c>
      <c r="I121" s="21">
        <f t="shared" si="2"/>
        <v>46683.000000000007</v>
      </c>
      <c r="J121" s="7"/>
      <c r="K121" s="310"/>
      <c r="L121" s="320"/>
      <c r="M121" s="313"/>
    </row>
    <row r="122" spans="1:13" ht="38.25" x14ac:dyDescent="0.2">
      <c r="A122" s="306"/>
      <c r="B122" s="308"/>
      <c r="C122" s="308"/>
      <c r="D122" s="7" t="s">
        <v>464</v>
      </c>
      <c r="E122" s="20">
        <v>64</v>
      </c>
      <c r="F122" s="21" t="s">
        <v>29</v>
      </c>
      <c r="G122" s="21" t="s">
        <v>465</v>
      </c>
      <c r="H122" s="21">
        <f>288*117/100</f>
        <v>336.96</v>
      </c>
      <c r="I122" s="21">
        <f t="shared" si="2"/>
        <v>50544</v>
      </c>
      <c r="J122" s="7"/>
      <c r="K122" s="310"/>
      <c r="L122" s="320"/>
      <c r="M122" s="313"/>
    </row>
    <row r="123" spans="1:13" ht="14.25" x14ac:dyDescent="0.2">
      <c r="A123" s="302"/>
      <c r="B123" s="303"/>
      <c r="C123" s="304"/>
      <c r="D123" s="304"/>
      <c r="E123" s="304"/>
      <c r="F123" s="304"/>
      <c r="G123" s="304"/>
      <c r="H123" s="304"/>
      <c r="I123" s="304"/>
      <c r="J123" s="304"/>
      <c r="K123" s="304"/>
      <c r="L123" s="304"/>
      <c r="M123" s="305"/>
    </row>
  </sheetData>
  <mergeCells count="151">
    <mergeCell ref="A113:M113"/>
    <mergeCell ref="A114:A117"/>
    <mergeCell ref="B114:B116"/>
    <mergeCell ref="C114:C116"/>
    <mergeCell ref="K114:K116"/>
    <mergeCell ref="L114:L116"/>
    <mergeCell ref="M114:M116"/>
    <mergeCell ref="B117:M117"/>
    <mergeCell ref="A86:M86"/>
    <mergeCell ref="A87:A88"/>
    <mergeCell ref="B88:M88"/>
    <mergeCell ref="A90:A94"/>
    <mergeCell ref="B90:B93"/>
    <mergeCell ref="C90:C93"/>
    <mergeCell ref="K90:K93"/>
    <mergeCell ref="L90:L93"/>
    <mergeCell ref="M90:M93"/>
    <mergeCell ref="B94:M94"/>
    <mergeCell ref="A95:M95"/>
    <mergeCell ref="A96:A100"/>
    <mergeCell ref="B96:B99"/>
    <mergeCell ref="C96:C99"/>
    <mergeCell ref="K96:K99"/>
    <mergeCell ref="L96:L99"/>
    <mergeCell ref="A83:M83"/>
    <mergeCell ref="A84:A85"/>
    <mergeCell ref="B85:M85"/>
    <mergeCell ref="A77:M77"/>
    <mergeCell ref="A78:A82"/>
    <mergeCell ref="B78:B81"/>
    <mergeCell ref="C78:C81"/>
    <mergeCell ref="K78:K81"/>
    <mergeCell ref="L78:L81"/>
    <mergeCell ref="M78:M81"/>
    <mergeCell ref="B82:M82"/>
    <mergeCell ref="A70:M70"/>
    <mergeCell ref="A71:A76"/>
    <mergeCell ref="B71:B75"/>
    <mergeCell ref="C71:C75"/>
    <mergeCell ref="K71:K75"/>
    <mergeCell ref="L71:L75"/>
    <mergeCell ref="M71:M75"/>
    <mergeCell ref="B76:M76"/>
    <mergeCell ref="A63:M63"/>
    <mergeCell ref="A64:A69"/>
    <mergeCell ref="B64:B68"/>
    <mergeCell ref="C64:C68"/>
    <mergeCell ref="K64:K68"/>
    <mergeCell ref="L64:L68"/>
    <mergeCell ref="M64:M68"/>
    <mergeCell ref="B69:M69"/>
    <mergeCell ref="A56:M56"/>
    <mergeCell ref="A57:A62"/>
    <mergeCell ref="B57:B61"/>
    <mergeCell ref="C57:C61"/>
    <mergeCell ref="K57:K61"/>
    <mergeCell ref="L57:L61"/>
    <mergeCell ref="M57:M61"/>
    <mergeCell ref="B62:M62"/>
    <mergeCell ref="A49:M49"/>
    <mergeCell ref="A50:A55"/>
    <mergeCell ref="B50:B54"/>
    <mergeCell ref="C50:C54"/>
    <mergeCell ref="K50:K54"/>
    <mergeCell ref="L50:L54"/>
    <mergeCell ref="M50:M54"/>
    <mergeCell ref="B55:M55"/>
    <mergeCell ref="K44:K47"/>
    <mergeCell ref="L44:L47"/>
    <mergeCell ref="M44:M47"/>
    <mergeCell ref="B48:M48"/>
    <mergeCell ref="A37:M37"/>
    <mergeCell ref="A38:A42"/>
    <mergeCell ref="B38:B41"/>
    <mergeCell ref="C38:C41"/>
    <mergeCell ref="K38:K41"/>
    <mergeCell ref="L38:L41"/>
    <mergeCell ref="M38:M41"/>
    <mergeCell ref="B42:M42"/>
    <mergeCell ref="B44:B47"/>
    <mergeCell ref="C44:C47"/>
    <mergeCell ref="A1:A6"/>
    <mergeCell ref="B1:M1"/>
    <mergeCell ref="B2:M2"/>
    <mergeCell ref="B3:M3"/>
    <mergeCell ref="B4:M4"/>
    <mergeCell ref="B5:M5"/>
    <mergeCell ref="A13:M13"/>
    <mergeCell ref="A14:A18"/>
    <mergeCell ref="B14:B17"/>
    <mergeCell ref="C14:C17"/>
    <mergeCell ref="K14:K17"/>
    <mergeCell ref="L14:L17"/>
    <mergeCell ref="M14:M17"/>
    <mergeCell ref="B18:M18"/>
    <mergeCell ref="A7:M7"/>
    <mergeCell ref="A8:A12"/>
    <mergeCell ref="B8:B11"/>
    <mergeCell ref="C8:C11"/>
    <mergeCell ref="K8:K11"/>
    <mergeCell ref="L8:L11"/>
    <mergeCell ref="M8:M11"/>
    <mergeCell ref="B12:M12"/>
    <mergeCell ref="B106:M106"/>
    <mergeCell ref="A107:M107"/>
    <mergeCell ref="A19:M19"/>
    <mergeCell ref="A20:A24"/>
    <mergeCell ref="B20:B23"/>
    <mergeCell ref="C20:C23"/>
    <mergeCell ref="K20:K23"/>
    <mergeCell ref="L20:L23"/>
    <mergeCell ref="M20:M23"/>
    <mergeCell ref="B24:M24"/>
    <mergeCell ref="A89:M89"/>
    <mergeCell ref="A28:M28"/>
    <mergeCell ref="A29:A36"/>
    <mergeCell ref="B29:B35"/>
    <mergeCell ref="C29:C35"/>
    <mergeCell ref="K29:K35"/>
    <mergeCell ref="L29:L35"/>
    <mergeCell ref="M29:M35"/>
    <mergeCell ref="B36:M36"/>
    <mergeCell ref="A25:M25"/>
    <mergeCell ref="A26:A27"/>
    <mergeCell ref="B27:M27"/>
    <mergeCell ref="A43:M43"/>
    <mergeCell ref="A44:A48"/>
    <mergeCell ref="A118:M118"/>
    <mergeCell ref="A119:A123"/>
    <mergeCell ref="B119:B122"/>
    <mergeCell ref="C119:C122"/>
    <mergeCell ref="K119:K122"/>
    <mergeCell ref="L119:L122"/>
    <mergeCell ref="M119:M122"/>
    <mergeCell ref="B123:M123"/>
    <mergeCell ref="M96:M99"/>
    <mergeCell ref="B100:M100"/>
    <mergeCell ref="A108:A112"/>
    <mergeCell ref="B108:B111"/>
    <mergeCell ref="C108:C111"/>
    <mergeCell ref="K108:K111"/>
    <mergeCell ref="L108:L111"/>
    <mergeCell ref="M108:M111"/>
    <mergeCell ref="B112:M112"/>
    <mergeCell ref="A101:M101"/>
    <mergeCell ref="A102:A106"/>
    <mergeCell ref="B102:B105"/>
    <mergeCell ref="C102:C105"/>
    <mergeCell ref="K102:K105"/>
    <mergeCell ref="L102:L105"/>
    <mergeCell ref="M102:M105"/>
  </mergeCells>
  <pageMargins left="0.7" right="0.7" top="0.75" bottom="0.75" header="0.3" footer="0.3"/>
  <pageSetup paperSize="9" scale="7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
  <sheetViews>
    <sheetView rightToLeft="1" zoomScale="85" zoomScaleNormal="85" workbookViewId="0">
      <pane ySplit="6" topLeftCell="A35" activePane="bottomLeft" state="frozen"/>
      <selection pane="bottomLeft" activeCell="D14" sqref="D14:D15"/>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2.125" style="10" bestFit="1" customWidth="1"/>
    <col min="9" max="9" width="12.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546</v>
      </c>
      <c r="C1" s="315"/>
      <c r="D1" s="315"/>
      <c r="E1" s="315"/>
      <c r="F1" s="315"/>
      <c r="G1" s="315"/>
      <c r="H1" s="315"/>
      <c r="I1" s="315"/>
      <c r="J1" s="315"/>
      <c r="K1" s="315"/>
      <c r="L1" s="315"/>
      <c r="M1" s="315"/>
    </row>
    <row r="2" spans="1:13" ht="14.25" x14ac:dyDescent="0.2">
      <c r="A2" s="314"/>
      <c r="B2" s="346" t="s">
        <v>22</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308</v>
      </c>
      <c r="C4" s="318"/>
      <c r="D4" s="318"/>
      <c r="E4" s="318"/>
      <c r="F4" s="318"/>
      <c r="G4" s="318"/>
      <c r="H4" s="318"/>
      <c r="I4" s="318"/>
      <c r="J4" s="318"/>
      <c r="K4" s="318"/>
      <c r="L4" s="318"/>
      <c r="M4" s="318"/>
    </row>
    <row r="5" spans="1:13" ht="14.25" x14ac:dyDescent="0.2">
      <c r="A5" s="314"/>
      <c r="B5" s="318" t="s">
        <v>310</v>
      </c>
      <c r="C5" s="318"/>
      <c r="D5" s="318"/>
      <c r="E5" s="318"/>
      <c r="F5" s="318"/>
      <c r="G5" s="318"/>
      <c r="H5" s="318"/>
      <c r="I5" s="318"/>
      <c r="J5" s="318"/>
      <c r="K5" s="318"/>
      <c r="L5" s="318"/>
      <c r="M5" s="318"/>
    </row>
    <row r="6" spans="1:13" ht="47.25" x14ac:dyDescent="0.2">
      <c r="A6" s="314"/>
      <c r="B6" s="56" t="s">
        <v>2</v>
      </c>
      <c r="C6" s="2" t="s">
        <v>3</v>
      </c>
      <c r="D6" s="3" t="s">
        <v>4</v>
      </c>
      <c r="E6" s="3" t="s">
        <v>5</v>
      </c>
      <c r="F6" s="3" t="s">
        <v>6</v>
      </c>
      <c r="G6" s="3" t="s">
        <v>7</v>
      </c>
      <c r="H6" s="4" t="s">
        <v>8</v>
      </c>
      <c r="I6" s="5" t="s">
        <v>9</v>
      </c>
      <c r="J6" s="3" t="s">
        <v>10</v>
      </c>
      <c r="K6" s="3" t="s">
        <v>11</v>
      </c>
      <c r="L6" s="6" t="s">
        <v>12</v>
      </c>
      <c r="M6" s="3" t="s">
        <v>13</v>
      </c>
    </row>
    <row r="7" spans="1:13" ht="15.75" x14ac:dyDescent="0.2">
      <c r="A7" s="298" t="s">
        <v>311</v>
      </c>
      <c r="B7" s="299"/>
      <c r="C7" s="299"/>
      <c r="D7" s="299"/>
      <c r="E7" s="299"/>
      <c r="F7" s="299"/>
      <c r="G7" s="299"/>
      <c r="H7" s="299"/>
      <c r="I7" s="299"/>
      <c r="J7" s="299"/>
      <c r="K7" s="299"/>
      <c r="L7" s="299"/>
      <c r="M7" s="300"/>
    </row>
    <row r="8" spans="1:13" ht="14.25" x14ac:dyDescent="0.2">
      <c r="A8" s="301">
        <v>1</v>
      </c>
      <c r="B8" s="307" t="s">
        <v>266</v>
      </c>
      <c r="C8" s="307" t="s">
        <v>267</v>
      </c>
      <c r="D8" s="7" t="s">
        <v>268</v>
      </c>
      <c r="E8" s="20">
        <v>70</v>
      </c>
      <c r="F8" s="21" t="s">
        <v>18</v>
      </c>
      <c r="G8" s="21" t="s">
        <v>18</v>
      </c>
      <c r="H8" s="21">
        <f>7700*117/100</f>
        <v>9009</v>
      </c>
      <c r="I8" s="21">
        <f>7700*117/100</f>
        <v>9009</v>
      </c>
      <c r="J8" s="7"/>
      <c r="K8" s="309" t="s">
        <v>46</v>
      </c>
      <c r="L8" s="319"/>
      <c r="M8" s="312" t="s">
        <v>272</v>
      </c>
    </row>
    <row r="9" spans="1:13" ht="38.25" x14ac:dyDescent="0.2">
      <c r="A9" s="306"/>
      <c r="B9" s="308"/>
      <c r="C9" s="308"/>
      <c r="D9" s="17" t="s">
        <v>269</v>
      </c>
      <c r="E9" s="18">
        <v>90</v>
      </c>
      <c r="F9" s="19" t="s">
        <v>18</v>
      </c>
      <c r="G9" s="19" t="s">
        <v>18</v>
      </c>
      <c r="H9" s="19">
        <f>12200*117/100</f>
        <v>14274</v>
      </c>
      <c r="I9" s="19">
        <f>12200*117/100</f>
        <v>14274</v>
      </c>
      <c r="J9" s="17"/>
      <c r="K9" s="310"/>
      <c r="L9" s="320"/>
      <c r="M9" s="313"/>
    </row>
    <row r="10" spans="1:13" ht="38.25" x14ac:dyDescent="0.2">
      <c r="A10" s="306"/>
      <c r="B10" s="308"/>
      <c r="C10" s="308"/>
      <c r="D10" s="7" t="s">
        <v>270</v>
      </c>
      <c r="E10" s="20">
        <v>80</v>
      </c>
      <c r="F10" s="21" t="s">
        <v>18</v>
      </c>
      <c r="G10" s="21" t="s">
        <v>18</v>
      </c>
      <c r="H10" s="21">
        <f>13500*117/100</f>
        <v>15795</v>
      </c>
      <c r="I10" s="21">
        <f>13500*117/100</f>
        <v>15795</v>
      </c>
      <c r="J10" s="7"/>
      <c r="K10" s="310"/>
      <c r="L10" s="320"/>
      <c r="M10" s="313"/>
    </row>
    <row r="11" spans="1:13" ht="38.25" x14ac:dyDescent="0.2">
      <c r="A11" s="306"/>
      <c r="B11" s="308"/>
      <c r="C11" s="308"/>
      <c r="D11" s="7" t="s">
        <v>271</v>
      </c>
      <c r="E11" s="20">
        <v>70</v>
      </c>
      <c r="F11" s="21" t="s">
        <v>18</v>
      </c>
      <c r="G11" s="21" t="s">
        <v>18</v>
      </c>
      <c r="H11" s="21">
        <f>13750*117/100</f>
        <v>16087.5</v>
      </c>
      <c r="I11" s="21">
        <f>13750*117/100</f>
        <v>16087.5</v>
      </c>
      <c r="J11" s="7"/>
      <c r="K11" s="310"/>
      <c r="L11" s="320"/>
      <c r="M11" s="313"/>
    </row>
    <row r="12" spans="1:13" ht="13.9" customHeight="1" x14ac:dyDescent="0.2">
      <c r="A12" s="302"/>
      <c r="B12" s="303"/>
      <c r="C12" s="304"/>
      <c r="D12" s="304"/>
      <c r="E12" s="304"/>
      <c r="F12" s="304"/>
      <c r="G12" s="304"/>
      <c r="H12" s="304"/>
      <c r="I12" s="304"/>
      <c r="J12" s="304"/>
      <c r="K12" s="304"/>
      <c r="L12" s="304"/>
      <c r="M12" s="305"/>
    </row>
    <row r="13" spans="1:13" ht="15.75" x14ac:dyDescent="0.2">
      <c r="A13" s="298" t="s">
        <v>312</v>
      </c>
      <c r="B13" s="299"/>
      <c r="C13" s="299"/>
      <c r="D13" s="299"/>
      <c r="E13" s="299"/>
      <c r="F13" s="299"/>
      <c r="G13" s="299"/>
      <c r="H13" s="299"/>
      <c r="I13" s="299"/>
      <c r="J13" s="299"/>
      <c r="K13" s="299"/>
      <c r="L13" s="299"/>
      <c r="M13" s="300"/>
    </row>
    <row r="14" spans="1:13" ht="14.25" x14ac:dyDescent="0.2">
      <c r="A14" s="301">
        <v>2</v>
      </c>
      <c r="B14" s="307" t="s">
        <v>273</v>
      </c>
      <c r="C14" s="307" t="s">
        <v>17</v>
      </c>
      <c r="D14" s="354" t="s">
        <v>274</v>
      </c>
      <c r="E14" s="352">
        <v>100</v>
      </c>
      <c r="F14" s="350" t="s">
        <v>29</v>
      </c>
      <c r="G14" s="19">
        <v>80</v>
      </c>
      <c r="H14" s="19">
        <f>364*117/100</f>
        <v>425.88</v>
      </c>
      <c r="I14" s="350">
        <v>60184.800000000003</v>
      </c>
      <c r="J14" s="354"/>
      <c r="K14" s="309" t="s">
        <v>100</v>
      </c>
      <c r="L14" s="319"/>
      <c r="M14" s="312"/>
    </row>
    <row r="15" spans="1:13" ht="14.25" x14ac:dyDescent="0.2">
      <c r="A15" s="306"/>
      <c r="B15" s="308"/>
      <c r="C15" s="308"/>
      <c r="D15" s="355"/>
      <c r="E15" s="353"/>
      <c r="F15" s="351"/>
      <c r="G15" s="19">
        <v>80</v>
      </c>
      <c r="H15" s="19">
        <f>279*117/100</f>
        <v>326.43</v>
      </c>
      <c r="I15" s="351"/>
      <c r="J15" s="355"/>
      <c r="K15" s="310"/>
      <c r="L15" s="320"/>
      <c r="M15" s="313"/>
    </row>
    <row r="16" spans="1:13" ht="26.45" customHeight="1" x14ac:dyDescent="0.2">
      <c r="A16" s="302"/>
      <c r="B16" s="303" t="s">
        <v>307</v>
      </c>
      <c r="C16" s="304"/>
      <c r="D16" s="304"/>
      <c r="E16" s="304"/>
      <c r="F16" s="304"/>
      <c r="G16" s="304"/>
      <c r="H16" s="304"/>
      <c r="I16" s="304"/>
      <c r="J16" s="304"/>
      <c r="K16" s="304"/>
      <c r="L16" s="304"/>
      <c r="M16" s="305"/>
    </row>
    <row r="17" spans="1:13" ht="15.75" x14ac:dyDescent="0.2">
      <c r="A17" s="298" t="s">
        <v>313</v>
      </c>
      <c r="B17" s="299"/>
      <c r="C17" s="299"/>
      <c r="D17" s="299"/>
      <c r="E17" s="299"/>
      <c r="F17" s="299"/>
      <c r="G17" s="299"/>
      <c r="H17" s="299"/>
      <c r="I17" s="299"/>
      <c r="J17" s="299"/>
      <c r="K17" s="299"/>
      <c r="L17" s="299"/>
      <c r="M17" s="300"/>
    </row>
    <row r="18" spans="1:13" ht="14.25" x14ac:dyDescent="0.2">
      <c r="A18" s="301">
        <v>3</v>
      </c>
      <c r="B18" s="307" t="s">
        <v>275</v>
      </c>
      <c r="C18" s="307" t="s">
        <v>276</v>
      </c>
      <c r="D18" s="17" t="s">
        <v>277</v>
      </c>
      <c r="E18" s="18">
        <v>94</v>
      </c>
      <c r="F18" s="19" t="s">
        <v>18</v>
      </c>
      <c r="G18" s="19" t="s">
        <v>18</v>
      </c>
      <c r="H18" s="19">
        <f>98000*117/100</f>
        <v>114660</v>
      </c>
      <c r="I18" s="19">
        <f>98000*117/100</f>
        <v>114660</v>
      </c>
      <c r="J18" s="17" t="s">
        <v>20</v>
      </c>
      <c r="K18" s="309" t="s">
        <v>46</v>
      </c>
      <c r="L18" s="319"/>
      <c r="M18" s="312" t="s">
        <v>281</v>
      </c>
    </row>
    <row r="19" spans="1:13" ht="14.25" x14ac:dyDescent="0.2">
      <c r="A19" s="306"/>
      <c r="B19" s="308"/>
      <c r="C19" s="308"/>
      <c r="D19" s="7" t="s">
        <v>278</v>
      </c>
      <c r="E19" s="20">
        <v>78</v>
      </c>
      <c r="F19" s="21" t="s">
        <v>18</v>
      </c>
      <c r="G19" s="21" t="s">
        <v>18</v>
      </c>
      <c r="H19" s="21">
        <f>108750*117/100</f>
        <v>127237.5</v>
      </c>
      <c r="I19" s="21">
        <f>108750*117/100</f>
        <v>127237.5</v>
      </c>
      <c r="J19" s="7"/>
      <c r="K19" s="310"/>
      <c r="L19" s="320"/>
      <c r="M19" s="313"/>
    </row>
    <row r="20" spans="1:13" ht="14.25" x14ac:dyDescent="0.2">
      <c r="A20" s="306"/>
      <c r="B20" s="308"/>
      <c r="C20" s="308"/>
      <c r="D20" s="7" t="s">
        <v>279</v>
      </c>
      <c r="E20" s="20">
        <v>74</v>
      </c>
      <c r="F20" s="21" t="s">
        <v>18</v>
      </c>
      <c r="G20" s="21" t="s">
        <v>18</v>
      </c>
      <c r="H20" s="21">
        <f>110000*117/100</f>
        <v>128700</v>
      </c>
      <c r="I20" s="21">
        <f>110000*117/100</f>
        <v>128700</v>
      </c>
      <c r="J20" s="7" t="s">
        <v>20</v>
      </c>
      <c r="K20" s="310"/>
      <c r="L20" s="320"/>
      <c r="M20" s="313"/>
    </row>
    <row r="21" spans="1:13" ht="14.25" x14ac:dyDescent="0.2">
      <c r="A21" s="306"/>
      <c r="B21" s="308"/>
      <c r="C21" s="308"/>
      <c r="D21" s="7" t="s">
        <v>280</v>
      </c>
      <c r="E21" s="20">
        <v>64</v>
      </c>
      <c r="F21" s="21" t="s">
        <v>18</v>
      </c>
      <c r="G21" s="21" t="s">
        <v>18</v>
      </c>
      <c r="H21" s="21">
        <f>125416*117/100</f>
        <v>146736.72</v>
      </c>
      <c r="I21" s="21">
        <f>125416*117/100</f>
        <v>146736.72</v>
      </c>
      <c r="J21" s="7" t="s">
        <v>20</v>
      </c>
      <c r="K21" s="310"/>
      <c r="L21" s="320"/>
      <c r="M21" s="313"/>
    </row>
    <row r="22" spans="1:13" ht="14.25" x14ac:dyDescent="0.2">
      <c r="A22" s="302"/>
      <c r="B22" s="303"/>
      <c r="C22" s="304"/>
      <c r="D22" s="304"/>
      <c r="E22" s="304"/>
      <c r="F22" s="304"/>
      <c r="G22" s="304"/>
      <c r="H22" s="304"/>
      <c r="I22" s="304"/>
      <c r="J22" s="304"/>
      <c r="K22" s="304"/>
      <c r="L22" s="304"/>
      <c r="M22" s="305"/>
    </row>
    <row r="23" spans="1:13" ht="15.75" x14ac:dyDescent="0.2">
      <c r="A23" s="298" t="s">
        <v>314</v>
      </c>
      <c r="B23" s="299"/>
      <c r="C23" s="299"/>
      <c r="D23" s="299"/>
      <c r="E23" s="299"/>
      <c r="F23" s="299"/>
      <c r="G23" s="299"/>
      <c r="H23" s="299"/>
      <c r="I23" s="299"/>
      <c r="J23" s="299"/>
      <c r="K23" s="299"/>
      <c r="L23" s="299"/>
      <c r="M23" s="300"/>
    </row>
    <row r="24" spans="1:13" ht="14.25" x14ac:dyDescent="0.2">
      <c r="A24" s="301">
        <v>4</v>
      </c>
      <c r="B24" s="307" t="s">
        <v>282</v>
      </c>
      <c r="C24" s="307" t="s">
        <v>276</v>
      </c>
      <c r="D24" s="17" t="s">
        <v>277</v>
      </c>
      <c r="E24" s="18">
        <v>94</v>
      </c>
      <c r="F24" s="19" t="s">
        <v>18</v>
      </c>
      <c r="G24" s="19" t="s">
        <v>18</v>
      </c>
      <c r="H24" s="19">
        <f>43550*117/100</f>
        <v>50953.5</v>
      </c>
      <c r="I24" s="19">
        <f>43550*117/100</f>
        <v>50953.5</v>
      </c>
      <c r="J24" s="17" t="s">
        <v>20</v>
      </c>
      <c r="K24" s="309" t="s">
        <v>46</v>
      </c>
      <c r="L24" s="319"/>
      <c r="M24" s="312" t="s">
        <v>281</v>
      </c>
    </row>
    <row r="25" spans="1:13" ht="14.25" x14ac:dyDescent="0.2">
      <c r="A25" s="306"/>
      <c r="B25" s="308"/>
      <c r="C25" s="308"/>
      <c r="D25" s="7" t="s">
        <v>278</v>
      </c>
      <c r="E25" s="20">
        <v>78</v>
      </c>
      <c r="F25" s="21" t="s">
        <v>18</v>
      </c>
      <c r="G25" s="21" t="s">
        <v>18</v>
      </c>
      <c r="H25" s="21">
        <f>52000*117/100</f>
        <v>60840</v>
      </c>
      <c r="I25" s="21">
        <f>52000*117/100</f>
        <v>60840</v>
      </c>
      <c r="J25" s="7"/>
      <c r="K25" s="310"/>
      <c r="L25" s="320"/>
      <c r="M25" s="313"/>
    </row>
    <row r="26" spans="1:13" ht="14.25" x14ac:dyDescent="0.2">
      <c r="A26" s="306"/>
      <c r="B26" s="308"/>
      <c r="C26" s="308"/>
      <c r="D26" s="7" t="s">
        <v>279</v>
      </c>
      <c r="E26" s="20">
        <v>74</v>
      </c>
      <c r="F26" s="21" t="s">
        <v>18</v>
      </c>
      <c r="G26" s="21" t="s">
        <v>18</v>
      </c>
      <c r="H26" s="21">
        <f>58697*117/100</f>
        <v>68675.490000000005</v>
      </c>
      <c r="I26" s="21">
        <f>58697*117/100</f>
        <v>68675.490000000005</v>
      </c>
      <c r="J26" s="7" t="s">
        <v>20</v>
      </c>
      <c r="K26" s="310"/>
      <c r="L26" s="320"/>
      <c r="M26" s="313"/>
    </row>
    <row r="27" spans="1:13" ht="14.25" x14ac:dyDescent="0.2">
      <c r="A27" s="306"/>
      <c r="B27" s="308"/>
      <c r="C27" s="308"/>
      <c r="D27" s="7" t="s">
        <v>280</v>
      </c>
      <c r="E27" s="20">
        <v>64</v>
      </c>
      <c r="F27" s="21" t="s">
        <v>18</v>
      </c>
      <c r="G27" s="21" t="s">
        <v>18</v>
      </c>
      <c r="H27" s="21">
        <f>69360*117/100</f>
        <v>81151.199999999997</v>
      </c>
      <c r="I27" s="21">
        <f>69360*117/100</f>
        <v>81151.199999999997</v>
      </c>
      <c r="J27" s="7" t="s">
        <v>20</v>
      </c>
      <c r="K27" s="310"/>
      <c r="L27" s="320"/>
      <c r="M27" s="313"/>
    </row>
    <row r="28" spans="1:13" ht="14.25" x14ac:dyDescent="0.2">
      <c r="A28" s="302"/>
      <c r="B28" s="303"/>
      <c r="C28" s="304"/>
      <c r="D28" s="304"/>
      <c r="E28" s="304"/>
      <c r="F28" s="304"/>
      <c r="G28" s="304"/>
      <c r="H28" s="304"/>
      <c r="I28" s="304"/>
      <c r="J28" s="304"/>
      <c r="K28" s="304"/>
      <c r="L28" s="304"/>
      <c r="M28" s="305"/>
    </row>
    <row r="29" spans="1:13" ht="15.75" x14ac:dyDescent="0.2">
      <c r="A29" s="298" t="s">
        <v>207</v>
      </c>
      <c r="B29" s="299"/>
      <c r="C29" s="299"/>
      <c r="D29" s="299"/>
      <c r="E29" s="299"/>
      <c r="F29" s="299"/>
      <c r="G29" s="299"/>
      <c r="H29" s="299"/>
      <c r="I29" s="299"/>
      <c r="J29" s="299"/>
      <c r="K29" s="299"/>
      <c r="L29" s="299"/>
      <c r="M29" s="300"/>
    </row>
    <row r="30" spans="1:13" ht="25.5" x14ac:dyDescent="0.2">
      <c r="A30" s="301">
        <v>5</v>
      </c>
      <c r="B30" s="307" t="s">
        <v>283</v>
      </c>
      <c r="C30" s="307" t="s">
        <v>276</v>
      </c>
      <c r="D30" s="17" t="s">
        <v>284</v>
      </c>
      <c r="E30" s="18">
        <v>94</v>
      </c>
      <c r="F30" s="19" t="s">
        <v>18</v>
      </c>
      <c r="G30" s="19" t="s">
        <v>18</v>
      </c>
      <c r="H30" s="19">
        <f>20000*117/100</f>
        <v>23400</v>
      </c>
      <c r="I30" s="19">
        <f>20000*117/100</f>
        <v>23400</v>
      </c>
      <c r="J30" s="17" t="s">
        <v>20</v>
      </c>
      <c r="K30" s="309" t="s">
        <v>46</v>
      </c>
      <c r="L30" s="319"/>
      <c r="M30" s="312" t="s">
        <v>281</v>
      </c>
    </row>
    <row r="31" spans="1:13" ht="14.25" x14ac:dyDescent="0.2">
      <c r="A31" s="306"/>
      <c r="B31" s="308"/>
      <c r="C31" s="308"/>
      <c r="D31" s="7" t="s">
        <v>285</v>
      </c>
      <c r="E31" s="20">
        <v>90</v>
      </c>
      <c r="F31" s="21" t="s">
        <v>18</v>
      </c>
      <c r="G31" s="21" t="s">
        <v>18</v>
      </c>
      <c r="H31" s="21">
        <f>28000*117/100</f>
        <v>32760</v>
      </c>
      <c r="I31" s="21">
        <f>28000*117/100</f>
        <v>32760</v>
      </c>
      <c r="J31" s="7" t="s">
        <v>20</v>
      </c>
      <c r="K31" s="310"/>
      <c r="L31" s="320"/>
      <c r="M31" s="313"/>
    </row>
    <row r="32" spans="1:13" ht="25.5" x14ac:dyDescent="0.2">
      <c r="A32" s="306"/>
      <c r="B32" s="308"/>
      <c r="C32" s="308"/>
      <c r="D32" s="7" t="s">
        <v>286</v>
      </c>
      <c r="E32" s="20">
        <v>74</v>
      </c>
      <c r="F32" s="21" t="s">
        <v>18</v>
      </c>
      <c r="G32" s="21" t="s">
        <v>18</v>
      </c>
      <c r="H32" s="21">
        <f>39575*117/100</f>
        <v>46302.75</v>
      </c>
      <c r="I32" s="21">
        <f>39575*117/100</f>
        <v>46302.75</v>
      </c>
      <c r="J32" s="7" t="s">
        <v>20</v>
      </c>
      <c r="K32" s="310"/>
      <c r="L32" s="320"/>
      <c r="M32" s="313"/>
    </row>
    <row r="33" spans="1:13" ht="25.5" x14ac:dyDescent="0.2">
      <c r="A33" s="306"/>
      <c r="B33" s="308"/>
      <c r="C33" s="308"/>
      <c r="D33" s="7" t="s">
        <v>287</v>
      </c>
      <c r="E33" s="20">
        <v>64</v>
      </c>
      <c r="F33" s="21" t="s">
        <v>18</v>
      </c>
      <c r="G33" s="21" t="s">
        <v>18</v>
      </c>
      <c r="H33" s="21">
        <f>40000*117/100</f>
        <v>46800</v>
      </c>
      <c r="I33" s="21">
        <f>40000*117/100</f>
        <v>46800</v>
      </c>
      <c r="J33" s="7" t="s">
        <v>20</v>
      </c>
      <c r="K33" s="310"/>
      <c r="L33" s="320"/>
      <c r="M33" s="313"/>
    </row>
    <row r="34" spans="1:13" ht="14.25" x14ac:dyDescent="0.2">
      <c r="A34" s="302"/>
      <c r="B34" s="303"/>
      <c r="C34" s="304"/>
      <c r="D34" s="304"/>
      <c r="E34" s="304"/>
      <c r="F34" s="304"/>
      <c r="G34" s="304"/>
      <c r="H34" s="304"/>
      <c r="I34" s="304"/>
      <c r="J34" s="304"/>
      <c r="K34" s="304"/>
      <c r="L34" s="304"/>
      <c r="M34" s="305"/>
    </row>
    <row r="35" spans="1:13" ht="15.75" x14ac:dyDescent="0.2">
      <c r="A35" s="298" t="s">
        <v>315</v>
      </c>
      <c r="B35" s="299"/>
      <c r="C35" s="299"/>
      <c r="D35" s="299"/>
      <c r="E35" s="299"/>
      <c r="F35" s="299"/>
      <c r="G35" s="299"/>
      <c r="H35" s="299"/>
      <c r="I35" s="299"/>
      <c r="J35" s="299"/>
      <c r="K35" s="299"/>
      <c r="L35" s="299"/>
      <c r="M35" s="300"/>
    </row>
    <row r="36" spans="1:13" ht="25.5" x14ac:dyDescent="0.2">
      <c r="A36" s="301">
        <v>6</v>
      </c>
      <c r="B36" s="307" t="s">
        <v>288</v>
      </c>
      <c r="C36" s="307" t="s">
        <v>276</v>
      </c>
      <c r="D36" s="17" t="s">
        <v>32</v>
      </c>
      <c r="E36" s="18">
        <v>94</v>
      </c>
      <c r="F36" s="19" t="s">
        <v>18</v>
      </c>
      <c r="G36" s="19" t="s">
        <v>18</v>
      </c>
      <c r="H36" s="19">
        <f>23400*117/100</f>
        <v>27378</v>
      </c>
      <c r="I36" s="19">
        <f t="shared" ref="I36" si="0">23400*117/100</f>
        <v>27378</v>
      </c>
      <c r="J36" s="17" t="s">
        <v>20</v>
      </c>
      <c r="K36" s="309" t="s">
        <v>46</v>
      </c>
      <c r="L36" s="319"/>
      <c r="M36" s="312" t="s">
        <v>281</v>
      </c>
    </row>
    <row r="37" spans="1:13" ht="38.25" x14ac:dyDescent="0.2">
      <c r="A37" s="306"/>
      <c r="B37" s="308"/>
      <c r="C37" s="308"/>
      <c r="D37" s="7" t="s">
        <v>289</v>
      </c>
      <c r="E37" s="20">
        <v>84</v>
      </c>
      <c r="F37" s="21" t="s">
        <v>18</v>
      </c>
      <c r="G37" s="21" t="s">
        <v>18</v>
      </c>
      <c r="H37" s="21">
        <f>23600*117/100</f>
        <v>27612</v>
      </c>
      <c r="I37" s="21">
        <f t="shared" ref="I37" si="1">23600*117/100</f>
        <v>27612</v>
      </c>
      <c r="J37" s="7" t="s">
        <v>20</v>
      </c>
      <c r="K37" s="310"/>
      <c r="L37" s="320"/>
      <c r="M37" s="313"/>
    </row>
    <row r="38" spans="1:13" ht="25.5" x14ac:dyDescent="0.2">
      <c r="A38" s="306"/>
      <c r="B38" s="308"/>
      <c r="C38" s="308"/>
      <c r="D38" s="7" t="s">
        <v>290</v>
      </c>
      <c r="E38" s="20">
        <v>74</v>
      </c>
      <c r="F38" s="21" t="s">
        <v>18</v>
      </c>
      <c r="G38" s="21" t="s">
        <v>18</v>
      </c>
      <c r="H38" s="21">
        <f t="shared" ref="H38:I38" si="2">37000*117/100</f>
        <v>43290</v>
      </c>
      <c r="I38" s="21">
        <f t="shared" si="2"/>
        <v>43290</v>
      </c>
      <c r="J38" s="7" t="s">
        <v>20</v>
      </c>
      <c r="K38" s="310"/>
      <c r="L38" s="320"/>
      <c r="M38" s="313"/>
    </row>
    <row r="39" spans="1:13" ht="25.5" x14ac:dyDescent="0.2">
      <c r="A39" s="306"/>
      <c r="B39" s="308"/>
      <c r="C39" s="308"/>
      <c r="D39" s="7" t="s">
        <v>291</v>
      </c>
      <c r="E39" s="20">
        <v>64</v>
      </c>
      <c r="F39" s="21" t="s">
        <v>18</v>
      </c>
      <c r="G39" s="21" t="s">
        <v>18</v>
      </c>
      <c r="H39" s="21">
        <f t="shared" ref="H39:I39" si="3">67990*117/100</f>
        <v>79548.3</v>
      </c>
      <c r="I39" s="21">
        <f t="shared" si="3"/>
        <v>79548.3</v>
      </c>
      <c r="J39" s="7" t="s">
        <v>20</v>
      </c>
      <c r="K39" s="310"/>
      <c r="L39" s="320"/>
      <c r="M39" s="313"/>
    </row>
    <row r="40" spans="1:13" ht="14.25" x14ac:dyDescent="0.2">
      <c r="A40" s="306"/>
      <c r="B40" s="308"/>
      <c r="C40" s="308"/>
      <c r="D40" s="7" t="s">
        <v>292</v>
      </c>
      <c r="E40" s="20">
        <v>54</v>
      </c>
      <c r="F40" s="21" t="s">
        <v>18</v>
      </c>
      <c r="G40" s="21" t="s">
        <v>18</v>
      </c>
      <c r="H40" s="21">
        <f t="shared" ref="H40:I40" si="4">81240*117/100</f>
        <v>95050.8</v>
      </c>
      <c r="I40" s="21">
        <f t="shared" si="4"/>
        <v>95050.8</v>
      </c>
      <c r="J40" s="7" t="s">
        <v>20</v>
      </c>
      <c r="K40" s="310"/>
      <c r="L40" s="320"/>
      <c r="M40" s="313"/>
    </row>
    <row r="41" spans="1:13" ht="14.25" x14ac:dyDescent="0.2">
      <c r="A41" s="302"/>
      <c r="B41" s="303"/>
      <c r="C41" s="304"/>
      <c r="D41" s="304"/>
      <c r="E41" s="304"/>
      <c r="F41" s="304"/>
      <c r="G41" s="304"/>
      <c r="H41" s="304"/>
      <c r="I41" s="304"/>
      <c r="J41" s="304"/>
      <c r="K41" s="304"/>
      <c r="L41" s="304"/>
      <c r="M41" s="305"/>
    </row>
    <row r="42" spans="1:13" ht="15.75" x14ac:dyDescent="0.2">
      <c r="A42" s="298" t="s">
        <v>316</v>
      </c>
      <c r="B42" s="299"/>
      <c r="C42" s="299"/>
      <c r="D42" s="299"/>
      <c r="E42" s="299"/>
      <c r="F42" s="299"/>
      <c r="G42" s="299"/>
      <c r="H42" s="299"/>
      <c r="I42" s="299"/>
      <c r="J42" s="299"/>
      <c r="K42" s="299"/>
      <c r="L42" s="299"/>
      <c r="M42" s="300"/>
    </row>
    <row r="43" spans="1:13" ht="25.5" x14ac:dyDescent="0.2">
      <c r="A43" s="301">
        <v>7</v>
      </c>
      <c r="B43" s="307" t="s">
        <v>293</v>
      </c>
      <c r="C43" s="307" t="s">
        <v>276</v>
      </c>
      <c r="D43" s="17" t="s">
        <v>294</v>
      </c>
      <c r="E43" s="18">
        <v>94</v>
      </c>
      <c r="F43" s="19" t="s">
        <v>18</v>
      </c>
      <c r="G43" s="19" t="s">
        <v>18</v>
      </c>
      <c r="H43" s="19">
        <f>90000*117/100</f>
        <v>105300</v>
      </c>
      <c r="I43" s="19">
        <f>90000*117/100</f>
        <v>105300</v>
      </c>
      <c r="J43" s="17"/>
      <c r="K43" s="309" t="s">
        <v>46</v>
      </c>
      <c r="L43" s="319"/>
      <c r="M43" s="312" t="s">
        <v>281</v>
      </c>
    </row>
    <row r="44" spans="1:13" ht="25.5" x14ac:dyDescent="0.2">
      <c r="A44" s="306"/>
      <c r="B44" s="308"/>
      <c r="C44" s="308"/>
      <c r="D44" s="7" t="s">
        <v>295</v>
      </c>
      <c r="E44" s="20">
        <v>84</v>
      </c>
      <c r="F44" s="21" t="s">
        <v>18</v>
      </c>
      <c r="G44" s="21" t="s">
        <v>18</v>
      </c>
      <c r="H44" s="21">
        <f>135000*117/100</f>
        <v>157950</v>
      </c>
      <c r="I44" s="21">
        <f>135000*117/100</f>
        <v>157950</v>
      </c>
      <c r="J44" s="7" t="s">
        <v>20</v>
      </c>
      <c r="K44" s="310"/>
      <c r="L44" s="320"/>
      <c r="M44" s="313"/>
    </row>
    <row r="45" spans="1:13" ht="38.25" x14ac:dyDescent="0.2">
      <c r="A45" s="306"/>
      <c r="B45" s="308"/>
      <c r="C45" s="308"/>
      <c r="D45" s="7" t="s">
        <v>296</v>
      </c>
      <c r="E45" s="20">
        <v>74</v>
      </c>
      <c r="F45" s="21" t="s">
        <v>18</v>
      </c>
      <c r="G45" s="21" t="s">
        <v>18</v>
      </c>
      <c r="H45" s="21">
        <f>145000*117/100</f>
        <v>169650</v>
      </c>
      <c r="I45" s="21">
        <f>145000*117/100</f>
        <v>169650</v>
      </c>
      <c r="J45" s="7" t="s">
        <v>20</v>
      </c>
      <c r="K45" s="310"/>
      <c r="L45" s="320"/>
      <c r="M45" s="313"/>
    </row>
    <row r="46" spans="1:13" ht="25.5" x14ac:dyDescent="0.2">
      <c r="A46" s="306"/>
      <c r="B46" s="308"/>
      <c r="C46" s="308"/>
      <c r="D46" s="7" t="s">
        <v>297</v>
      </c>
      <c r="E46" s="20">
        <v>64</v>
      </c>
      <c r="F46" s="21" t="s">
        <v>18</v>
      </c>
      <c r="G46" s="21" t="s">
        <v>18</v>
      </c>
      <c r="H46" s="21">
        <f>154700*117/100</f>
        <v>180999</v>
      </c>
      <c r="I46" s="21">
        <f>154700*117/100</f>
        <v>180999</v>
      </c>
      <c r="J46" s="7" t="s">
        <v>20</v>
      </c>
      <c r="K46" s="310"/>
      <c r="L46" s="320"/>
      <c r="M46" s="313"/>
    </row>
    <row r="47" spans="1:13" ht="14.25" x14ac:dyDescent="0.2">
      <c r="A47" s="302"/>
      <c r="B47" s="303"/>
      <c r="C47" s="304"/>
      <c r="D47" s="304"/>
      <c r="E47" s="304"/>
      <c r="F47" s="304"/>
      <c r="G47" s="304"/>
      <c r="H47" s="304"/>
      <c r="I47" s="304"/>
      <c r="J47" s="304"/>
      <c r="K47" s="304"/>
      <c r="L47" s="304"/>
      <c r="M47" s="305"/>
    </row>
    <row r="48" spans="1:13" ht="15.75" x14ac:dyDescent="0.2">
      <c r="A48" s="298" t="s">
        <v>317</v>
      </c>
      <c r="B48" s="299"/>
      <c r="C48" s="299"/>
      <c r="D48" s="299"/>
      <c r="E48" s="299"/>
      <c r="F48" s="299"/>
      <c r="G48" s="299"/>
      <c r="H48" s="299"/>
      <c r="I48" s="299"/>
      <c r="J48" s="299"/>
      <c r="K48" s="299"/>
      <c r="L48" s="299"/>
      <c r="M48" s="300"/>
    </row>
    <row r="49" spans="1:13" ht="25.5" x14ac:dyDescent="0.2">
      <c r="A49" s="301">
        <v>8</v>
      </c>
      <c r="B49" s="307" t="s">
        <v>298</v>
      </c>
      <c r="C49" s="307" t="s">
        <v>276</v>
      </c>
      <c r="D49" s="17" t="s">
        <v>299</v>
      </c>
      <c r="E49" s="18">
        <v>100</v>
      </c>
      <c r="F49" s="19" t="s">
        <v>18</v>
      </c>
      <c r="G49" s="19" t="s">
        <v>18</v>
      </c>
      <c r="H49" s="19">
        <f>9800*117/100</f>
        <v>11466</v>
      </c>
      <c r="I49" s="19">
        <f>9800*117/100</f>
        <v>11466</v>
      </c>
      <c r="J49" s="17" t="s">
        <v>20</v>
      </c>
      <c r="K49" s="309" t="s">
        <v>46</v>
      </c>
      <c r="L49" s="319"/>
      <c r="M49" s="312" t="s">
        <v>281</v>
      </c>
    </row>
    <row r="50" spans="1:13" ht="25.5" x14ac:dyDescent="0.2">
      <c r="A50" s="306"/>
      <c r="B50" s="308"/>
      <c r="C50" s="308"/>
      <c r="D50" s="7" t="s">
        <v>300</v>
      </c>
      <c r="E50" s="20">
        <v>84</v>
      </c>
      <c r="F50" s="21" t="s">
        <v>18</v>
      </c>
      <c r="G50" s="21" t="s">
        <v>18</v>
      </c>
      <c r="H50" s="21">
        <f>15000*117/100</f>
        <v>17550</v>
      </c>
      <c r="I50" s="21">
        <f>15000*117/100</f>
        <v>17550</v>
      </c>
      <c r="J50" s="7" t="s">
        <v>20</v>
      </c>
      <c r="K50" s="310"/>
      <c r="L50" s="320"/>
      <c r="M50" s="313"/>
    </row>
    <row r="51" spans="1:13" ht="38.25" x14ac:dyDescent="0.2">
      <c r="A51" s="306"/>
      <c r="B51" s="308"/>
      <c r="C51" s="308"/>
      <c r="D51" s="7" t="s">
        <v>301</v>
      </c>
      <c r="E51" s="20">
        <v>74</v>
      </c>
      <c r="F51" s="21" t="s">
        <v>18</v>
      </c>
      <c r="G51" s="21" t="s">
        <v>18</v>
      </c>
      <c r="H51" s="21">
        <f>18600*117/100</f>
        <v>21762</v>
      </c>
      <c r="I51" s="21">
        <f>18600*117/100</f>
        <v>21762</v>
      </c>
      <c r="J51" s="7"/>
      <c r="K51" s="310"/>
      <c r="L51" s="320"/>
      <c r="M51" s="313"/>
    </row>
    <row r="52" spans="1:13" ht="38.25" x14ac:dyDescent="0.2">
      <c r="A52" s="306"/>
      <c r="B52" s="308"/>
      <c r="C52" s="308"/>
      <c r="D52" s="7" t="s">
        <v>302</v>
      </c>
      <c r="E52" s="20">
        <v>64</v>
      </c>
      <c r="F52" s="21" t="s">
        <v>18</v>
      </c>
      <c r="G52" s="21" t="s">
        <v>18</v>
      </c>
      <c r="H52" s="21">
        <f>19640*117/100</f>
        <v>22978.799999999999</v>
      </c>
      <c r="I52" s="21">
        <f>19640*117/100</f>
        <v>22978.799999999999</v>
      </c>
      <c r="J52" s="7" t="s">
        <v>20</v>
      </c>
      <c r="K52" s="310"/>
      <c r="L52" s="320"/>
      <c r="M52" s="313"/>
    </row>
    <row r="53" spans="1:13" ht="14.25" x14ac:dyDescent="0.2">
      <c r="A53" s="302"/>
      <c r="B53" s="303"/>
      <c r="C53" s="304"/>
      <c r="D53" s="304"/>
      <c r="E53" s="304"/>
      <c r="F53" s="304"/>
      <c r="G53" s="304"/>
      <c r="H53" s="304"/>
      <c r="I53" s="304"/>
      <c r="J53" s="304"/>
      <c r="K53" s="304"/>
      <c r="L53" s="304"/>
      <c r="M53" s="305"/>
    </row>
    <row r="54" spans="1:13" ht="15.75" x14ac:dyDescent="0.2">
      <c r="A54" s="298" t="s">
        <v>318</v>
      </c>
      <c r="B54" s="299"/>
      <c r="C54" s="299"/>
      <c r="D54" s="299"/>
      <c r="E54" s="299"/>
      <c r="F54" s="299"/>
      <c r="G54" s="299"/>
      <c r="H54" s="299"/>
      <c r="I54" s="299"/>
      <c r="J54" s="299"/>
      <c r="K54" s="299"/>
      <c r="L54" s="299"/>
      <c r="M54" s="300"/>
    </row>
    <row r="55" spans="1:13" ht="38.25" x14ac:dyDescent="0.2">
      <c r="A55" s="301">
        <v>9</v>
      </c>
      <c r="B55" s="57" t="s">
        <v>303</v>
      </c>
      <c r="C55" s="57" t="s">
        <v>304</v>
      </c>
      <c r="D55" s="17" t="s">
        <v>305</v>
      </c>
      <c r="E55" s="18">
        <v>100</v>
      </c>
      <c r="F55" s="19" t="s">
        <v>29</v>
      </c>
      <c r="G55" s="19" t="s">
        <v>306</v>
      </c>
      <c r="H55" s="19">
        <f>262*117/100</f>
        <v>306.54000000000002</v>
      </c>
      <c r="I55" s="19">
        <f>159*H55</f>
        <v>48739.86</v>
      </c>
      <c r="J55" s="17" t="s">
        <v>20</v>
      </c>
      <c r="K55" s="58" t="s">
        <v>100</v>
      </c>
      <c r="L55" s="59"/>
      <c r="M55" s="60">
        <v>1623000751</v>
      </c>
    </row>
    <row r="56" spans="1:13" ht="14.25" x14ac:dyDescent="0.2">
      <c r="A56" s="302"/>
      <c r="B56" s="303" t="s">
        <v>309</v>
      </c>
      <c r="C56" s="304"/>
      <c r="D56" s="304"/>
      <c r="E56" s="304"/>
      <c r="F56" s="304"/>
      <c r="G56" s="304"/>
      <c r="H56" s="304"/>
      <c r="I56" s="304"/>
      <c r="J56" s="304"/>
      <c r="K56" s="304"/>
      <c r="L56" s="304"/>
      <c r="M56" s="305"/>
    </row>
  </sheetData>
  <mergeCells count="78">
    <mergeCell ref="A54:M54"/>
    <mergeCell ref="A55:A56"/>
    <mergeCell ref="B56:M56"/>
    <mergeCell ref="A48:M48"/>
    <mergeCell ref="A49:A53"/>
    <mergeCell ref="B49:B52"/>
    <mergeCell ref="C49:C52"/>
    <mergeCell ref="K49:K52"/>
    <mergeCell ref="L49:L52"/>
    <mergeCell ref="M49:M52"/>
    <mergeCell ref="B53:M53"/>
    <mergeCell ref="A42:M42"/>
    <mergeCell ref="A43:A47"/>
    <mergeCell ref="B43:B46"/>
    <mergeCell ref="C43:C46"/>
    <mergeCell ref="K43:K46"/>
    <mergeCell ref="L43:L46"/>
    <mergeCell ref="M43:M46"/>
    <mergeCell ref="B47:M47"/>
    <mergeCell ref="A35:M35"/>
    <mergeCell ref="A36:A41"/>
    <mergeCell ref="B36:B40"/>
    <mergeCell ref="C36:C40"/>
    <mergeCell ref="K36:K40"/>
    <mergeCell ref="L36:L40"/>
    <mergeCell ref="M36:M40"/>
    <mergeCell ref="B41:M41"/>
    <mergeCell ref="A29:M29"/>
    <mergeCell ref="A30:A34"/>
    <mergeCell ref="B30:B33"/>
    <mergeCell ref="C30:C33"/>
    <mergeCell ref="K30:K33"/>
    <mergeCell ref="L30:L33"/>
    <mergeCell ref="M30:M33"/>
    <mergeCell ref="B34:M34"/>
    <mergeCell ref="A23:M23"/>
    <mergeCell ref="A24:A28"/>
    <mergeCell ref="B24:B27"/>
    <mergeCell ref="C24:C27"/>
    <mergeCell ref="K24:K27"/>
    <mergeCell ref="L24:L27"/>
    <mergeCell ref="M24:M27"/>
    <mergeCell ref="B28:M28"/>
    <mergeCell ref="A17:M17"/>
    <mergeCell ref="A18:A22"/>
    <mergeCell ref="B18:B21"/>
    <mergeCell ref="C18:C21"/>
    <mergeCell ref="K18:K21"/>
    <mergeCell ref="L18:L21"/>
    <mergeCell ref="M18:M21"/>
    <mergeCell ref="B22:M22"/>
    <mergeCell ref="A13:M13"/>
    <mergeCell ref="A14:A16"/>
    <mergeCell ref="B14:B15"/>
    <mergeCell ref="C14:C15"/>
    <mergeCell ref="K14:K15"/>
    <mergeCell ref="L14:L15"/>
    <mergeCell ref="M14:M15"/>
    <mergeCell ref="B16:M16"/>
    <mergeCell ref="F14:F15"/>
    <mergeCell ref="E14:E15"/>
    <mergeCell ref="D14:D15"/>
    <mergeCell ref="I14:I15"/>
    <mergeCell ref="J14:J15"/>
    <mergeCell ref="A1:A6"/>
    <mergeCell ref="B1:M1"/>
    <mergeCell ref="B2:M2"/>
    <mergeCell ref="B3:M3"/>
    <mergeCell ref="B4:M4"/>
    <mergeCell ref="B5:M5"/>
    <mergeCell ref="A7:M7"/>
    <mergeCell ref="A8:A12"/>
    <mergeCell ref="B8:B11"/>
    <mergeCell ref="C8:C11"/>
    <mergeCell ref="K8:K11"/>
    <mergeCell ref="L8:L11"/>
    <mergeCell ref="M8:M11"/>
    <mergeCell ref="B12:M12"/>
  </mergeCells>
  <pageMargins left="0.7" right="0.7" top="0.75" bottom="0.75" header="0.3" footer="0.3"/>
  <pageSetup paperSize="9" scale="7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rightToLeft="1" zoomScale="85" zoomScaleNormal="85" workbookViewId="0">
      <pane ySplit="6" topLeftCell="A13" activePane="bottomLeft" state="frozen"/>
      <selection pane="bottomLeft" activeCell="B22" sqref="B22"/>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2.125" style="10" bestFit="1" customWidth="1"/>
    <col min="9" max="9" width="12.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265</v>
      </c>
      <c r="C1" s="315"/>
      <c r="D1" s="315"/>
      <c r="E1" s="315"/>
      <c r="F1" s="315"/>
      <c r="G1" s="315"/>
      <c r="H1" s="315"/>
      <c r="I1" s="315"/>
      <c r="J1" s="315"/>
      <c r="K1" s="315"/>
      <c r="L1" s="315"/>
      <c r="M1" s="315"/>
    </row>
    <row r="2" spans="1:13" ht="14.25" x14ac:dyDescent="0.2">
      <c r="A2" s="314"/>
      <c r="B2" s="346" t="s">
        <v>22</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15</v>
      </c>
      <c r="C4" s="318"/>
      <c r="D4" s="318"/>
      <c r="E4" s="318"/>
      <c r="F4" s="318"/>
      <c r="G4" s="318"/>
      <c r="H4" s="318"/>
      <c r="I4" s="318"/>
      <c r="J4" s="318"/>
      <c r="K4" s="318"/>
      <c r="L4" s="318"/>
      <c r="M4" s="318"/>
    </row>
    <row r="5" spans="1:13" ht="14.25" x14ac:dyDescent="0.2">
      <c r="A5" s="314"/>
      <c r="B5" s="318" t="s">
        <v>216</v>
      </c>
      <c r="C5" s="318"/>
      <c r="D5" s="318"/>
      <c r="E5" s="318"/>
      <c r="F5" s="318"/>
      <c r="G5" s="318"/>
      <c r="H5" s="318"/>
      <c r="I5" s="318"/>
      <c r="J5" s="318"/>
      <c r="K5" s="318"/>
      <c r="L5" s="318"/>
      <c r="M5" s="318"/>
    </row>
    <row r="6" spans="1:13" ht="47.25" x14ac:dyDescent="0.2">
      <c r="A6" s="314"/>
      <c r="B6" s="39" t="s">
        <v>2</v>
      </c>
      <c r="C6" s="2" t="s">
        <v>3</v>
      </c>
      <c r="D6" s="3" t="s">
        <v>4</v>
      </c>
      <c r="E6" s="3" t="s">
        <v>5</v>
      </c>
      <c r="F6" s="3" t="s">
        <v>6</v>
      </c>
      <c r="G6" s="3" t="s">
        <v>7</v>
      </c>
      <c r="H6" s="4" t="s">
        <v>8</v>
      </c>
      <c r="I6" s="5" t="s">
        <v>9</v>
      </c>
      <c r="J6" s="3" t="s">
        <v>10</v>
      </c>
      <c r="K6" s="3" t="s">
        <v>11</v>
      </c>
      <c r="L6" s="6" t="s">
        <v>12</v>
      </c>
      <c r="M6" s="3" t="s">
        <v>13</v>
      </c>
    </row>
    <row r="7" spans="1:13" ht="15.75" x14ac:dyDescent="0.2">
      <c r="A7" s="298" t="s">
        <v>195</v>
      </c>
      <c r="B7" s="299"/>
      <c r="C7" s="299"/>
      <c r="D7" s="299"/>
      <c r="E7" s="299"/>
      <c r="F7" s="299"/>
      <c r="G7" s="299"/>
      <c r="H7" s="299"/>
      <c r="I7" s="299"/>
      <c r="J7" s="299"/>
      <c r="K7" s="299"/>
      <c r="L7" s="299"/>
      <c r="M7" s="300"/>
    </row>
    <row r="8" spans="1:13" ht="38.25" x14ac:dyDescent="0.2">
      <c r="A8" s="301">
        <v>1</v>
      </c>
      <c r="B8" s="307" t="s">
        <v>188</v>
      </c>
      <c r="C8" s="307" t="s">
        <v>189</v>
      </c>
      <c r="D8" s="17" t="s">
        <v>190</v>
      </c>
      <c r="E8" s="18">
        <v>100</v>
      </c>
      <c r="F8" s="19" t="s">
        <v>29</v>
      </c>
      <c r="G8" s="19" t="s">
        <v>193</v>
      </c>
      <c r="H8" s="19">
        <f>200*117/100</f>
        <v>234</v>
      </c>
      <c r="I8" s="19">
        <f>100*12*H8</f>
        <v>280800</v>
      </c>
      <c r="J8" s="17" t="s">
        <v>20</v>
      </c>
      <c r="K8" s="309" t="s">
        <v>46</v>
      </c>
      <c r="L8" s="319"/>
      <c r="M8" s="312" t="s">
        <v>194</v>
      </c>
    </row>
    <row r="9" spans="1:13" ht="38.25" x14ac:dyDescent="0.2">
      <c r="A9" s="306"/>
      <c r="B9" s="308"/>
      <c r="C9" s="308"/>
      <c r="D9" s="7" t="s">
        <v>191</v>
      </c>
      <c r="E9" s="20">
        <v>84</v>
      </c>
      <c r="F9" s="21" t="s">
        <v>29</v>
      </c>
      <c r="G9" s="21" t="s">
        <v>193</v>
      </c>
      <c r="H9" s="21">
        <f>264*117/100</f>
        <v>308.88</v>
      </c>
      <c r="I9" s="21">
        <f t="shared" ref="I9" si="0">100*12*H9</f>
        <v>370656</v>
      </c>
      <c r="J9" s="7" t="s">
        <v>20</v>
      </c>
      <c r="K9" s="310"/>
      <c r="L9" s="320"/>
      <c r="M9" s="313"/>
    </row>
    <row r="10" spans="1:13" ht="38.25" x14ac:dyDescent="0.2">
      <c r="A10" s="306"/>
      <c r="B10" s="308"/>
      <c r="C10" s="308"/>
      <c r="D10" s="7" t="s">
        <v>192</v>
      </c>
      <c r="E10" s="20">
        <v>74</v>
      </c>
      <c r="F10" s="21" t="s">
        <v>29</v>
      </c>
      <c r="G10" s="21" t="s">
        <v>193</v>
      </c>
      <c r="H10" s="21">
        <f>320*117/100</f>
        <v>374.4</v>
      </c>
      <c r="I10" s="21">
        <f>100*12*H10</f>
        <v>449280</v>
      </c>
      <c r="J10" s="7" t="s">
        <v>20</v>
      </c>
      <c r="K10" s="310"/>
      <c r="L10" s="320"/>
      <c r="M10" s="313"/>
    </row>
    <row r="11" spans="1:13" ht="13.9" customHeight="1" x14ac:dyDescent="0.2">
      <c r="A11" s="302"/>
      <c r="B11" s="303" t="s">
        <v>215</v>
      </c>
      <c r="C11" s="304"/>
      <c r="D11" s="304"/>
      <c r="E11" s="304"/>
      <c r="F11" s="304"/>
      <c r="G11" s="304"/>
      <c r="H11" s="304"/>
      <c r="I11" s="304"/>
      <c r="J11" s="304"/>
      <c r="K11" s="304"/>
      <c r="L11" s="304"/>
      <c r="M11" s="305"/>
    </row>
    <row r="12" spans="1:13" ht="15.75" x14ac:dyDescent="0.2">
      <c r="A12" s="298" t="s">
        <v>196</v>
      </c>
      <c r="B12" s="299"/>
      <c r="C12" s="299"/>
      <c r="D12" s="299"/>
      <c r="E12" s="299"/>
      <c r="F12" s="299"/>
      <c r="G12" s="299"/>
      <c r="H12" s="299"/>
      <c r="I12" s="299"/>
      <c r="J12" s="299"/>
      <c r="K12" s="299"/>
      <c r="L12" s="299"/>
      <c r="M12" s="300"/>
    </row>
    <row r="13" spans="1:13" ht="38.25" x14ac:dyDescent="0.2">
      <c r="A13" s="301">
        <v>2</v>
      </c>
      <c r="B13" s="40" t="s">
        <v>197</v>
      </c>
      <c r="C13" s="40" t="s">
        <v>83</v>
      </c>
      <c r="D13" s="17" t="s">
        <v>124</v>
      </c>
      <c r="E13" s="18">
        <v>100</v>
      </c>
      <c r="F13" s="19" t="s">
        <v>29</v>
      </c>
      <c r="G13" s="19" t="s">
        <v>30</v>
      </c>
      <c r="H13" s="19">
        <f>210*117/100</f>
        <v>245.7</v>
      </c>
      <c r="I13" s="19">
        <f>H13*100</f>
        <v>24570</v>
      </c>
      <c r="J13" s="17" t="s">
        <v>20</v>
      </c>
      <c r="K13" s="41" t="s">
        <v>100</v>
      </c>
      <c r="L13" s="42"/>
      <c r="M13" s="43" t="s">
        <v>132</v>
      </c>
    </row>
    <row r="14" spans="1:13" ht="14.25" x14ac:dyDescent="0.2">
      <c r="A14" s="302"/>
      <c r="B14" s="303" t="s">
        <v>198</v>
      </c>
      <c r="C14" s="304"/>
      <c r="D14" s="304"/>
      <c r="E14" s="304"/>
      <c r="F14" s="304"/>
      <c r="G14" s="304"/>
      <c r="H14" s="304"/>
      <c r="I14" s="304"/>
      <c r="J14" s="304"/>
      <c r="K14" s="304"/>
      <c r="L14" s="304"/>
      <c r="M14" s="305"/>
    </row>
    <row r="15" spans="1:13" ht="15.75" x14ac:dyDescent="0.2">
      <c r="A15" s="298" t="s">
        <v>199</v>
      </c>
      <c r="B15" s="299"/>
      <c r="C15" s="299"/>
      <c r="D15" s="299"/>
      <c r="E15" s="299"/>
      <c r="F15" s="299"/>
      <c r="G15" s="299"/>
      <c r="H15" s="299"/>
      <c r="I15" s="299"/>
      <c r="J15" s="299"/>
      <c r="K15" s="299"/>
      <c r="L15" s="299"/>
      <c r="M15" s="300"/>
    </row>
    <row r="16" spans="1:13" ht="76.5" x14ac:dyDescent="0.2">
      <c r="A16" s="301">
        <v>3</v>
      </c>
      <c r="B16" s="40" t="s">
        <v>200</v>
      </c>
      <c r="C16" s="40" t="s">
        <v>201</v>
      </c>
      <c r="D16" s="17" t="s">
        <v>202</v>
      </c>
      <c r="E16" s="18">
        <v>100</v>
      </c>
      <c r="F16" s="19" t="s">
        <v>170</v>
      </c>
      <c r="G16" s="44">
        <v>2000000</v>
      </c>
      <c r="H16" s="38">
        <v>5.7500000000000002E-2</v>
      </c>
      <c r="I16" s="19">
        <f>5.75/100*2000000*117/100</f>
        <v>134550</v>
      </c>
      <c r="J16" s="17" t="s">
        <v>20</v>
      </c>
      <c r="K16" s="41" t="s">
        <v>100</v>
      </c>
      <c r="L16" s="42"/>
      <c r="M16" s="43" t="s">
        <v>206</v>
      </c>
    </row>
    <row r="17" spans="1:13" ht="14.25" x14ac:dyDescent="0.2">
      <c r="A17" s="302"/>
      <c r="B17" s="303" t="s">
        <v>212</v>
      </c>
      <c r="C17" s="304"/>
      <c r="D17" s="304"/>
      <c r="E17" s="304"/>
      <c r="F17" s="304"/>
      <c r="G17" s="304"/>
      <c r="H17" s="304"/>
      <c r="I17" s="304"/>
      <c r="J17" s="304"/>
      <c r="K17" s="304"/>
      <c r="L17" s="304"/>
      <c r="M17" s="305"/>
    </row>
    <row r="18" spans="1:13" ht="15.75" x14ac:dyDescent="0.2">
      <c r="A18" s="298" t="s">
        <v>203</v>
      </c>
      <c r="B18" s="299"/>
      <c r="C18" s="299"/>
      <c r="D18" s="299"/>
      <c r="E18" s="299"/>
      <c r="F18" s="299"/>
      <c r="G18" s="299"/>
      <c r="H18" s="299"/>
      <c r="I18" s="299"/>
      <c r="J18" s="299"/>
      <c r="K18" s="299"/>
      <c r="L18" s="299"/>
      <c r="M18" s="300"/>
    </row>
    <row r="19" spans="1:13" ht="76.5" x14ac:dyDescent="0.2">
      <c r="A19" s="301">
        <v>4</v>
      </c>
      <c r="B19" s="40" t="s">
        <v>204</v>
      </c>
      <c r="C19" s="40" t="s">
        <v>201</v>
      </c>
      <c r="D19" s="17" t="s">
        <v>205</v>
      </c>
      <c r="E19" s="18">
        <v>100</v>
      </c>
      <c r="F19" s="19" t="s">
        <v>18</v>
      </c>
      <c r="G19" s="19" t="s">
        <v>18</v>
      </c>
      <c r="H19" s="19">
        <f>48000*117/100</f>
        <v>56160</v>
      </c>
      <c r="I19" s="19">
        <f>48000*117/100</f>
        <v>56160</v>
      </c>
      <c r="J19" s="17"/>
      <c r="K19" s="41" t="s">
        <v>100</v>
      </c>
      <c r="L19" s="42"/>
      <c r="M19" s="43" t="s">
        <v>206</v>
      </c>
    </row>
    <row r="20" spans="1:13" ht="14.25" x14ac:dyDescent="0.2">
      <c r="A20" s="302"/>
      <c r="B20" s="303" t="s">
        <v>213</v>
      </c>
      <c r="C20" s="304"/>
      <c r="D20" s="304"/>
      <c r="E20" s="304"/>
      <c r="F20" s="304"/>
      <c r="G20" s="304"/>
      <c r="H20" s="304"/>
      <c r="I20" s="304"/>
      <c r="J20" s="304"/>
      <c r="K20" s="304"/>
      <c r="L20" s="304"/>
      <c r="M20" s="305"/>
    </row>
    <row r="21" spans="1:13" ht="15.75" x14ac:dyDescent="0.2">
      <c r="A21" s="298" t="s">
        <v>207</v>
      </c>
      <c r="B21" s="299"/>
      <c r="C21" s="299"/>
      <c r="D21" s="299"/>
      <c r="E21" s="299"/>
      <c r="F21" s="299"/>
      <c r="G21" s="299"/>
      <c r="H21" s="299"/>
      <c r="I21" s="299"/>
      <c r="J21" s="299"/>
      <c r="K21" s="299"/>
      <c r="L21" s="299"/>
      <c r="M21" s="300"/>
    </row>
    <row r="22" spans="1:13" ht="38.25" x14ac:dyDescent="0.2">
      <c r="A22" s="301">
        <v>5</v>
      </c>
      <c r="B22" s="40" t="s">
        <v>208</v>
      </c>
      <c r="C22" s="40" t="s">
        <v>210</v>
      </c>
      <c r="D22" s="49" t="s">
        <v>209</v>
      </c>
      <c r="E22" s="50">
        <v>100</v>
      </c>
      <c r="F22" s="51" t="s">
        <v>18</v>
      </c>
      <c r="G22" s="51" t="s">
        <v>18</v>
      </c>
      <c r="H22" s="51">
        <f>40000*117/100</f>
        <v>46800</v>
      </c>
      <c r="I22" s="51">
        <f>40000*117/100</f>
        <v>46800</v>
      </c>
      <c r="J22" s="49" t="s">
        <v>20</v>
      </c>
      <c r="K22" s="48" t="s">
        <v>100</v>
      </c>
      <c r="L22" s="42"/>
      <c r="M22" s="43" t="s">
        <v>211</v>
      </c>
    </row>
    <row r="23" spans="1:13" ht="14.25" x14ac:dyDescent="0.2">
      <c r="A23" s="302"/>
      <c r="B23" s="303" t="s">
        <v>214</v>
      </c>
      <c r="C23" s="304"/>
      <c r="D23" s="304"/>
      <c r="E23" s="304"/>
      <c r="F23" s="304"/>
      <c r="G23" s="304"/>
      <c r="H23" s="304"/>
      <c r="I23" s="304"/>
      <c r="J23" s="304"/>
      <c r="K23" s="304"/>
      <c r="L23" s="304"/>
      <c r="M23" s="305"/>
    </row>
    <row r="24" spans="1:13" ht="15.75" x14ac:dyDescent="0.2">
      <c r="A24" s="298" t="s">
        <v>217</v>
      </c>
      <c r="B24" s="299"/>
      <c r="C24" s="299"/>
      <c r="D24" s="299"/>
      <c r="E24" s="299"/>
      <c r="F24" s="299"/>
      <c r="G24" s="299"/>
      <c r="H24" s="299"/>
      <c r="I24" s="299"/>
      <c r="J24" s="299"/>
      <c r="K24" s="299"/>
      <c r="L24" s="299"/>
      <c r="M24" s="300"/>
    </row>
    <row r="25" spans="1:13" ht="42.75" x14ac:dyDescent="0.2">
      <c r="A25" s="301">
        <v>6</v>
      </c>
      <c r="B25" s="307" t="s">
        <v>249</v>
      </c>
      <c r="C25" s="307" t="s">
        <v>218</v>
      </c>
      <c r="D25" s="52" t="s">
        <v>219</v>
      </c>
      <c r="E25" s="53">
        <v>100</v>
      </c>
      <c r="F25" s="54" t="s">
        <v>170</v>
      </c>
      <c r="G25" s="54" t="s">
        <v>222</v>
      </c>
      <c r="H25" s="55">
        <v>3.95E-2</v>
      </c>
      <c r="I25" s="54">
        <f>3.95/100*2000000*117/100</f>
        <v>92430</v>
      </c>
      <c r="J25" s="52" t="s">
        <v>20</v>
      </c>
      <c r="K25" s="309" t="s">
        <v>264</v>
      </c>
      <c r="L25" s="319"/>
      <c r="M25" s="312" t="s">
        <v>224</v>
      </c>
    </row>
    <row r="26" spans="1:13" ht="38.25" x14ac:dyDescent="0.2">
      <c r="A26" s="306"/>
      <c r="B26" s="308"/>
      <c r="C26" s="308"/>
      <c r="D26" s="7" t="s">
        <v>220</v>
      </c>
      <c r="E26" s="20">
        <v>90</v>
      </c>
      <c r="F26" s="21" t="s">
        <v>170</v>
      </c>
      <c r="G26" s="21" t="s">
        <v>222</v>
      </c>
      <c r="H26" s="36">
        <v>4.4999999999999998E-2</v>
      </c>
      <c r="I26" s="21">
        <f>4.5/100*2000000*117/100</f>
        <v>105300</v>
      </c>
      <c r="J26" s="7" t="s">
        <v>20</v>
      </c>
      <c r="K26" s="310"/>
      <c r="L26" s="320"/>
      <c r="M26" s="313"/>
    </row>
    <row r="27" spans="1:13" ht="38.25" x14ac:dyDescent="0.2">
      <c r="A27" s="306"/>
      <c r="B27" s="308"/>
      <c r="C27" s="308"/>
      <c r="D27" s="7" t="s">
        <v>221</v>
      </c>
      <c r="E27" s="20">
        <v>80</v>
      </c>
      <c r="F27" s="21" t="s">
        <v>170</v>
      </c>
      <c r="G27" s="21" t="s">
        <v>222</v>
      </c>
      <c r="H27" s="36">
        <v>5.0999999999999997E-2</v>
      </c>
      <c r="I27" s="21">
        <f>5.1/100*2000000*117/100</f>
        <v>119340</v>
      </c>
      <c r="J27" s="7"/>
      <c r="K27" s="310"/>
      <c r="L27" s="320"/>
      <c r="M27" s="313"/>
    </row>
    <row r="28" spans="1:13" ht="14.25" x14ac:dyDescent="0.2">
      <c r="A28" s="302"/>
      <c r="B28" s="303" t="s">
        <v>223</v>
      </c>
      <c r="C28" s="304"/>
      <c r="D28" s="304"/>
      <c r="E28" s="304"/>
      <c r="F28" s="304"/>
      <c r="G28" s="304"/>
      <c r="H28" s="304"/>
      <c r="I28" s="304"/>
      <c r="J28" s="304"/>
      <c r="K28" s="304"/>
      <c r="L28" s="304"/>
      <c r="M28" s="305"/>
    </row>
    <row r="29" spans="1:13" ht="15.75" x14ac:dyDescent="0.2">
      <c r="A29" s="298" t="s">
        <v>225</v>
      </c>
      <c r="B29" s="299"/>
      <c r="C29" s="299"/>
      <c r="D29" s="299"/>
      <c r="E29" s="299"/>
      <c r="F29" s="299"/>
      <c r="G29" s="299"/>
      <c r="H29" s="299"/>
      <c r="I29" s="299"/>
      <c r="J29" s="299"/>
      <c r="K29" s="299"/>
      <c r="L29" s="299"/>
      <c r="M29" s="300"/>
    </row>
    <row r="30" spans="1:13" ht="42.75" x14ac:dyDescent="0.2">
      <c r="A30" s="301">
        <v>7</v>
      </c>
      <c r="B30" s="307" t="s">
        <v>229</v>
      </c>
      <c r="C30" s="307" t="s">
        <v>218</v>
      </c>
      <c r="D30" s="52" t="s">
        <v>221</v>
      </c>
      <c r="E30" s="53">
        <v>100</v>
      </c>
      <c r="F30" s="54" t="s">
        <v>170</v>
      </c>
      <c r="G30" s="54" t="s">
        <v>230</v>
      </c>
      <c r="H30" s="55">
        <v>3.9E-2</v>
      </c>
      <c r="I30" s="54">
        <f>3.9/100*1700000*117/100</f>
        <v>77571</v>
      </c>
      <c r="J30" s="52"/>
      <c r="K30" s="309" t="s">
        <v>264</v>
      </c>
      <c r="L30" s="319"/>
      <c r="M30" s="312" t="s">
        <v>247</v>
      </c>
    </row>
    <row r="31" spans="1:13" ht="38.25" x14ac:dyDescent="0.2">
      <c r="A31" s="306"/>
      <c r="B31" s="308"/>
      <c r="C31" s="308"/>
      <c r="D31" s="7" t="s">
        <v>219</v>
      </c>
      <c r="E31" s="20">
        <v>90</v>
      </c>
      <c r="F31" s="21" t="s">
        <v>170</v>
      </c>
      <c r="G31" s="21" t="s">
        <v>230</v>
      </c>
      <c r="H31" s="36">
        <v>3.95E-2</v>
      </c>
      <c r="I31" s="21">
        <f t="shared" ref="I31" si="1">3.95/100*1700000*117/100</f>
        <v>78565.5</v>
      </c>
      <c r="J31" s="7" t="s">
        <v>20</v>
      </c>
      <c r="K31" s="310"/>
      <c r="L31" s="320"/>
      <c r="M31" s="313"/>
    </row>
    <row r="32" spans="1:13" ht="38.25" x14ac:dyDescent="0.2">
      <c r="A32" s="306"/>
      <c r="B32" s="308"/>
      <c r="C32" s="308"/>
      <c r="D32" s="7" t="s">
        <v>220</v>
      </c>
      <c r="E32" s="20">
        <v>80</v>
      </c>
      <c r="F32" s="21" t="s">
        <v>170</v>
      </c>
      <c r="G32" s="21" t="s">
        <v>230</v>
      </c>
      <c r="H32" s="36">
        <v>4.4999999999999998E-2</v>
      </c>
      <c r="I32" s="21">
        <f>4.5/100*1700000*117/100</f>
        <v>89505</v>
      </c>
      <c r="J32" s="7" t="s">
        <v>20</v>
      </c>
      <c r="K32" s="310"/>
      <c r="L32" s="320"/>
      <c r="M32" s="313"/>
    </row>
    <row r="33" spans="1:13" ht="14.25" x14ac:dyDescent="0.2">
      <c r="A33" s="302"/>
      <c r="B33" s="303" t="s">
        <v>223</v>
      </c>
      <c r="C33" s="304"/>
      <c r="D33" s="304"/>
      <c r="E33" s="304"/>
      <c r="F33" s="304"/>
      <c r="G33" s="304"/>
      <c r="H33" s="304"/>
      <c r="I33" s="304"/>
      <c r="J33" s="304"/>
      <c r="K33" s="304"/>
      <c r="L33" s="304"/>
      <c r="M33" s="305"/>
    </row>
    <row r="34" spans="1:13" ht="15.75" x14ac:dyDescent="0.2">
      <c r="A34" s="298" t="s">
        <v>226</v>
      </c>
      <c r="B34" s="299"/>
      <c r="C34" s="299"/>
      <c r="D34" s="299"/>
      <c r="E34" s="299"/>
      <c r="F34" s="299"/>
      <c r="G34" s="299"/>
      <c r="H34" s="299"/>
      <c r="I34" s="299"/>
      <c r="J34" s="299"/>
      <c r="K34" s="299"/>
      <c r="L34" s="299"/>
      <c r="M34" s="300"/>
    </row>
    <row r="35" spans="1:13" ht="42.75" x14ac:dyDescent="0.2">
      <c r="A35" s="301">
        <v>8</v>
      </c>
      <c r="B35" s="307" t="s">
        <v>231</v>
      </c>
      <c r="C35" s="307" t="s">
        <v>218</v>
      </c>
      <c r="D35" s="52" t="s">
        <v>219</v>
      </c>
      <c r="E35" s="53">
        <v>100</v>
      </c>
      <c r="F35" s="54" t="s">
        <v>170</v>
      </c>
      <c r="G35" s="54" t="s">
        <v>232</v>
      </c>
      <c r="H35" s="55">
        <v>3.95E-2</v>
      </c>
      <c r="I35" s="54">
        <f>3.95/100*3000000*117/100</f>
        <v>138645</v>
      </c>
      <c r="J35" s="52" t="s">
        <v>20</v>
      </c>
      <c r="K35" s="309" t="s">
        <v>264</v>
      </c>
      <c r="L35" s="319"/>
      <c r="M35" s="312" t="s">
        <v>246</v>
      </c>
    </row>
    <row r="36" spans="1:13" ht="38.25" x14ac:dyDescent="0.2">
      <c r="A36" s="306"/>
      <c r="B36" s="308"/>
      <c r="C36" s="308"/>
      <c r="D36" s="7" t="s">
        <v>220</v>
      </c>
      <c r="E36" s="20">
        <v>90</v>
      </c>
      <c r="F36" s="21" t="s">
        <v>170</v>
      </c>
      <c r="G36" s="21" t="s">
        <v>232</v>
      </c>
      <c r="H36" s="36">
        <v>4.4999999999999998E-2</v>
      </c>
      <c r="I36" s="21">
        <f>4.5/100*3000000*117/100</f>
        <v>157950</v>
      </c>
      <c r="J36" s="7" t="s">
        <v>20</v>
      </c>
      <c r="K36" s="310"/>
      <c r="L36" s="320"/>
      <c r="M36" s="313"/>
    </row>
    <row r="37" spans="1:13" ht="38.25" x14ac:dyDescent="0.2">
      <c r="A37" s="306"/>
      <c r="B37" s="308"/>
      <c r="C37" s="308"/>
      <c r="D37" s="7" t="s">
        <v>221</v>
      </c>
      <c r="E37" s="20">
        <v>80</v>
      </c>
      <c r="F37" s="21" t="s">
        <v>170</v>
      </c>
      <c r="G37" s="21" t="s">
        <v>232</v>
      </c>
      <c r="H37" s="36">
        <v>5.0999999999999997E-2</v>
      </c>
      <c r="I37" s="21">
        <f>5.1/100*3000000*117/100</f>
        <v>179010</v>
      </c>
      <c r="J37" s="7"/>
      <c r="K37" s="310"/>
      <c r="L37" s="320"/>
      <c r="M37" s="313"/>
    </row>
    <row r="38" spans="1:13" ht="14.25" x14ac:dyDescent="0.2">
      <c r="A38" s="302"/>
      <c r="B38" s="303" t="s">
        <v>223</v>
      </c>
      <c r="C38" s="304"/>
      <c r="D38" s="304"/>
      <c r="E38" s="304"/>
      <c r="F38" s="304"/>
      <c r="G38" s="304"/>
      <c r="H38" s="304"/>
      <c r="I38" s="304"/>
      <c r="J38" s="304"/>
      <c r="K38" s="304"/>
      <c r="L38" s="304"/>
      <c r="M38" s="305"/>
    </row>
    <row r="39" spans="1:13" ht="15.75" x14ac:dyDescent="0.2">
      <c r="A39" s="298" t="s">
        <v>227</v>
      </c>
      <c r="B39" s="299"/>
      <c r="C39" s="299"/>
      <c r="D39" s="299"/>
      <c r="E39" s="299"/>
      <c r="F39" s="299"/>
      <c r="G39" s="299"/>
      <c r="H39" s="299"/>
      <c r="I39" s="299"/>
      <c r="J39" s="299"/>
      <c r="K39" s="299"/>
      <c r="L39" s="299"/>
      <c r="M39" s="300"/>
    </row>
    <row r="40" spans="1:13" ht="42.75" x14ac:dyDescent="0.2">
      <c r="A40" s="301">
        <v>9</v>
      </c>
      <c r="B40" s="307" t="s">
        <v>236</v>
      </c>
      <c r="C40" s="307" t="s">
        <v>218</v>
      </c>
      <c r="D40" s="52" t="s">
        <v>220</v>
      </c>
      <c r="E40" s="53">
        <v>100</v>
      </c>
      <c r="F40" s="54" t="s">
        <v>170</v>
      </c>
      <c r="G40" s="54" t="s">
        <v>237</v>
      </c>
      <c r="H40" s="55">
        <v>3.9E-2</v>
      </c>
      <c r="I40" s="54">
        <f>3.9/100*2700000*117/100</f>
        <v>123201</v>
      </c>
      <c r="J40" s="52" t="s">
        <v>20</v>
      </c>
      <c r="K40" s="309" t="s">
        <v>264</v>
      </c>
      <c r="L40" s="319"/>
      <c r="M40" s="312"/>
    </row>
    <row r="41" spans="1:13" ht="38.25" x14ac:dyDescent="0.2">
      <c r="A41" s="306"/>
      <c r="B41" s="308"/>
      <c r="C41" s="308"/>
      <c r="D41" s="7" t="s">
        <v>219</v>
      </c>
      <c r="E41" s="20">
        <v>90</v>
      </c>
      <c r="F41" s="21" t="s">
        <v>170</v>
      </c>
      <c r="G41" s="21" t="s">
        <v>237</v>
      </c>
      <c r="H41" s="36">
        <v>3.95E-2</v>
      </c>
      <c r="I41" s="21">
        <f>3.95/100*2700000*117/100</f>
        <v>124780.5</v>
      </c>
      <c r="J41" s="7" t="s">
        <v>20</v>
      </c>
      <c r="K41" s="310"/>
      <c r="L41" s="320"/>
      <c r="M41" s="313"/>
    </row>
    <row r="42" spans="1:13" ht="38.25" x14ac:dyDescent="0.2">
      <c r="A42" s="306"/>
      <c r="B42" s="308"/>
      <c r="C42" s="308"/>
      <c r="D42" s="7" t="s">
        <v>221</v>
      </c>
      <c r="E42" s="20">
        <v>80</v>
      </c>
      <c r="F42" s="21" t="s">
        <v>170</v>
      </c>
      <c r="G42" s="21" t="s">
        <v>237</v>
      </c>
      <c r="H42" s="36">
        <v>0.05</v>
      </c>
      <c r="I42" s="21">
        <f>5/100*2700000*117/100</f>
        <v>157950</v>
      </c>
      <c r="J42" s="7"/>
      <c r="K42" s="310"/>
      <c r="L42" s="320"/>
      <c r="M42" s="313"/>
    </row>
    <row r="43" spans="1:13" ht="14.25" x14ac:dyDescent="0.2">
      <c r="A43" s="302"/>
      <c r="B43" s="303" t="s">
        <v>223</v>
      </c>
      <c r="C43" s="304"/>
      <c r="D43" s="304"/>
      <c r="E43" s="304"/>
      <c r="F43" s="304"/>
      <c r="G43" s="304"/>
      <c r="H43" s="304"/>
      <c r="I43" s="304"/>
      <c r="J43" s="304"/>
      <c r="K43" s="304"/>
      <c r="L43" s="304"/>
      <c r="M43" s="305"/>
    </row>
    <row r="44" spans="1:13" ht="15.75" x14ac:dyDescent="0.2">
      <c r="A44" s="298" t="s">
        <v>228</v>
      </c>
      <c r="B44" s="299"/>
      <c r="C44" s="299"/>
      <c r="D44" s="299"/>
      <c r="E44" s="299"/>
      <c r="F44" s="299"/>
      <c r="G44" s="299"/>
      <c r="H44" s="299"/>
      <c r="I44" s="299"/>
      <c r="J44" s="299"/>
      <c r="K44" s="299"/>
      <c r="L44" s="299"/>
      <c r="M44" s="300"/>
    </row>
    <row r="45" spans="1:13" ht="42.75" x14ac:dyDescent="0.2">
      <c r="A45" s="301">
        <v>10</v>
      </c>
      <c r="B45" s="307" t="s">
        <v>238</v>
      </c>
      <c r="C45" s="307" t="s">
        <v>218</v>
      </c>
      <c r="D45" s="52" t="s">
        <v>219</v>
      </c>
      <c r="E45" s="53">
        <v>100</v>
      </c>
      <c r="F45" s="54" t="s">
        <v>170</v>
      </c>
      <c r="G45" s="54" t="s">
        <v>233</v>
      </c>
      <c r="H45" s="55">
        <v>3.95E-2</v>
      </c>
      <c r="I45" s="54">
        <f>3.95/100*9000000*117/100</f>
        <v>415935</v>
      </c>
      <c r="J45" s="52" t="s">
        <v>20</v>
      </c>
      <c r="K45" s="309" t="s">
        <v>264</v>
      </c>
      <c r="L45" s="319"/>
      <c r="M45" s="312" t="s">
        <v>245</v>
      </c>
    </row>
    <row r="46" spans="1:13" ht="38.25" x14ac:dyDescent="0.2">
      <c r="A46" s="306"/>
      <c r="B46" s="308"/>
      <c r="C46" s="308"/>
      <c r="D46" s="7" t="s">
        <v>220</v>
      </c>
      <c r="E46" s="20">
        <v>90</v>
      </c>
      <c r="F46" s="21" t="s">
        <v>170</v>
      </c>
      <c r="G46" s="21" t="s">
        <v>233</v>
      </c>
      <c r="H46" s="36">
        <v>4.4999999999999998E-2</v>
      </c>
      <c r="I46" s="21">
        <f>4.5/100*9000000*117/100</f>
        <v>473850</v>
      </c>
      <c r="J46" s="7" t="s">
        <v>20</v>
      </c>
      <c r="K46" s="310"/>
      <c r="L46" s="320"/>
      <c r="M46" s="313"/>
    </row>
    <row r="47" spans="1:13" ht="38.25" x14ac:dyDescent="0.2">
      <c r="A47" s="306"/>
      <c r="B47" s="328"/>
      <c r="C47" s="308"/>
      <c r="D47" s="7" t="s">
        <v>221</v>
      </c>
      <c r="E47" s="20">
        <v>80</v>
      </c>
      <c r="F47" s="21" t="s">
        <v>170</v>
      </c>
      <c r="G47" s="21" t="s">
        <v>233</v>
      </c>
      <c r="H47" s="36">
        <v>5.1999999999999998E-2</v>
      </c>
      <c r="I47" s="21">
        <f>5.2/100*9000000*117/100</f>
        <v>547560.00000000012</v>
      </c>
      <c r="J47" s="7"/>
      <c r="K47" s="310"/>
      <c r="L47" s="320"/>
      <c r="M47" s="313"/>
    </row>
    <row r="48" spans="1:13" ht="14.25" x14ac:dyDescent="0.2">
      <c r="A48" s="302"/>
      <c r="B48" s="303" t="s">
        <v>223</v>
      </c>
      <c r="C48" s="304"/>
      <c r="D48" s="304"/>
      <c r="E48" s="304"/>
      <c r="F48" s="304"/>
      <c r="G48" s="304"/>
      <c r="H48" s="304"/>
      <c r="I48" s="304"/>
      <c r="J48" s="304"/>
      <c r="K48" s="304"/>
      <c r="L48" s="304"/>
      <c r="M48" s="305"/>
    </row>
    <row r="49" spans="1:13" ht="15.75" x14ac:dyDescent="0.2">
      <c r="A49" s="298" t="s">
        <v>234</v>
      </c>
      <c r="B49" s="299"/>
      <c r="C49" s="299"/>
      <c r="D49" s="299"/>
      <c r="E49" s="299"/>
      <c r="F49" s="299"/>
      <c r="G49" s="299"/>
      <c r="H49" s="299"/>
      <c r="I49" s="299"/>
      <c r="J49" s="299"/>
      <c r="K49" s="299"/>
      <c r="L49" s="299"/>
      <c r="M49" s="300"/>
    </row>
    <row r="50" spans="1:13" ht="42.75" x14ac:dyDescent="0.2">
      <c r="A50" s="301">
        <v>11</v>
      </c>
      <c r="B50" s="307" t="s">
        <v>239</v>
      </c>
      <c r="C50" s="307" t="s">
        <v>218</v>
      </c>
      <c r="D50" s="52" t="s">
        <v>219</v>
      </c>
      <c r="E50" s="53">
        <v>100</v>
      </c>
      <c r="F50" s="54" t="s">
        <v>170</v>
      </c>
      <c r="G50" s="54" t="s">
        <v>230</v>
      </c>
      <c r="H50" s="55">
        <v>3.95E-2</v>
      </c>
      <c r="I50" s="54">
        <f>3.95/100*1700000*117/100</f>
        <v>78565.5</v>
      </c>
      <c r="J50" s="52" t="s">
        <v>20</v>
      </c>
      <c r="K50" s="309" t="s">
        <v>264</v>
      </c>
      <c r="L50" s="319"/>
      <c r="M50" s="312"/>
    </row>
    <row r="51" spans="1:13" ht="38.25" x14ac:dyDescent="0.2">
      <c r="A51" s="306"/>
      <c r="B51" s="308"/>
      <c r="C51" s="308"/>
      <c r="D51" s="7" t="s">
        <v>220</v>
      </c>
      <c r="E51" s="20">
        <v>90</v>
      </c>
      <c r="F51" s="21" t="s">
        <v>170</v>
      </c>
      <c r="G51" s="21" t="s">
        <v>230</v>
      </c>
      <c r="H51" s="36">
        <v>4.4999999999999998E-2</v>
      </c>
      <c r="I51" s="21">
        <f>4.5/100*1700000*117/100</f>
        <v>89505</v>
      </c>
      <c r="J51" s="7" t="s">
        <v>20</v>
      </c>
      <c r="K51" s="310"/>
      <c r="L51" s="320"/>
      <c r="M51" s="313"/>
    </row>
    <row r="52" spans="1:13" ht="38.25" x14ac:dyDescent="0.2">
      <c r="A52" s="306"/>
      <c r="B52" s="308"/>
      <c r="C52" s="308"/>
      <c r="D52" s="7" t="s">
        <v>221</v>
      </c>
      <c r="E52" s="20">
        <v>90</v>
      </c>
      <c r="F52" s="21" t="s">
        <v>170</v>
      </c>
      <c r="G52" s="21" t="s">
        <v>230</v>
      </c>
      <c r="H52" s="36">
        <v>4.4999999999999998E-2</v>
      </c>
      <c r="I52" s="21">
        <f>4.5/100*1700000*117/100</f>
        <v>89505</v>
      </c>
      <c r="J52" s="7"/>
      <c r="K52" s="310"/>
      <c r="L52" s="320"/>
      <c r="M52" s="313"/>
    </row>
    <row r="53" spans="1:13" ht="14.25" x14ac:dyDescent="0.2">
      <c r="A53" s="302"/>
      <c r="B53" s="303" t="s">
        <v>223</v>
      </c>
      <c r="C53" s="304"/>
      <c r="D53" s="304"/>
      <c r="E53" s="304"/>
      <c r="F53" s="304"/>
      <c r="G53" s="304"/>
      <c r="H53" s="304"/>
      <c r="I53" s="304"/>
      <c r="J53" s="304"/>
      <c r="K53" s="304"/>
      <c r="L53" s="304"/>
      <c r="M53" s="305"/>
    </row>
    <row r="54" spans="1:13" ht="15.75" x14ac:dyDescent="0.2">
      <c r="A54" s="298" t="s">
        <v>235</v>
      </c>
      <c r="B54" s="299"/>
      <c r="C54" s="299"/>
      <c r="D54" s="299"/>
      <c r="E54" s="299"/>
      <c r="F54" s="299"/>
      <c r="G54" s="299"/>
      <c r="H54" s="299"/>
      <c r="I54" s="299"/>
      <c r="J54" s="299"/>
      <c r="K54" s="299"/>
      <c r="L54" s="299"/>
      <c r="M54" s="300"/>
    </row>
    <row r="55" spans="1:13" ht="42.75" x14ac:dyDescent="0.2">
      <c r="A55" s="301">
        <v>12</v>
      </c>
      <c r="B55" s="307" t="s">
        <v>240</v>
      </c>
      <c r="C55" s="307" t="s">
        <v>218</v>
      </c>
      <c r="D55" s="52" t="s">
        <v>219</v>
      </c>
      <c r="E55" s="53">
        <v>100</v>
      </c>
      <c r="F55" s="54" t="s">
        <v>170</v>
      </c>
      <c r="G55" s="54" t="s">
        <v>232</v>
      </c>
      <c r="H55" s="55">
        <v>3.95E-2</v>
      </c>
      <c r="I55" s="54">
        <f>3.95/100*3000000*117/100</f>
        <v>138645</v>
      </c>
      <c r="J55" s="52" t="s">
        <v>20</v>
      </c>
      <c r="K55" s="309" t="s">
        <v>264</v>
      </c>
      <c r="L55" s="319"/>
      <c r="M55" s="312" t="s">
        <v>244</v>
      </c>
    </row>
    <row r="56" spans="1:13" ht="38.25" x14ac:dyDescent="0.2">
      <c r="A56" s="306"/>
      <c r="B56" s="308"/>
      <c r="C56" s="308"/>
      <c r="D56" s="7" t="s">
        <v>220</v>
      </c>
      <c r="E56" s="20">
        <v>90</v>
      </c>
      <c r="F56" s="21" t="s">
        <v>170</v>
      </c>
      <c r="G56" s="21" t="s">
        <v>232</v>
      </c>
      <c r="H56" s="36">
        <v>4.4999999999999998E-2</v>
      </c>
      <c r="I56" s="21">
        <f>4.5/100*3000000*117/100</f>
        <v>157950</v>
      </c>
      <c r="J56" s="7" t="s">
        <v>20</v>
      </c>
      <c r="K56" s="310"/>
      <c r="L56" s="320"/>
      <c r="M56" s="313"/>
    </row>
    <row r="57" spans="1:13" ht="38.25" x14ac:dyDescent="0.2">
      <c r="A57" s="306"/>
      <c r="B57" s="308"/>
      <c r="C57" s="308"/>
      <c r="D57" s="7" t="s">
        <v>221</v>
      </c>
      <c r="E57" s="20">
        <v>90</v>
      </c>
      <c r="F57" s="21" t="s">
        <v>170</v>
      </c>
      <c r="G57" s="21" t="s">
        <v>232</v>
      </c>
      <c r="H57" s="36">
        <v>4.4999999999999998E-2</v>
      </c>
      <c r="I57" s="21">
        <f>4.5/100*3000000*117/100</f>
        <v>157950</v>
      </c>
      <c r="J57" s="7"/>
      <c r="K57" s="310"/>
      <c r="L57" s="320"/>
      <c r="M57" s="313"/>
    </row>
    <row r="58" spans="1:13" ht="14.25" x14ac:dyDescent="0.2">
      <c r="A58" s="302"/>
      <c r="B58" s="303" t="s">
        <v>223</v>
      </c>
      <c r="C58" s="304"/>
      <c r="D58" s="304"/>
      <c r="E58" s="304">
        <v>-92.891566265060206</v>
      </c>
      <c r="F58" s="304"/>
      <c r="G58" s="304"/>
      <c r="H58" s="304">
        <v>0.150329317269077</v>
      </c>
      <c r="I58" s="304"/>
      <c r="J58" s="304"/>
      <c r="K58" s="304"/>
      <c r="L58" s="304"/>
      <c r="M58" s="305"/>
    </row>
    <row r="59" spans="1:13" ht="15.75" x14ac:dyDescent="0.2">
      <c r="A59" s="298" t="s">
        <v>248</v>
      </c>
      <c r="B59" s="299"/>
      <c r="C59" s="299"/>
      <c r="D59" s="299"/>
      <c r="E59" s="299">
        <v>-99.277108433734995</v>
      </c>
      <c r="F59" s="299"/>
      <c r="G59" s="299"/>
      <c r="H59" s="299">
        <v>0.15400100401606501</v>
      </c>
      <c r="I59" s="299"/>
      <c r="J59" s="299"/>
      <c r="K59" s="299"/>
      <c r="L59" s="299"/>
      <c r="M59" s="300"/>
    </row>
    <row r="60" spans="1:13" ht="42.75" x14ac:dyDescent="0.2">
      <c r="A60" s="301">
        <v>13</v>
      </c>
      <c r="B60" s="307" t="s">
        <v>241</v>
      </c>
      <c r="C60" s="307" t="s">
        <v>218</v>
      </c>
      <c r="D60" s="52" t="s">
        <v>221</v>
      </c>
      <c r="E60" s="53">
        <v>100</v>
      </c>
      <c r="F60" s="54" t="s">
        <v>170</v>
      </c>
      <c r="G60" s="54" t="s">
        <v>242</v>
      </c>
      <c r="H60" s="55">
        <v>3.9E-2</v>
      </c>
      <c r="I60" s="54">
        <f>3.9/100*6000000*117/100</f>
        <v>273780</v>
      </c>
      <c r="J60" s="52"/>
      <c r="K60" s="309" t="s">
        <v>264</v>
      </c>
      <c r="L60" s="319"/>
      <c r="M60" s="312" t="s">
        <v>243</v>
      </c>
    </row>
    <row r="61" spans="1:13" ht="38.25" x14ac:dyDescent="0.2">
      <c r="A61" s="306"/>
      <c r="B61" s="308"/>
      <c r="C61" s="308"/>
      <c r="D61" s="7" t="s">
        <v>219</v>
      </c>
      <c r="E61" s="20">
        <v>90</v>
      </c>
      <c r="F61" s="21" t="s">
        <v>170</v>
      </c>
      <c r="G61" s="21" t="s">
        <v>242</v>
      </c>
      <c r="H61" s="36">
        <v>3.95E-2</v>
      </c>
      <c r="I61" s="21">
        <f>3.95/100*6000000*117/100</f>
        <v>277290</v>
      </c>
      <c r="J61" s="7" t="s">
        <v>20</v>
      </c>
      <c r="K61" s="310"/>
      <c r="L61" s="320"/>
      <c r="M61" s="313"/>
    </row>
    <row r="62" spans="1:13" ht="38.25" x14ac:dyDescent="0.2">
      <c r="A62" s="306"/>
      <c r="B62" s="308"/>
      <c r="C62" s="308"/>
      <c r="D62" s="7" t="s">
        <v>220</v>
      </c>
      <c r="E62" s="20">
        <v>80</v>
      </c>
      <c r="F62" s="21" t="s">
        <v>170</v>
      </c>
      <c r="G62" s="21" t="s">
        <v>242</v>
      </c>
      <c r="H62" s="36">
        <v>4.4999999999999998E-2</v>
      </c>
      <c r="I62" s="21">
        <f>4.5/100*6000000*117/100</f>
        <v>315900</v>
      </c>
      <c r="J62" s="7" t="s">
        <v>20</v>
      </c>
      <c r="K62" s="310"/>
      <c r="L62" s="320"/>
      <c r="M62" s="313"/>
    </row>
    <row r="63" spans="1:13" ht="14.25" x14ac:dyDescent="0.2">
      <c r="A63" s="302"/>
      <c r="B63" s="303" t="s">
        <v>223</v>
      </c>
      <c r="C63" s="304"/>
      <c r="D63" s="304"/>
      <c r="E63" s="304"/>
      <c r="F63" s="304"/>
      <c r="G63" s="304"/>
      <c r="H63" s="304"/>
      <c r="I63" s="304"/>
      <c r="J63" s="304"/>
      <c r="K63" s="304"/>
      <c r="L63" s="304"/>
      <c r="M63" s="305"/>
    </row>
    <row r="64" spans="1:13" ht="15.75" x14ac:dyDescent="0.2">
      <c r="A64" s="298" t="s">
        <v>250</v>
      </c>
      <c r="B64" s="299"/>
      <c r="C64" s="299"/>
      <c r="D64" s="299"/>
      <c r="E64" s="299">
        <v>-99.277108433734995</v>
      </c>
      <c r="F64" s="299"/>
      <c r="G64" s="299"/>
      <c r="H64" s="299">
        <v>0.15400100401606501</v>
      </c>
      <c r="I64" s="299"/>
      <c r="J64" s="299"/>
      <c r="K64" s="299"/>
      <c r="L64" s="299"/>
      <c r="M64" s="300"/>
    </row>
    <row r="65" spans="1:13" ht="25.5" x14ac:dyDescent="0.2">
      <c r="A65" s="301">
        <v>14</v>
      </c>
      <c r="B65" s="307" t="s">
        <v>252</v>
      </c>
      <c r="C65" s="307" t="s">
        <v>218</v>
      </c>
      <c r="D65" s="17" t="s">
        <v>253</v>
      </c>
      <c r="E65" s="18">
        <v>100</v>
      </c>
      <c r="F65" s="19" t="s">
        <v>29</v>
      </c>
      <c r="G65" s="19" t="s">
        <v>260</v>
      </c>
      <c r="H65" s="19">
        <f>240*117/100</f>
        <v>280.8</v>
      </c>
      <c r="I65" s="19">
        <f>50*H65*12</f>
        <v>168480</v>
      </c>
      <c r="J65" s="17"/>
      <c r="K65" s="309" t="s">
        <v>46</v>
      </c>
      <c r="L65" s="319"/>
      <c r="M65" s="312"/>
    </row>
    <row r="66" spans="1:13" ht="25.5" x14ac:dyDescent="0.2">
      <c r="A66" s="306"/>
      <c r="B66" s="308"/>
      <c r="C66" s="308"/>
      <c r="D66" s="7" t="s">
        <v>202</v>
      </c>
      <c r="E66" s="20">
        <v>90</v>
      </c>
      <c r="F66" s="21" t="s">
        <v>29</v>
      </c>
      <c r="G66" s="21" t="s">
        <v>261</v>
      </c>
      <c r="H66" s="21">
        <f>247.5*117/100</f>
        <v>289.57499999999999</v>
      </c>
      <c r="I66" s="21">
        <f t="shared" ref="I66:I68" si="2">50*H66*12</f>
        <v>173745</v>
      </c>
      <c r="J66" s="7" t="s">
        <v>20</v>
      </c>
      <c r="K66" s="310"/>
      <c r="L66" s="320"/>
      <c r="M66" s="313"/>
    </row>
    <row r="67" spans="1:13" ht="38.25" x14ac:dyDescent="0.2">
      <c r="A67" s="306"/>
      <c r="B67" s="308"/>
      <c r="C67" s="308"/>
      <c r="D67" s="7" t="s">
        <v>254</v>
      </c>
      <c r="E67" s="20">
        <v>80</v>
      </c>
      <c r="F67" s="21" t="s">
        <v>29</v>
      </c>
      <c r="G67" s="21" t="s">
        <v>262</v>
      </c>
      <c r="H67" s="21">
        <f>252*117/100</f>
        <v>294.83999999999997</v>
      </c>
      <c r="I67" s="21">
        <f t="shared" si="2"/>
        <v>176903.99999999997</v>
      </c>
      <c r="J67" s="7" t="s">
        <v>20</v>
      </c>
      <c r="K67" s="310"/>
      <c r="L67" s="320"/>
      <c r="M67" s="313"/>
    </row>
    <row r="68" spans="1:13" ht="25.5" x14ac:dyDescent="0.2">
      <c r="A68" s="306"/>
      <c r="B68" s="308"/>
      <c r="C68" s="308"/>
      <c r="D68" s="7" t="s">
        <v>255</v>
      </c>
      <c r="E68" s="20">
        <v>70</v>
      </c>
      <c r="F68" s="21" t="s">
        <v>29</v>
      </c>
      <c r="G68" s="21" t="s">
        <v>263</v>
      </c>
      <c r="H68" s="21">
        <f>270*117/100</f>
        <v>315.89999999999998</v>
      </c>
      <c r="I68" s="21">
        <f t="shared" si="2"/>
        <v>189539.99999999997</v>
      </c>
      <c r="J68" s="7"/>
      <c r="K68" s="310"/>
      <c r="L68" s="320"/>
      <c r="M68" s="313"/>
    </row>
    <row r="69" spans="1:13" ht="14.25" x14ac:dyDescent="0.2">
      <c r="A69" s="302"/>
      <c r="B69" s="303"/>
      <c r="C69" s="304"/>
      <c r="D69" s="304"/>
      <c r="E69" s="304"/>
      <c r="F69" s="304"/>
      <c r="G69" s="304"/>
      <c r="H69" s="304"/>
      <c r="I69" s="304"/>
      <c r="J69" s="304"/>
      <c r="K69" s="304"/>
      <c r="L69" s="304"/>
      <c r="M69" s="305"/>
    </row>
    <row r="70" spans="1:13" ht="15.75" x14ac:dyDescent="0.2">
      <c r="A70" s="298" t="s">
        <v>251</v>
      </c>
      <c r="B70" s="299"/>
      <c r="C70" s="299"/>
      <c r="D70" s="299"/>
      <c r="E70" s="299">
        <v>-99.277108433734995</v>
      </c>
      <c r="F70" s="299"/>
      <c r="G70" s="299"/>
      <c r="H70" s="299">
        <v>0.15400100401606501</v>
      </c>
      <c r="I70" s="299"/>
      <c r="J70" s="299"/>
      <c r="K70" s="299"/>
      <c r="L70" s="299"/>
      <c r="M70" s="300"/>
    </row>
    <row r="71" spans="1:13" ht="38.25" x14ac:dyDescent="0.2">
      <c r="A71" s="301">
        <v>15</v>
      </c>
      <c r="B71" s="45" t="s">
        <v>256</v>
      </c>
      <c r="C71" s="45" t="s">
        <v>258</v>
      </c>
      <c r="D71" s="17" t="s">
        <v>259</v>
      </c>
      <c r="E71" s="18">
        <v>100</v>
      </c>
      <c r="F71" s="19" t="s">
        <v>18</v>
      </c>
      <c r="G71" s="19" t="s">
        <v>18</v>
      </c>
      <c r="H71" s="19">
        <f>10000*117/100</f>
        <v>11700</v>
      </c>
      <c r="I71" s="19">
        <f>10000*117/100</f>
        <v>11700</v>
      </c>
      <c r="J71" s="17"/>
      <c r="K71" s="48" t="s">
        <v>100</v>
      </c>
      <c r="L71" s="46"/>
      <c r="M71" s="47"/>
    </row>
    <row r="72" spans="1:13" ht="14.25" x14ac:dyDescent="0.2">
      <c r="A72" s="302"/>
      <c r="B72" s="303" t="s">
        <v>257</v>
      </c>
      <c r="C72" s="304"/>
      <c r="D72" s="304"/>
      <c r="E72" s="304"/>
      <c r="F72" s="304"/>
      <c r="G72" s="304"/>
      <c r="H72" s="304"/>
      <c r="I72" s="304"/>
      <c r="J72" s="304"/>
      <c r="K72" s="304"/>
      <c r="L72" s="304"/>
      <c r="M72" s="305"/>
    </row>
  </sheetData>
  <mergeCells count="101">
    <mergeCell ref="A24:M24"/>
    <mergeCell ref="A25:A28"/>
    <mergeCell ref="B25:B27"/>
    <mergeCell ref="C25:C27"/>
    <mergeCell ref="K25:K27"/>
    <mergeCell ref="L25:L27"/>
    <mergeCell ref="M25:M27"/>
    <mergeCell ref="B28:M28"/>
    <mergeCell ref="B17:M17"/>
    <mergeCell ref="A12:M12"/>
    <mergeCell ref="A13:A14"/>
    <mergeCell ref="B14:M14"/>
    <mergeCell ref="B23:M23"/>
    <mergeCell ref="A22:A23"/>
    <mergeCell ref="A18:M18"/>
    <mergeCell ref="A19:A20"/>
    <mergeCell ref="B20:M20"/>
    <mergeCell ref="A21:M21"/>
    <mergeCell ref="A29:M29"/>
    <mergeCell ref="A30:A33"/>
    <mergeCell ref="B30:B32"/>
    <mergeCell ref="C30:C32"/>
    <mergeCell ref="K30:K32"/>
    <mergeCell ref="L30:L32"/>
    <mergeCell ref="M30:M32"/>
    <mergeCell ref="B33:M33"/>
    <mergeCell ref="A1:A6"/>
    <mergeCell ref="B1:M1"/>
    <mergeCell ref="B2:M2"/>
    <mergeCell ref="B3:M3"/>
    <mergeCell ref="B5:M5"/>
    <mergeCell ref="B4:M4"/>
    <mergeCell ref="A7:M7"/>
    <mergeCell ref="A8:A11"/>
    <mergeCell ref="B8:B10"/>
    <mergeCell ref="C8:C10"/>
    <mergeCell ref="K8:K10"/>
    <mergeCell ref="L8:L10"/>
    <mergeCell ref="M8:M10"/>
    <mergeCell ref="B11:M11"/>
    <mergeCell ref="A15:M15"/>
    <mergeCell ref="A16:A17"/>
    <mergeCell ref="A39:M39"/>
    <mergeCell ref="A40:A43"/>
    <mergeCell ref="B40:B42"/>
    <mergeCell ref="C40:C42"/>
    <mergeCell ref="K40:K42"/>
    <mergeCell ref="L40:L42"/>
    <mergeCell ref="M40:M42"/>
    <mergeCell ref="B43:M43"/>
    <mergeCell ref="A34:M34"/>
    <mergeCell ref="A35:A38"/>
    <mergeCell ref="B35:B37"/>
    <mergeCell ref="C35:C37"/>
    <mergeCell ref="K35:K37"/>
    <mergeCell ref="L35:L37"/>
    <mergeCell ref="M35:M37"/>
    <mergeCell ref="B38:M38"/>
    <mergeCell ref="A49:M49"/>
    <mergeCell ref="A50:A53"/>
    <mergeCell ref="B50:B52"/>
    <mergeCell ref="C50:C52"/>
    <mergeCell ref="K50:K52"/>
    <mergeCell ref="L50:L52"/>
    <mergeCell ref="M50:M52"/>
    <mergeCell ref="B53:M53"/>
    <mergeCell ref="A44:M44"/>
    <mergeCell ref="A45:A48"/>
    <mergeCell ref="B45:B47"/>
    <mergeCell ref="C45:C47"/>
    <mergeCell ref="K45:K47"/>
    <mergeCell ref="L45:L47"/>
    <mergeCell ref="M45:M47"/>
    <mergeCell ref="B48:M48"/>
    <mergeCell ref="A59:M59"/>
    <mergeCell ref="A60:A63"/>
    <mergeCell ref="B60:B62"/>
    <mergeCell ref="C60:C62"/>
    <mergeCell ref="K60:K62"/>
    <mergeCell ref="L60:L62"/>
    <mergeCell ref="M60:M62"/>
    <mergeCell ref="B63:M63"/>
    <mergeCell ref="A54:M54"/>
    <mergeCell ref="A55:A58"/>
    <mergeCell ref="B55:B57"/>
    <mergeCell ref="C55:C57"/>
    <mergeCell ref="K55:K57"/>
    <mergeCell ref="L55:L57"/>
    <mergeCell ref="M55:M57"/>
    <mergeCell ref="B58:M58"/>
    <mergeCell ref="A70:M70"/>
    <mergeCell ref="A71:A72"/>
    <mergeCell ref="B72:M72"/>
    <mergeCell ref="A64:M64"/>
    <mergeCell ref="A65:A69"/>
    <mergeCell ref="B65:B68"/>
    <mergeCell ref="C65:C68"/>
    <mergeCell ref="K65:K68"/>
    <mergeCell ref="L65:L68"/>
    <mergeCell ref="M65:M68"/>
    <mergeCell ref="B69:M69"/>
  </mergeCells>
  <pageMargins left="0.7" right="0.7" top="0.75" bottom="0.75" header="0.3" footer="0.3"/>
  <pageSetup paperSize="9" scale="75"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rightToLeft="1" zoomScale="85" zoomScaleNormal="85" workbookViewId="0">
      <pane ySplit="7" topLeftCell="A11" activePane="bottomLeft" state="frozen"/>
      <selection pane="bottomLeft" activeCell="D24" sqref="D24"/>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0.25" style="9" bestFit="1" customWidth="1"/>
    <col min="8" max="8" width="12.125" style="10" bestFit="1" customWidth="1"/>
    <col min="9" max="9" width="12.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185</v>
      </c>
      <c r="C1" s="315"/>
      <c r="D1" s="315"/>
      <c r="E1" s="315"/>
      <c r="F1" s="315"/>
      <c r="G1" s="315"/>
      <c r="H1" s="315"/>
      <c r="I1" s="315"/>
      <c r="J1" s="315"/>
      <c r="K1" s="315"/>
      <c r="L1" s="315"/>
      <c r="M1" s="315"/>
    </row>
    <row r="2" spans="1:13" ht="14.25" x14ac:dyDescent="0.2">
      <c r="A2" s="314"/>
      <c r="B2" s="346" t="s">
        <v>22</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15</v>
      </c>
      <c r="C4" s="318"/>
      <c r="D4" s="318"/>
      <c r="E4" s="318"/>
      <c r="F4" s="318"/>
      <c r="G4" s="318"/>
      <c r="H4" s="318"/>
      <c r="I4" s="318"/>
      <c r="J4" s="318"/>
      <c r="K4" s="318"/>
      <c r="L4" s="318"/>
      <c r="M4" s="318"/>
    </row>
    <row r="5" spans="1:13" ht="14.25" x14ac:dyDescent="0.2">
      <c r="A5" s="314"/>
      <c r="B5" s="356" t="s">
        <v>1</v>
      </c>
      <c r="C5" s="357"/>
      <c r="D5" s="357"/>
      <c r="E5" s="357"/>
      <c r="F5" s="357"/>
      <c r="G5" s="357"/>
      <c r="H5" s="357"/>
      <c r="I5" s="357"/>
      <c r="J5" s="357"/>
      <c r="K5" s="357"/>
      <c r="L5" s="357"/>
      <c r="M5" s="358"/>
    </row>
    <row r="6" spans="1:13" ht="14.25" x14ac:dyDescent="0.2">
      <c r="A6" s="314"/>
      <c r="B6" s="347" t="s">
        <v>186</v>
      </c>
      <c r="C6" s="348"/>
      <c r="D6" s="348"/>
      <c r="E6" s="348"/>
      <c r="F6" s="348"/>
      <c r="G6" s="348"/>
      <c r="H6" s="348"/>
      <c r="I6" s="348"/>
      <c r="J6" s="348"/>
      <c r="K6" s="348"/>
      <c r="L6" s="348"/>
      <c r="M6" s="349"/>
    </row>
    <row r="7" spans="1:13" ht="47.25" x14ac:dyDescent="0.2">
      <c r="A7" s="314"/>
      <c r="B7" s="37" t="s">
        <v>2</v>
      </c>
      <c r="C7" s="2" t="s">
        <v>3</v>
      </c>
      <c r="D7" s="3" t="s">
        <v>4</v>
      </c>
      <c r="E7" s="3" t="s">
        <v>5</v>
      </c>
      <c r="F7" s="3" t="s">
        <v>6</v>
      </c>
      <c r="G7" s="3" t="s">
        <v>7</v>
      </c>
      <c r="H7" s="4" t="s">
        <v>8</v>
      </c>
      <c r="I7" s="5" t="s">
        <v>9</v>
      </c>
      <c r="J7" s="3" t="s">
        <v>10</v>
      </c>
      <c r="K7" s="3" t="s">
        <v>11</v>
      </c>
      <c r="L7" s="6" t="s">
        <v>12</v>
      </c>
      <c r="M7" s="3" t="s">
        <v>13</v>
      </c>
    </row>
    <row r="8" spans="1:13" ht="15.75" x14ac:dyDescent="0.2">
      <c r="A8" s="298" t="s">
        <v>143</v>
      </c>
      <c r="B8" s="299"/>
      <c r="C8" s="299"/>
      <c r="D8" s="299"/>
      <c r="E8" s="299"/>
      <c r="F8" s="299"/>
      <c r="G8" s="299"/>
      <c r="H8" s="299"/>
      <c r="I8" s="299"/>
      <c r="J8" s="299"/>
      <c r="K8" s="299"/>
      <c r="L8" s="299"/>
      <c r="M8" s="300"/>
    </row>
    <row r="9" spans="1:13" ht="14.25" x14ac:dyDescent="0.2">
      <c r="A9" s="301">
        <v>1</v>
      </c>
      <c r="B9" s="307" t="s">
        <v>145</v>
      </c>
      <c r="C9" s="307" t="s">
        <v>146</v>
      </c>
      <c r="D9" s="17" t="s">
        <v>147</v>
      </c>
      <c r="E9" s="18">
        <v>100</v>
      </c>
      <c r="F9" s="19" t="s">
        <v>151</v>
      </c>
      <c r="G9" s="19" t="s">
        <v>152</v>
      </c>
      <c r="H9" s="19">
        <f>2500*117/100</f>
        <v>2925</v>
      </c>
      <c r="I9" s="19">
        <f>H9*25</f>
        <v>73125</v>
      </c>
      <c r="J9" s="17" t="s">
        <v>20</v>
      </c>
      <c r="K9" s="309" t="s">
        <v>46</v>
      </c>
      <c r="L9" s="319"/>
      <c r="M9" s="312">
        <v>253008</v>
      </c>
    </row>
    <row r="10" spans="1:13" ht="25.5" x14ac:dyDescent="0.2">
      <c r="A10" s="306"/>
      <c r="B10" s="308"/>
      <c r="C10" s="308"/>
      <c r="D10" s="7" t="s">
        <v>148</v>
      </c>
      <c r="E10" s="20">
        <v>90</v>
      </c>
      <c r="F10" s="21" t="s">
        <v>151</v>
      </c>
      <c r="G10" s="21" t="s">
        <v>152</v>
      </c>
      <c r="H10" s="21">
        <f>2700*117/100</f>
        <v>3159</v>
      </c>
      <c r="I10" s="21">
        <f t="shared" ref="I10:I12" si="0">H10*25</f>
        <v>78975</v>
      </c>
      <c r="J10" s="7" t="s">
        <v>20</v>
      </c>
      <c r="K10" s="310"/>
      <c r="L10" s="320"/>
      <c r="M10" s="313"/>
    </row>
    <row r="11" spans="1:13" ht="25.5" x14ac:dyDescent="0.2">
      <c r="A11" s="306"/>
      <c r="B11" s="308"/>
      <c r="C11" s="308"/>
      <c r="D11" s="7" t="s">
        <v>149</v>
      </c>
      <c r="E11" s="20">
        <v>80</v>
      </c>
      <c r="F11" s="21" t="s">
        <v>151</v>
      </c>
      <c r="G11" s="21" t="s">
        <v>152</v>
      </c>
      <c r="H11" s="21">
        <f>3800*117/100</f>
        <v>4446</v>
      </c>
      <c r="I11" s="21">
        <f t="shared" si="0"/>
        <v>111150</v>
      </c>
      <c r="J11" s="7" t="s">
        <v>20</v>
      </c>
      <c r="K11" s="310"/>
      <c r="L11" s="320"/>
      <c r="M11" s="313"/>
    </row>
    <row r="12" spans="1:13" ht="14.25" x14ac:dyDescent="0.2">
      <c r="A12" s="306"/>
      <c r="B12" s="308"/>
      <c r="C12" s="308"/>
      <c r="D12" s="7" t="s">
        <v>150</v>
      </c>
      <c r="E12" s="20">
        <v>70</v>
      </c>
      <c r="F12" s="21" t="s">
        <v>151</v>
      </c>
      <c r="G12" s="21" t="s">
        <v>152</v>
      </c>
      <c r="H12" s="21">
        <f>7000*117/100</f>
        <v>8190</v>
      </c>
      <c r="I12" s="21">
        <f t="shared" si="0"/>
        <v>204750</v>
      </c>
      <c r="J12" s="7" t="s">
        <v>20</v>
      </c>
      <c r="K12" s="310"/>
      <c r="L12" s="320"/>
      <c r="M12" s="313"/>
    </row>
    <row r="13" spans="1:13" ht="13.9" customHeight="1" x14ac:dyDescent="0.2">
      <c r="A13" s="302"/>
      <c r="B13" s="303"/>
      <c r="C13" s="304"/>
      <c r="D13" s="304"/>
      <c r="E13" s="304"/>
      <c r="F13" s="304"/>
      <c r="G13" s="304"/>
      <c r="H13" s="304"/>
      <c r="I13" s="304"/>
      <c r="J13" s="304"/>
      <c r="K13" s="304"/>
      <c r="L13" s="304"/>
      <c r="M13" s="305"/>
    </row>
    <row r="14" spans="1:13" ht="15.75" x14ac:dyDescent="0.2">
      <c r="A14" s="298" t="s">
        <v>144</v>
      </c>
      <c r="B14" s="299"/>
      <c r="C14" s="299"/>
      <c r="D14" s="299"/>
      <c r="E14" s="299"/>
      <c r="F14" s="299"/>
      <c r="G14" s="299"/>
      <c r="H14" s="299"/>
      <c r="I14" s="299"/>
      <c r="J14" s="299"/>
      <c r="K14" s="299"/>
      <c r="L14" s="299"/>
      <c r="M14" s="300"/>
    </row>
    <row r="15" spans="1:13" ht="27" customHeight="1" x14ac:dyDescent="0.2">
      <c r="A15" s="301">
        <v>2</v>
      </c>
      <c r="B15" s="307" t="s">
        <v>153</v>
      </c>
      <c r="C15" s="307" t="s">
        <v>146</v>
      </c>
      <c r="D15" s="17" t="s">
        <v>156</v>
      </c>
      <c r="E15" s="18">
        <v>100</v>
      </c>
      <c r="F15" s="19" t="s">
        <v>151</v>
      </c>
      <c r="G15" s="19" t="s">
        <v>152</v>
      </c>
      <c r="H15" s="19">
        <f>1200*117/100</f>
        <v>1404</v>
      </c>
      <c r="I15" s="19">
        <f>25*H15</f>
        <v>35100</v>
      </c>
      <c r="J15" s="17"/>
      <c r="K15" s="309" t="s">
        <v>184</v>
      </c>
      <c r="L15" s="319"/>
      <c r="M15" s="312">
        <v>253008</v>
      </c>
    </row>
    <row r="16" spans="1:13" ht="21" customHeight="1" x14ac:dyDescent="0.2">
      <c r="A16" s="306"/>
      <c r="B16" s="308"/>
      <c r="C16" s="308"/>
      <c r="D16" s="7" t="s">
        <v>157</v>
      </c>
      <c r="E16" s="20">
        <v>90</v>
      </c>
      <c r="F16" s="21" t="s">
        <v>151</v>
      </c>
      <c r="G16" s="21" t="s">
        <v>152</v>
      </c>
      <c r="H16" s="21">
        <f>1400*117/100</f>
        <v>1638</v>
      </c>
      <c r="I16" s="21">
        <f t="shared" ref="I16:I18" si="1">25*H16</f>
        <v>40950</v>
      </c>
      <c r="J16" s="7" t="s">
        <v>20</v>
      </c>
      <c r="K16" s="310"/>
      <c r="L16" s="320"/>
      <c r="M16" s="313"/>
    </row>
    <row r="17" spans="1:13" ht="31.9" customHeight="1" x14ac:dyDescent="0.2">
      <c r="A17" s="306"/>
      <c r="B17" s="308"/>
      <c r="C17" s="308"/>
      <c r="D17" s="7" t="s">
        <v>158</v>
      </c>
      <c r="E17" s="20">
        <v>80</v>
      </c>
      <c r="F17" s="21" t="s">
        <v>151</v>
      </c>
      <c r="G17" s="21" t="s">
        <v>152</v>
      </c>
      <c r="H17" s="21">
        <f>1500*117/100</f>
        <v>1755</v>
      </c>
      <c r="I17" s="21">
        <f t="shared" si="1"/>
        <v>43875</v>
      </c>
      <c r="J17" s="7" t="s">
        <v>20</v>
      </c>
      <c r="K17" s="310"/>
      <c r="L17" s="320"/>
      <c r="M17" s="313"/>
    </row>
    <row r="18" spans="1:13" ht="25.5" x14ac:dyDescent="0.2">
      <c r="A18" s="306"/>
      <c r="B18" s="308"/>
      <c r="C18" s="308"/>
      <c r="D18" s="7" t="s">
        <v>159</v>
      </c>
      <c r="E18" s="20">
        <v>70</v>
      </c>
      <c r="F18" s="21" t="s">
        <v>151</v>
      </c>
      <c r="G18" s="21" t="s">
        <v>152</v>
      </c>
      <c r="H18" s="21">
        <f>1940*117/100</f>
        <v>2269.8000000000002</v>
      </c>
      <c r="I18" s="21">
        <f t="shared" si="1"/>
        <v>56745.000000000007</v>
      </c>
      <c r="J18" s="7"/>
      <c r="K18" s="310"/>
      <c r="L18" s="320"/>
      <c r="M18" s="313"/>
    </row>
    <row r="19" spans="1:13" ht="14.25" x14ac:dyDescent="0.2">
      <c r="A19" s="302"/>
      <c r="B19" s="303"/>
      <c r="C19" s="304"/>
      <c r="D19" s="304"/>
      <c r="E19" s="304"/>
      <c r="F19" s="304"/>
      <c r="G19" s="304"/>
      <c r="H19" s="304"/>
      <c r="I19" s="304"/>
      <c r="J19" s="304"/>
      <c r="K19" s="304"/>
      <c r="L19" s="304"/>
      <c r="M19" s="305"/>
    </row>
    <row r="20" spans="1:13" ht="15.75" x14ac:dyDescent="0.2">
      <c r="A20" s="298" t="s">
        <v>187</v>
      </c>
      <c r="B20" s="299"/>
      <c r="C20" s="299"/>
      <c r="D20" s="299"/>
      <c r="E20" s="299"/>
      <c r="F20" s="299"/>
      <c r="G20" s="299"/>
      <c r="H20" s="299"/>
      <c r="I20" s="299"/>
      <c r="J20" s="299"/>
      <c r="K20" s="299"/>
      <c r="L20" s="299"/>
      <c r="M20" s="300"/>
    </row>
    <row r="21" spans="1:13" ht="38.25" x14ac:dyDescent="0.2">
      <c r="A21" s="301">
        <v>3</v>
      </c>
      <c r="B21" s="307" t="s">
        <v>160</v>
      </c>
      <c r="C21" s="307" t="s">
        <v>146</v>
      </c>
      <c r="D21" s="17" t="s">
        <v>161</v>
      </c>
      <c r="E21" s="18">
        <v>100</v>
      </c>
      <c r="F21" s="19" t="s">
        <v>29</v>
      </c>
      <c r="G21" s="19" t="s">
        <v>164</v>
      </c>
      <c r="H21" s="19">
        <f>150*117/100</f>
        <v>175.5</v>
      </c>
      <c r="I21" s="19">
        <f>H21*40*20</f>
        <v>140400</v>
      </c>
      <c r="J21" s="17" t="s">
        <v>20</v>
      </c>
      <c r="K21" s="309" t="s">
        <v>46</v>
      </c>
      <c r="L21" s="319"/>
      <c r="M21" s="312">
        <v>224001</v>
      </c>
    </row>
    <row r="22" spans="1:13" ht="38.25" x14ac:dyDescent="0.2">
      <c r="A22" s="306"/>
      <c r="B22" s="308"/>
      <c r="C22" s="308"/>
      <c r="D22" s="7" t="s">
        <v>162</v>
      </c>
      <c r="E22" s="20">
        <v>90</v>
      </c>
      <c r="F22" s="21" t="s">
        <v>29</v>
      </c>
      <c r="G22" s="21" t="s">
        <v>164</v>
      </c>
      <c r="H22" s="21">
        <f>200*117/100</f>
        <v>234</v>
      </c>
      <c r="I22" s="21">
        <f t="shared" ref="I22:I24" si="2">H22*40*20</f>
        <v>187200</v>
      </c>
      <c r="J22" s="7" t="s">
        <v>20</v>
      </c>
      <c r="K22" s="310"/>
      <c r="L22" s="320"/>
      <c r="M22" s="313"/>
    </row>
    <row r="23" spans="1:13" ht="38.25" x14ac:dyDescent="0.2">
      <c r="A23" s="306"/>
      <c r="B23" s="308"/>
      <c r="C23" s="308"/>
      <c r="D23" s="7" t="s">
        <v>53</v>
      </c>
      <c r="E23" s="20">
        <v>90</v>
      </c>
      <c r="F23" s="21" t="s">
        <v>29</v>
      </c>
      <c r="G23" s="21" t="s">
        <v>164</v>
      </c>
      <c r="H23" s="21">
        <f>200*117/100</f>
        <v>234</v>
      </c>
      <c r="I23" s="21">
        <f t="shared" si="2"/>
        <v>187200</v>
      </c>
      <c r="J23" s="7" t="s">
        <v>20</v>
      </c>
      <c r="K23" s="310"/>
      <c r="L23" s="320"/>
      <c r="M23" s="313"/>
    </row>
    <row r="24" spans="1:13" ht="38.25" x14ac:dyDescent="0.2">
      <c r="A24" s="306"/>
      <c r="B24" s="308"/>
      <c r="C24" s="308"/>
      <c r="D24" s="7" t="s">
        <v>163</v>
      </c>
      <c r="E24" s="20">
        <v>80</v>
      </c>
      <c r="F24" s="21" t="s">
        <v>29</v>
      </c>
      <c r="G24" s="21" t="s">
        <v>164</v>
      </c>
      <c r="H24" s="21">
        <f>220*117/100</f>
        <v>257.39999999999998</v>
      </c>
      <c r="I24" s="21">
        <f t="shared" si="2"/>
        <v>205920</v>
      </c>
      <c r="J24" s="7" t="s">
        <v>20</v>
      </c>
      <c r="K24" s="310"/>
      <c r="L24" s="320"/>
      <c r="M24" s="313"/>
    </row>
    <row r="25" spans="1:13" ht="14.25" x14ac:dyDescent="0.2">
      <c r="A25" s="302"/>
      <c r="B25" s="303"/>
      <c r="C25" s="304"/>
      <c r="D25" s="304"/>
      <c r="E25" s="304"/>
      <c r="F25" s="304"/>
      <c r="G25" s="304"/>
      <c r="H25" s="304"/>
      <c r="I25" s="304"/>
      <c r="J25" s="304"/>
      <c r="K25" s="304"/>
      <c r="L25" s="304"/>
      <c r="M25" s="305"/>
    </row>
    <row r="26" spans="1:13" ht="15.75" x14ac:dyDescent="0.2">
      <c r="A26" s="298" t="s">
        <v>154</v>
      </c>
      <c r="B26" s="299"/>
      <c r="C26" s="299"/>
      <c r="D26" s="299"/>
      <c r="E26" s="299"/>
      <c r="F26" s="299"/>
      <c r="G26" s="299"/>
      <c r="H26" s="299"/>
      <c r="I26" s="299"/>
      <c r="J26" s="299"/>
      <c r="K26" s="299"/>
      <c r="L26" s="299"/>
      <c r="M26" s="300"/>
    </row>
    <row r="27" spans="1:13" ht="25.5" x14ac:dyDescent="0.2">
      <c r="A27" s="301">
        <v>4</v>
      </c>
      <c r="B27" s="307" t="s">
        <v>165</v>
      </c>
      <c r="C27" s="307" t="s">
        <v>146</v>
      </c>
      <c r="D27" s="17" t="s">
        <v>167</v>
      </c>
      <c r="E27" s="18">
        <v>100</v>
      </c>
      <c r="F27" s="19" t="s">
        <v>170</v>
      </c>
      <c r="G27" s="19" t="s">
        <v>172</v>
      </c>
      <c r="H27" s="38">
        <v>4.7E-2</v>
      </c>
      <c r="I27" s="19">
        <f>3200000*4.7/100</f>
        <v>150400</v>
      </c>
      <c r="J27" s="17"/>
      <c r="K27" s="309" t="s">
        <v>182</v>
      </c>
      <c r="L27" s="319"/>
      <c r="M27" s="312">
        <v>224001</v>
      </c>
    </row>
    <row r="28" spans="1:13" ht="25.5" x14ac:dyDescent="0.2">
      <c r="A28" s="306"/>
      <c r="B28" s="308"/>
      <c r="C28" s="308"/>
      <c r="D28" s="7" t="s">
        <v>166</v>
      </c>
      <c r="E28" s="20">
        <v>88</v>
      </c>
      <c r="F28" s="21" t="s">
        <v>170</v>
      </c>
      <c r="G28" s="21" t="s">
        <v>171</v>
      </c>
      <c r="H28" s="36">
        <v>4.7E-2</v>
      </c>
      <c r="I28" s="21">
        <f>3200000*4.7/100</f>
        <v>150400</v>
      </c>
      <c r="J28" s="7" t="s">
        <v>20</v>
      </c>
      <c r="K28" s="310"/>
      <c r="L28" s="320"/>
      <c r="M28" s="313"/>
    </row>
    <row r="29" spans="1:13" ht="25.5" x14ac:dyDescent="0.2">
      <c r="A29" s="306"/>
      <c r="B29" s="308"/>
      <c r="C29" s="308"/>
      <c r="D29" s="7" t="s">
        <v>168</v>
      </c>
      <c r="E29" s="20">
        <v>80</v>
      </c>
      <c r="F29" s="21" t="s">
        <v>170</v>
      </c>
      <c r="G29" s="21" t="s">
        <v>173</v>
      </c>
      <c r="H29" s="36">
        <v>7.0000000000000007E-2</v>
      </c>
      <c r="I29" s="21">
        <f>3200000*7/100</f>
        <v>224000</v>
      </c>
      <c r="J29" s="7" t="s">
        <v>20</v>
      </c>
      <c r="K29" s="310"/>
      <c r="L29" s="320"/>
      <c r="M29" s="313"/>
    </row>
    <row r="30" spans="1:13" ht="25.5" x14ac:dyDescent="0.2">
      <c r="A30" s="306"/>
      <c r="B30" s="308"/>
      <c r="C30" s="308"/>
      <c r="D30" s="7" t="s">
        <v>169</v>
      </c>
      <c r="E30" s="20">
        <v>70</v>
      </c>
      <c r="F30" s="21" t="s">
        <v>170</v>
      </c>
      <c r="G30" s="21" t="s">
        <v>174</v>
      </c>
      <c r="H30" s="36">
        <v>7.4999999999999997E-2</v>
      </c>
      <c r="I30" s="21">
        <f>3200000*7.5/100</f>
        <v>240000</v>
      </c>
      <c r="J30" s="7" t="s">
        <v>20</v>
      </c>
      <c r="K30" s="310"/>
      <c r="L30" s="320"/>
      <c r="M30" s="313"/>
    </row>
    <row r="31" spans="1:13" ht="14.25" x14ac:dyDescent="0.2">
      <c r="A31" s="302"/>
      <c r="B31" s="303"/>
      <c r="C31" s="304"/>
      <c r="D31" s="304"/>
      <c r="E31" s="304"/>
      <c r="F31" s="304"/>
      <c r="G31" s="304"/>
      <c r="H31" s="304"/>
      <c r="I31" s="304"/>
      <c r="J31" s="304"/>
      <c r="K31" s="304"/>
      <c r="L31" s="304"/>
      <c r="M31" s="305"/>
    </row>
    <row r="32" spans="1:13" ht="15.75" x14ac:dyDescent="0.2">
      <c r="A32" s="298" t="s">
        <v>155</v>
      </c>
      <c r="B32" s="299"/>
      <c r="C32" s="299"/>
      <c r="D32" s="299"/>
      <c r="E32" s="299"/>
      <c r="F32" s="299"/>
      <c r="G32" s="299"/>
      <c r="H32" s="299"/>
      <c r="I32" s="299"/>
      <c r="J32" s="299"/>
      <c r="K32" s="299"/>
      <c r="L32" s="299"/>
      <c r="M32" s="300"/>
    </row>
    <row r="33" spans="1:13" ht="25.5" x14ac:dyDescent="0.2">
      <c r="A33" s="301">
        <v>5</v>
      </c>
      <c r="B33" s="307" t="s">
        <v>175</v>
      </c>
      <c r="C33" s="307" t="s">
        <v>52</v>
      </c>
      <c r="D33" s="17" t="s">
        <v>176</v>
      </c>
      <c r="E33" s="18">
        <v>100</v>
      </c>
      <c r="F33" s="19" t="s">
        <v>29</v>
      </c>
      <c r="G33" s="19" t="s">
        <v>180</v>
      </c>
      <c r="H33" s="19">
        <f>190*117/100</f>
        <v>222.3</v>
      </c>
      <c r="I33" s="19">
        <f>H33*400</f>
        <v>88920</v>
      </c>
      <c r="J33" s="17" t="s">
        <v>20</v>
      </c>
      <c r="K33" s="309" t="s">
        <v>183</v>
      </c>
      <c r="L33" s="319"/>
      <c r="M33" s="312" t="s">
        <v>181</v>
      </c>
    </row>
    <row r="34" spans="1:13" ht="25.5" x14ac:dyDescent="0.2">
      <c r="A34" s="306"/>
      <c r="B34" s="308"/>
      <c r="C34" s="308"/>
      <c r="D34" s="7" t="s">
        <v>177</v>
      </c>
      <c r="E34" s="20">
        <v>90</v>
      </c>
      <c r="F34" s="21" t="s">
        <v>29</v>
      </c>
      <c r="G34" s="21" t="s">
        <v>180</v>
      </c>
      <c r="H34" s="21">
        <f>198*117/100</f>
        <v>231.66</v>
      </c>
      <c r="I34" s="21">
        <f t="shared" ref="I34:I36" si="3">H34*400</f>
        <v>92664</v>
      </c>
      <c r="J34" s="7" t="s">
        <v>20</v>
      </c>
      <c r="K34" s="310"/>
      <c r="L34" s="320"/>
      <c r="M34" s="313"/>
    </row>
    <row r="35" spans="1:13" ht="25.5" x14ac:dyDescent="0.2">
      <c r="A35" s="306"/>
      <c r="B35" s="308"/>
      <c r="C35" s="308"/>
      <c r="D35" s="7" t="s">
        <v>178</v>
      </c>
      <c r="E35" s="20">
        <v>90</v>
      </c>
      <c r="F35" s="21" t="s">
        <v>29</v>
      </c>
      <c r="G35" s="21" t="s">
        <v>180</v>
      </c>
      <c r="H35" s="21">
        <f>230*117/100</f>
        <v>269.10000000000002</v>
      </c>
      <c r="I35" s="21">
        <f t="shared" si="3"/>
        <v>107640.00000000001</v>
      </c>
      <c r="J35" s="7" t="s">
        <v>20</v>
      </c>
      <c r="K35" s="310"/>
      <c r="L35" s="320"/>
      <c r="M35" s="313"/>
    </row>
    <row r="36" spans="1:13" ht="25.5" x14ac:dyDescent="0.2">
      <c r="A36" s="306"/>
      <c r="B36" s="308"/>
      <c r="C36" s="308"/>
      <c r="D36" s="7" t="s">
        <v>179</v>
      </c>
      <c r="E36" s="20">
        <v>80</v>
      </c>
      <c r="F36" s="21" t="s">
        <v>29</v>
      </c>
      <c r="G36" s="21" t="s">
        <v>180</v>
      </c>
      <c r="H36" s="21">
        <f>260*117/100</f>
        <v>304.2</v>
      </c>
      <c r="I36" s="21">
        <f t="shared" si="3"/>
        <v>121680</v>
      </c>
      <c r="J36" s="7" t="s">
        <v>20</v>
      </c>
      <c r="K36" s="310"/>
      <c r="L36" s="320"/>
      <c r="M36" s="313"/>
    </row>
    <row r="37" spans="1:13" ht="14.25" x14ac:dyDescent="0.2">
      <c r="A37" s="302"/>
      <c r="B37" s="303"/>
      <c r="C37" s="304"/>
      <c r="D37" s="304"/>
      <c r="E37" s="304"/>
      <c r="F37" s="304"/>
      <c r="G37" s="304"/>
      <c r="H37" s="304"/>
      <c r="I37" s="304"/>
      <c r="J37" s="304"/>
      <c r="K37" s="304"/>
      <c r="L37" s="304"/>
      <c r="M37" s="305"/>
    </row>
  </sheetData>
  <mergeCells count="47">
    <mergeCell ref="A32:M32"/>
    <mergeCell ref="A33:A37"/>
    <mergeCell ref="B33:B36"/>
    <mergeCell ref="C33:C36"/>
    <mergeCell ref="K33:K36"/>
    <mergeCell ref="L33:L36"/>
    <mergeCell ref="M33:M36"/>
    <mergeCell ref="B37:M37"/>
    <mergeCell ref="A26:M26"/>
    <mergeCell ref="A27:A31"/>
    <mergeCell ref="B27:B30"/>
    <mergeCell ref="C27:C30"/>
    <mergeCell ref="K27:K30"/>
    <mergeCell ref="L27:L30"/>
    <mergeCell ref="M27:M30"/>
    <mergeCell ref="B31:M31"/>
    <mergeCell ref="A20:M20"/>
    <mergeCell ref="A21:A25"/>
    <mergeCell ref="B21:B24"/>
    <mergeCell ref="C21:C24"/>
    <mergeCell ref="K21:K24"/>
    <mergeCell ref="L21:L24"/>
    <mergeCell ref="M21:M24"/>
    <mergeCell ref="B25:M25"/>
    <mergeCell ref="A14:M14"/>
    <mergeCell ref="A15:A19"/>
    <mergeCell ref="B15:B18"/>
    <mergeCell ref="C15:C18"/>
    <mergeCell ref="K15:K18"/>
    <mergeCell ref="L15:L18"/>
    <mergeCell ref="M15:M18"/>
    <mergeCell ref="B19:M19"/>
    <mergeCell ref="A8:M8"/>
    <mergeCell ref="A9:A13"/>
    <mergeCell ref="B9:B12"/>
    <mergeCell ref="C9:C12"/>
    <mergeCell ref="K9:K12"/>
    <mergeCell ref="L9:L12"/>
    <mergeCell ref="M9:M12"/>
    <mergeCell ref="B13:M13"/>
    <mergeCell ref="A1:A7"/>
    <mergeCell ref="B1:M1"/>
    <mergeCell ref="B2:M2"/>
    <mergeCell ref="B3:M3"/>
    <mergeCell ref="B4:M4"/>
    <mergeCell ref="B5:M5"/>
    <mergeCell ref="B6:M6"/>
  </mergeCells>
  <pageMargins left="0.7" right="0.7" top="0.75" bottom="0.75" header="0.3" footer="0.3"/>
  <pageSetup paperSize="9" scale="77"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rightToLeft="1" zoomScale="85" zoomScaleNormal="85" workbookViewId="0">
      <pane ySplit="8" topLeftCell="A20" activePane="bottomLeft" state="frozen"/>
      <selection pane="bottomLeft" activeCell="B34" sqref="B34"/>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0.25" style="9" bestFit="1" customWidth="1"/>
    <col min="8" max="8" width="12.125" style="10" bestFit="1" customWidth="1"/>
    <col min="9" max="9" width="12.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139</v>
      </c>
      <c r="C1" s="315"/>
      <c r="D1" s="315"/>
      <c r="E1" s="315"/>
      <c r="F1" s="315"/>
      <c r="G1" s="315"/>
      <c r="H1" s="315"/>
      <c r="I1" s="315"/>
      <c r="J1" s="315"/>
      <c r="K1" s="315"/>
      <c r="L1" s="315"/>
      <c r="M1" s="315"/>
    </row>
    <row r="2" spans="1:13" ht="14.25" x14ac:dyDescent="0.2">
      <c r="A2" s="314"/>
      <c r="B2" s="346" t="s">
        <v>142</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113</v>
      </c>
      <c r="C4" s="318"/>
      <c r="D4" s="318"/>
      <c r="E4" s="318"/>
      <c r="F4" s="318"/>
      <c r="G4" s="318"/>
      <c r="H4" s="318"/>
      <c r="I4" s="318"/>
      <c r="J4" s="318"/>
      <c r="K4" s="318"/>
      <c r="L4" s="318"/>
      <c r="M4" s="318"/>
    </row>
    <row r="5" spans="1:13" ht="14.25" x14ac:dyDescent="0.2">
      <c r="A5" s="314"/>
      <c r="B5" s="318" t="s">
        <v>140</v>
      </c>
      <c r="C5" s="318"/>
      <c r="D5" s="318"/>
      <c r="E5" s="318"/>
      <c r="F5" s="318"/>
      <c r="G5" s="318"/>
      <c r="H5" s="318"/>
      <c r="I5" s="318"/>
      <c r="J5" s="318"/>
      <c r="K5" s="318"/>
      <c r="L5" s="318"/>
      <c r="M5" s="318"/>
    </row>
    <row r="6" spans="1:13" ht="14.25" x14ac:dyDescent="0.2">
      <c r="A6" s="314"/>
      <c r="B6" s="318" t="s">
        <v>141</v>
      </c>
      <c r="C6" s="318"/>
      <c r="D6" s="318"/>
      <c r="E6" s="318"/>
      <c r="F6" s="318"/>
      <c r="G6" s="318"/>
      <c r="H6" s="318"/>
      <c r="I6" s="318"/>
      <c r="J6" s="318"/>
      <c r="K6" s="318"/>
      <c r="L6" s="318"/>
      <c r="M6" s="318"/>
    </row>
    <row r="7" spans="1:13" ht="14.25" x14ac:dyDescent="0.2">
      <c r="A7" s="314"/>
      <c r="B7" s="356" t="s">
        <v>1</v>
      </c>
      <c r="C7" s="357"/>
      <c r="D7" s="357"/>
      <c r="E7" s="357"/>
      <c r="F7" s="357"/>
      <c r="G7" s="357"/>
      <c r="H7" s="357"/>
      <c r="I7" s="357"/>
      <c r="J7" s="357"/>
      <c r="K7" s="357"/>
      <c r="L7" s="357"/>
      <c r="M7" s="358"/>
    </row>
    <row r="8" spans="1:13" ht="47.25" x14ac:dyDescent="0.2">
      <c r="A8" s="314"/>
      <c r="B8" s="31" t="s">
        <v>2</v>
      </c>
      <c r="C8" s="2" t="s">
        <v>3</v>
      </c>
      <c r="D8" s="3" t="s">
        <v>4</v>
      </c>
      <c r="E8" s="3" t="s">
        <v>5</v>
      </c>
      <c r="F8" s="3" t="s">
        <v>6</v>
      </c>
      <c r="G8" s="3" t="s">
        <v>7</v>
      </c>
      <c r="H8" s="4" t="s">
        <v>8</v>
      </c>
      <c r="I8" s="5" t="s">
        <v>9</v>
      </c>
      <c r="J8" s="3" t="s">
        <v>10</v>
      </c>
      <c r="K8" s="3" t="s">
        <v>11</v>
      </c>
      <c r="L8" s="6" t="s">
        <v>12</v>
      </c>
      <c r="M8" s="3" t="s">
        <v>13</v>
      </c>
    </row>
    <row r="9" spans="1:13" ht="15.75" x14ac:dyDescent="0.2">
      <c r="A9" s="298" t="s">
        <v>105</v>
      </c>
      <c r="B9" s="299"/>
      <c r="C9" s="299"/>
      <c r="D9" s="299"/>
      <c r="E9" s="299"/>
      <c r="F9" s="299"/>
      <c r="G9" s="299"/>
      <c r="H9" s="299"/>
      <c r="I9" s="299"/>
      <c r="J9" s="299"/>
      <c r="K9" s="299"/>
      <c r="L9" s="299"/>
      <c r="M9" s="300"/>
    </row>
    <row r="10" spans="1:13" ht="25.5" x14ac:dyDescent="0.2">
      <c r="A10" s="301">
        <v>1</v>
      </c>
      <c r="B10" s="307" t="s">
        <v>106</v>
      </c>
      <c r="C10" s="307" t="s">
        <v>107</v>
      </c>
      <c r="D10" s="7" t="s">
        <v>108</v>
      </c>
      <c r="E10" s="20">
        <v>76</v>
      </c>
      <c r="F10" s="21" t="s">
        <v>18</v>
      </c>
      <c r="G10" s="21" t="s">
        <v>18</v>
      </c>
      <c r="H10" s="21">
        <f>19850*117/100</f>
        <v>23224.5</v>
      </c>
      <c r="I10" s="21">
        <f>19850*117/100</f>
        <v>23224.5</v>
      </c>
      <c r="J10" s="7" t="s">
        <v>20</v>
      </c>
      <c r="K10" s="309" t="s">
        <v>46</v>
      </c>
      <c r="L10" s="319"/>
      <c r="M10" s="312">
        <v>1832000750</v>
      </c>
    </row>
    <row r="11" spans="1:13" ht="25.5" x14ac:dyDescent="0.2">
      <c r="A11" s="306"/>
      <c r="B11" s="308"/>
      <c r="C11" s="308"/>
      <c r="D11" s="17" t="s">
        <v>109</v>
      </c>
      <c r="E11" s="18">
        <v>90</v>
      </c>
      <c r="F11" s="19" t="s">
        <v>18</v>
      </c>
      <c r="G11" s="19" t="s">
        <v>18</v>
      </c>
      <c r="H11" s="19">
        <f>25000*117/100</f>
        <v>29250</v>
      </c>
      <c r="I11" s="19">
        <f>25000*117/100</f>
        <v>29250</v>
      </c>
      <c r="J11" s="17" t="s">
        <v>20</v>
      </c>
      <c r="K11" s="310"/>
      <c r="L11" s="320"/>
      <c r="M11" s="313"/>
    </row>
    <row r="12" spans="1:13" ht="25.5" x14ac:dyDescent="0.2">
      <c r="A12" s="306"/>
      <c r="B12" s="308"/>
      <c r="C12" s="308"/>
      <c r="D12" s="7" t="s">
        <v>110</v>
      </c>
      <c r="E12" s="20">
        <v>71</v>
      </c>
      <c r="F12" s="21" t="s">
        <v>18</v>
      </c>
      <c r="G12" s="21" t="s">
        <v>18</v>
      </c>
      <c r="H12" s="21">
        <f>35000*117/100</f>
        <v>40950</v>
      </c>
      <c r="I12" s="21">
        <f>35000*117/100</f>
        <v>40950</v>
      </c>
      <c r="J12" s="7" t="s">
        <v>20</v>
      </c>
      <c r="K12" s="310"/>
      <c r="L12" s="320"/>
      <c r="M12" s="313"/>
    </row>
    <row r="13" spans="1:13" ht="25.5" x14ac:dyDescent="0.2">
      <c r="A13" s="306"/>
      <c r="B13" s="308"/>
      <c r="C13" s="308"/>
      <c r="D13" s="7" t="s">
        <v>111</v>
      </c>
      <c r="E13" s="20">
        <v>46</v>
      </c>
      <c r="F13" s="21" t="s">
        <v>18</v>
      </c>
      <c r="G13" s="21" t="s">
        <v>18</v>
      </c>
      <c r="H13" s="21">
        <f>40000*117/100</f>
        <v>46800</v>
      </c>
      <c r="I13" s="21">
        <f>40000*117/100</f>
        <v>46800</v>
      </c>
      <c r="J13" s="7"/>
      <c r="K13" s="310"/>
      <c r="L13" s="320"/>
      <c r="M13" s="313"/>
    </row>
    <row r="14" spans="1:13" ht="13.9" customHeight="1" x14ac:dyDescent="0.2">
      <c r="A14" s="302"/>
      <c r="B14" s="303"/>
      <c r="C14" s="304"/>
      <c r="D14" s="304"/>
      <c r="E14" s="304"/>
      <c r="F14" s="304"/>
      <c r="G14" s="304"/>
      <c r="H14" s="304"/>
      <c r="I14" s="304"/>
      <c r="J14" s="304"/>
      <c r="K14" s="304"/>
      <c r="L14" s="304"/>
      <c r="M14" s="305"/>
    </row>
    <row r="15" spans="1:13" ht="15.75" x14ac:dyDescent="0.2">
      <c r="A15" s="298" t="s">
        <v>114</v>
      </c>
      <c r="B15" s="299"/>
      <c r="C15" s="299"/>
      <c r="D15" s="299"/>
      <c r="E15" s="299"/>
      <c r="F15" s="299"/>
      <c r="G15" s="299"/>
      <c r="H15" s="299"/>
      <c r="I15" s="299"/>
      <c r="J15" s="299"/>
      <c r="K15" s="299"/>
      <c r="L15" s="299"/>
      <c r="M15" s="300"/>
    </row>
    <row r="16" spans="1:13" ht="38.25" x14ac:dyDescent="0.2">
      <c r="A16" s="301">
        <v>2</v>
      </c>
      <c r="B16" s="32" t="s">
        <v>117</v>
      </c>
      <c r="C16" s="32" t="s">
        <v>118</v>
      </c>
      <c r="D16" s="17" t="s">
        <v>119</v>
      </c>
      <c r="E16" s="18">
        <v>100</v>
      </c>
      <c r="F16" s="19" t="s">
        <v>18</v>
      </c>
      <c r="G16" s="19" t="s">
        <v>69</v>
      </c>
      <c r="H16" s="19">
        <f>1755*117/100</f>
        <v>2053.35</v>
      </c>
      <c r="I16" s="19">
        <f>12*H16</f>
        <v>24640.199999999997</v>
      </c>
      <c r="J16" s="17" t="s">
        <v>20</v>
      </c>
      <c r="K16" s="33" t="s">
        <v>100</v>
      </c>
      <c r="L16" s="34"/>
      <c r="M16" s="35">
        <v>1616000980</v>
      </c>
    </row>
    <row r="17" spans="1:13" ht="14.25" x14ac:dyDescent="0.2">
      <c r="A17" s="302"/>
      <c r="B17" s="303" t="s">
        <v>73</v>
      </c>
      <c r="C17" s="304"/>
      <c r="D17" s="304"/>
      <c r="E17" s="304"/>
      <c r="F17" s="304"/>
      <c r="G17" s="304"/>
      <c r="H17" s="304"/>
      <c r="I17" s="304"/>
      <c r="J17" s="304"/>
      <c r="K17" s="304"/>
      <c r="L17" s="304"/>
      <c r="M17" s="305"/>
    </row>
    <row r="18" spans="1:13" ht="15.75" x14ac:dyDescent="0.2">
      <c r="A18" s="298" t="s">
        <v>115</v>
      </c>
      <c r="B18" s="299"/>
      <c r="C18" s="299"/>
      <c r="D18" s="299"/>
      <c r="E18" s="299"/>
      <c r="F18" s="299"/>
      <c r="G18" s="299"/>
      <c r="H18" s="299"/>
      <c r="I18" s="299"/>
      <c r="J18" s="299"/>
      <c r="K18" s="299"/>
      <c r="L18" s="299"/>
      <c r="M18" s="300"/>
    </row>
    <row r="19" spans="1:13" ht="51" x14ac:dyDescent="0.2">
      <c r="A19" s="301">
        <v>3</v>
      </c>
      <c r="B19" s="32" t="s">
        <v>121</v>
      </c>
      <c r="C19" s="32" t="s">
        <v>118</v>
      </c>
      <c r="D19" s="17" t="s">
        <v>120</v>
      </c>
      <c r="E19" s="18">
        <v>100</v>
      </c>
      <c r="F19" s="19" t="s">
        <v>18</v>
      </c>
      <c r="G19" s="19" t="s">
        <v>69</v>
      </c>
      <c r="H19" s="19">
        <f>6000*117/100</f>
        <v>7020</v>
      </c>
      <c r="I19" s="19">
        <f>12*H19</f>
        <v>84240</v>
      </c>
      <c r="J19" s="17" t="s">
        <v>20</v>
      </c>
      <c r="K19" s="33" t="s">
        <v>100</v>
      </c>
      <c r="L19" s="34"/>
      <c r="M19" s="35">
        <v>1616000980</v>
      </c>
    </row>
    <row r="20" spans="1:13" ht="14.25" x14ac:dyDescent="0.2">
      <c r="A20" s="302"/>
      <c r="B20" s="303" t="s">
        <v>73</v>
      </c>
      <c r="C20" s="304"/>
      <c r="D20" s="304"/>
      <c r="E20" s="304"/>
      <c r="F20" s="304"/>
      <c r="G20" s="304"/>
      <c r="H20" s="304"/>
      <c r="I20" s="304"/>
      <c r="J20" s="304"/>
      <c r="K20" s="304"/>
      <c r="L20" s="304"/>
      <c r="M20" s="305"/>
    </row>
    <row r="21" spans="1:13" ht="15.75" x14ac:dyDescent="0.2">
      <c r="A21" s="298" t="s">
        <v>116</v>
      </c>
      <c r="B21" s="299"/>
      <c r="C21" s="299"/>
      <c r="D21" s="299"/>
      <c r="E21" s="299"/>
      <c r="F21" s="299"/>
      <c r="G21" s="299"/>
      <c r="H21" s="299"/>
      <c r="I21" s="299"/>
      <c r="J21" s="299"/>
      <c r="K21" s="299"/>
      <c r="L21" s="299"/>
      <c r="M21" s="300"/>
    </row>
    <row r="22" spans="1:13" ht="14.25" x14ac:dyDescent="0.2">
      <c r="A22" s="301">
        <v>4</v>
      </c>
      <c r="B22" s="307" t="s">
        <v>122</v>
      </c>
      <c r="C22" s="307" t="s">
        <v>123</v>
      </c>
      <c r="D22" s="17" t="s">
        <v>124</v>
      </c>
      <c r="E22" s="18">
        <v>100</v>
      </c>
      <c r="F22" s="19" t="s">
        <v>29</v>
      </c>
      <c r="G22" s="19" t="s">
        <v>128</v>
      </c>
      <c r="H22" s="19">
        <f>220*117/100</f>
        <v>257.39999999999998</v>
      </c>
      <c r="I22" s="19">
        <f>H22*300</f>
        <v>77220</v>
      </c>
      <c r="J22" s="17" t="s">
        <v>20</v>
      </c>
      <c r="K22" s="309" t="s">
        <v>46</v>
      </c>
      <c r="L22" s="319"/>
      <c r="M22" s="312">
        <v>1614000550</v>
      </c>
    </row>
    <row r="23" spans="1:13" ht="14.25" x14ac:dyDescent="0.2">
      <c r="A23" s="306"/>
      <c r="B23" s="308"/>
      <c r="C23" s="308"/>
      <c r="D23" s="7" t="s">
        <v>125</v>
      </c>
      <c r="E23" s="20">
        <v>90</v>
      </c>
      <c r="F23" s="21" t="s">
        <v>29</v>
      </c>
      <c r="G23" s="21" t="s">
        <v>128</v>
      </c>
      <c r="H23" s="21">
        <f>237*117/100</f>
        <v>277.29000000000002</v>
      </c>
      <c r="I23" s="21">
        <f t="shared" ref="I23:I25" si="0">H23*300</f>
        <v>83187</v>
      </c>
      <c r="J23" s="7" t="s">
        <v>20</v>
      </c>
      <c r="K23" s="310"/>
      <c r="L23" s="320"/>
      <c r="M23" s="313"/>
    </row>
    <row r="24" spans="1:13" ht="25.5" x14ac:dyDescent="0.2">
      <c r="A24" s="306"/>
      <c r="B24" s="308"/>
      <c r="C24" s="308"/>
      <c r="D24" s="7" t="s">
        <v>126</v>
      </c>
      <c r="E24" s="20">
        <v>80</v>
      </c>
      <c r="F24" s="21" t="s">
        <v>29</v>
      </c>
      <c r="G24" s="21" t="s">
        <v>128</v>
      </c>
      <c r="H24" s="21">
        <f>350*117/100</f>
        <v>409.5</v>
      </c>
      <c r="I24" s="21">
        <f t="shared" si="0"/>
        <v>122850</v>
      </c>
      <c r="J24" s="7" t="s">
        <v>20</v>
      </c>
      <c r="K24" s="310"/>
      <c r="L24" s="320"/>
      <c r="M24" s="313"/>
    </row>
    <row r="25" spans="1:13" ht="25.5" x14ac:dyDescent="0.2">
      <c r="A25" s="306"/>
      <c r="B25" s="308"/>
      <c r="C25" s="308"/>
      <c r="D25" s="7" t="s">
        <v>127</v>
      </c>
      <c r="E25" s="20">
        <v>64</v>
      </c>
      <c r="F25" s="21" t="s">
        <v>29</v>
      </c>
      <c r="G25" s="21" t="s">
        <v>128</v>
      </c>
      <c r="H25" s="21">
        <f>400*117/100</f>
        <v>468</v>
      </c>
      <c r="I25" s="21">
        <f t="shared" si="0"/>
        <v>140400</v>
      </c>
      <c r="J25" s="7" t="s">
        <v>20</v>
      </c>
      <c r="K25" s="310"/>
      <c r="L25" s="320"/>
      <c r="M25" s="313"/>
    </row>
    <row r="26" spans="1:13" ht="14.25" x14ac:dyDescent="0.2">
      <c r="A26" s="302"/>
      <c r="B26" s="303"/>
      <c r="C26" s="304"/>
      <c r="D26" s="304"/>
      <c r="E26" s="304"/>
      <c r="F26" s="304"/>
      <c r="G26" s="304"/>
      <c r="H26" s="304"/>
      <c r="I26" s="304"/>
      <c r="J26" s="304"/>
      <c r="K26" s="304"/>
      <c r="L26" s="304"/>
      <c r="M26" s="305"/>
    </row>
    <row r="27" spans="1:13" ht="15.75" x14ac:dyDescent="0.2">
      <c r="A27" s="298" t="s">
        <v>129</v>
      </c>
      <c r="B27" s="299"/>
      <c r="C27" s="299"/>
      <c r="D27" s="299"/>
      <c r="E27" s="299"/>
      <c r="F27" s="299"/>
      <c r="G27" s="299"/>
      <c r="H27" s="299"/>
      <c r="I27" s="299"/>
      <c r="J27" s="299"/>
      <c r="K27" s="299"/>
      <c r="L27" s="299"/>
      <c r="M27" s="300"/>
    </row>
    <row r="28" spans="1:13" ht="14.25" x14ac:dyDescent="0.2">
      <c r="A28" s="301">
        <v>5</v>
      </c>
      <c r="B28" s="307" t="s">
        <v>131</v>
      </c>
      <c r="C28" s="307" t="s">
        <v>83</v>
      </c>
      <c r="D28" s="17" t="s">
        <v>124</v>
      </c>
      <c r="E28" s="18">
        <v>100</v>
      </c>
      <c r="F28" s="19" t="s">
        <v>29</v>
      </c>
      <c r="G28" s="19" t="s">
        <v>30</v>
      </c>
      <c r="H28" s="19">
        <f>210*117/100</f>
        <v>245.7</v>
      </c>
      <c r="I28" s="19">
        <f>H28*100</f>
        <v>24570</v>
      </c>
      <c r="J28" s="17" t="s">
        <v>20</v>
      </c>
      <c r="K28" s="309" t="s">
        <v>46</v>
      </c>
      <c r="L28" s="319"/>
      <c r="M28" s="312" t="s">
        <v>132</v>
      </c>
    </row>
    <row r="29" spans="1:13" ht="14.25" x14ac:dyDescent="0.2">
      <c r="A29" s="306"/>
      <c r="B29" s="308"/>
      <c r="C29" s="308"/>
      <c r="D29" s="7" t="s">
        <v>40</v>
      </c>
      <c r="E29" s="20">
        <v>94</v>
      </c>
      <c r="F29" s="21" t="s">
        <v>29</v>
      </c>
      <c r="G29" s="21" t="s">
        <v>30</v>
      </c>
      <c r="H29" s="21">
        <f>210*117/100</f>
        <v>245.7</v>
      </c>
      <c r="I29" s="21">
        <f>H29*100</f>
        <v>24570</v>
      </c>
      <c r="J29" s="7" t="s">
        <v>20</v>
      </c>
      <c r="K29" s="310"/>
      <c r="L29" s="320"/>
      <c r="M29" s="313"/>
    </row>
    <row r="30" spans="1:13" ht="25.5" x14ac:dyDescent="0.2">
      <c r="A30" s="306"/>
      <c r="B30" s="308"/>
      <c r="C30" s="308"/>
      <c r="D30" s="7" t="s">
        <v>138</v>
      </c>
      <c r="E30" s="20">
        <v>84</v>
      </c>
      <c r="F30" s="21" t="s">
        <v>29</v>
      </c>
      <c r="G30" s="21" t="s">
        <v>30</v>
      </c>
      <c r="H30" s="21">
        <f>220*117/100</f>
        <v>257.39999999999998</v>
      </c>
      <c r="I30" s="21">
        <f t="shared" ref="I30:I31" si="1">H30*100</f>
        <v>25739.999999999996</v>
      </c>
      <c r="J30" s="7" t="s">
        <v>20</v>
      </c>
      <c r="K30" s="310"/>
      <c r="L30" s="320"/>
      <c r="M30" s="313"/>
    </row>
    <row r="31" spans="1:13" ht="25.5" x14ac:dyDescent="0.2">
      <c r="A31" s="306"/>
      <c r="B31" s="308"/>
      <c r="C31" s="308"/>
      <c r="D31" s="7" t="s">
        <v>42</v>
      </c>
      <c r="E31" s="20">
        <v>74</v>
      </c>
      <c r="F31" s="21" t="s">
        <v>29</v>
      </c>
      <c r="G31" s="21" t="s">
        <v>30</v>
      </c>
      <c r="H31" s="21">
        <f>228*117/100</f>
        <v>266.76</v>
      </c>
      <c r="I31" s="21">
        <f t="shared" si="1"/>
        <v>26676</v>
      </c>
      <c r="J31" s="7" t="s">
        <v>20</v>
      </c>
      <c r="K31" s="310"/>
      <c r="L31" s="320"/>
      <c r="M31" s="313"/>
    </row>
    <row r="32" spans="1:13" ht="14.25" x14ac:dyDescent="0.2">
      <c r="A32" s="302"/>
      <c r="B32" s="303"/>
      <c r="C32" s="304"/>
      <c r="D32" s="304"/>
      <c r="E32" s="304"/>
      <c r="F32" s="304"/>
      <c r="G32" s="304"/>
      <c r="H32" s="304"/>
      <c r="I32" s="304"/>
      <c r="J32" s="304"/>
      <c r="K32" s="304"/>
      <c r="L32" s="304"/>
      <c r="M32" s="305"/>
    </row>
    <row r="33" spans="1:13" ht="15.75" x14ac:dyDescent="0.2">
      <c r="A33" s="298" t="s">
        <v>130</v>
      </c>
      <c r="B33" s="299"/>
      <c r="C33" s="299"/>
      <c r="D33" s="299"/>
      <c r="E33" s="299"/>
      <c r="F33" s="299"/>
      <c r="G33" s="299"/>
      <c r="H33" s="299"/>
      <c r="I33" s="299"/>
      <c r="J33" s="299"/>
      <c r="K33" s="299"/>
      <c r="L33" s="299"/>
      <c r="M33" s="300"/>
    </row>
    <row r="34" spans="1:13" ht="63.75" x14ac:dyDescent="0.2">
      <c r="A34" s="301">
        <v>6</v>
      </c>
      <c r="B34" s="32" t="s">
        <v>133</v>
      </c>
      <c r="C34" s="32" t="s">
        <v>134</v>
      </c>
      <c r="D34" s="17" t="s">
        <v>135</v>
      </c>
      <c r="E34" s="18">
        <v>100</v>
      </c>
      <c r="F34" s="19" t="s">
        <v>29</v>
      </c>
      <c r="G34" s="19" t="s">
        <v>136</v>
      </c>
      <c r="H34" s="19">
        <f>282*117/100</f>
        <v>329.94</v>
      </c>
      <c r="I34" s="19">
        <f>30*H34</f>
        <v>9898.2000000000007</v>
      </c>
      <c r="J34" s="17"/>
      <c r="K34" s="33" t="s">
        <v>100</v>
      </c>
      <c r="L34" s="34"/>
      <c r="M34" s="35"/>
    </row>
    <row r="35" spans="1:13" ht="14.25" x14ac:dyDescent="0.2">
      <c r="A35" s="302"/>
      <c r="B35" s="303" t="s">
        <v>137</v>
      </c>
      <c r="C35" s="304"/>
      <c r="D35" s="304"/>
      <c r="E35" s="304"/>
      <c r="F35" s="304"/>
      <c r="G35" s="304"/>
      <c r="H35" s="304"/>
      <c r="I35" s="304"/>
      <c r="J35" s="304"/>
      <c r="K35" s="304"/>
      <c r="L35" s="304"/>
      <c r="M35" s="305"/>
    </row>
  </sheetData>
  <mergeCells count="41">
    <mergeCell ref="B5:M5"/>
    <mergeCell ref="A9:M9"/>
    <mergeCell ref="A10:A14"/>
    <mergeCell ref="B10:B13"/>
    <mergeCell ref="C10:C13"/>
    <mergeCell ref="K10:K13"/>
    <mergeCell ref="L10:L13"/>
    <mergeCell ref="M10:M13"/>
    <mergeCell ref="B14:M14"/>
    <mergeCell ref="A1:A8"/>
    <mergeCell ref="B1:M1"/>
    <mergeCell ref="B2:M2"/>
    <mergeCell ref="B3:M3"/>
    <mergeCell ref="B6:M6"/>
    <mergeCell ref="B7:M7"/>
    <mergeCell ref="B4:M4"/>
    <mergeCell ref="A18:M18"/>
    <mergeCell ref="A19:A20"/>
    <mergeCell ref="B20:M20"/>
    <mergeCell ref="A15:M15"/>
    <mergeCell ref="A16:A17"/>
    <mergeCell ref="B17:M17"/>
    <mergeCell ref="A21:M21"/>
    <mergeCell ref="A22:A26"/>
    <mergeCell ref="B22:B25"/>
    <mergeCell ref="C22:C25"/>
    <mergeCell ref="K22:K25"/>
    <mergeCell ref="L22:L25"/>
    <mergeCell ref="M22:M25"/>
    <mergeCell ref="B26:M26"/>
    <mergeCell ref="A33:M33"/>
    <mergeCell ref="A34:A35"/>
    <mergeCell ref="B35:M35"/>
    <mergeCell ref="A27:M27"/>
    <mergeCell ref="A28:A32"/>
    <mergeCell ref="B28:B31"/>
    <mergeCell ref="C28:C31"/>
    <mergeCell ref="K28:K31"/>
    <mergeCell ref="L28:L31"/>
    <mergeCell ref="M28:M31"/>
    <mergeCell ref="B32:M32"/>
  </mergeCells>
  <pageMargins left="0.7" right="0.7" top="0.75" bottom="0.75" header="0.3" footer="0.3"/>
  <pageSetup paperSize="9" scale="7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rightToLeft="1" zoomScale="85" zoomScaleNormal="85" workbookViewId="0">
      <pane ySplit="7" topLeftCell="A8" activePane="bottomLeft" state="frozen"/>
      <selection pane="bottomLeft" activeCell="D12" sqref="D12"/>
    </sheetView>
  </sheetViews>
  <sheetFormatPr defaultColWidth="8.75" defaultRowHeight="15" x14ac:dyDescent="0.2"/>
  <cols>
    <col min="1" max="1" width="4.25" customWidth="1"/>
    <col min="2" max="2" width="21.125" style="8" bestFit="1" customWidth="1"/>
    <col min="4" max="4" width="7.25" customWidth="1"/>
    <col min="5" max="5" width="7.75" customWidth="1"/>
    <col min="7" max="7" width="8.75" style="9"/>
    <col min="8" max="8" width="12.125" style="10" bestFit="1" customWidth="1"/>
    <col min="9" max="9" width="12.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103</v>
      </c>
      <c r="C1" s="315"/>
      <c r="D1" s="315"/>
      <c r="E1" s="315"/>
      <c r="F1" s="315"/>
      <c r="G1" s="315"/>
      <c r="H1" s="315"/>
      <c r="I1" s="315"/>
      <c r="J1" s="315"/>
      <c r="K1" s="315"/>
      <c r="L1" s="315"/>
      <c r="M1" s="315"/>
    </row>
    <row r="2" spans="1:13" ht="14.25" x14ac:dyDescent="0.2">
      <c r="A2" s="314"/>
      <c r="B2" s="346" t="s">
        <v>112</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15</v>
      </c>
      <c r="C4" s="318"/>
      <c r="D4" s="318"/>
      <c r="E4" s="318"/>
      <c r="F4" s="318"/>
      <c r="G4" s="318"/>
      <c r="H4" s="318"/>
      <c r="I4" s="318"/>
      <c r="J4" s="318"/>
      <c r="K4" s="318"/>
      <c r="L4" s="318"/>
      <c r="M4" s="318"/>
    </row>
    <row r="5" spans="1:13" ht="14.25" x14ac:dyDescent="0.2">
      <c r="A5" s="314"/>
      <c r="B5" s="318" t="s">
        <v>113</v>
      </c>
      <c r="C5" s="318"/>
      <c r="D5" s="318"/>
      <c r="E5" s="318"/>
      <c r="F5" s="318"/>
      <c r="G5" s="318"/>
      <c r="H5" s="318"/>
      <c r="I5" s="318"/>
      <c r="J5" s="318"/>
      <c r="K5" s="318"/>
      <c r="L5" s="318"/>
      <c r="M5" s="318"/>
    </row>
    <row r="6" spans="1:13" ht="14.25" x14ac:dyDescent="0.2">
      <c r="A6" s="314"/>
      <c r="B6" s="356" t="s">
        <v>1</v>
      </c>
      <c r="C6" s="357"/>
      <c r="D6" s="357"/>
      <c r="E6" s="357"/>
      <c r="F6" s="357"/>
      <c r="G6" s="357"/>
      <c r="H6" s="357"/>
      <c r="I6" s="357"/>
      <c r="J6" s="357"/>
      <c r="K6" s="357"/>
      <c r="L6" s="357"/>
      <c r="M6" s="358"/>
    </row>
    <row r="7" spans="1:13" ht="47.25" x14ac:dyDescent="0.2">
      <c r="A7" s="314"/>
      <c r="B7" s="26" t="s">
        <v>2</v>
      </c>
      <c r="C7" s="2" t="s">
        <v>3</v>
      </c>
      <c r="D7" s="3" t="s">
        <v>4</v>
      </c>
      <c r="E7" s="3" t="s">
        <v>5</v>
      </c>
      <c r="F7" s="3" t="s">
        <v>6</v>
      </c>
      <c r="G7" s="3" t="s">
        <v>7</v>
      </c>
      <c r="H7" s="4" t="s">
        <v>8</v>
      </c>
      <c r="I7" s="5" t="s">
        <v>9</v>
      </c>
      <c r="J7" s="3" t="s">
        <v>10</v>
      </c>
      <c r="K7" s="3" t="s">
        <v>11</v>
      </c>
      <c r="L7" s="6" t="s">
        <v>12</v>
      </c>
      <c r="M7" s="3" t="s">
        <v>13</v>
      </c>
    </row>
    <row r="8" spans="1:13" ht="15.75" x14ac:dyDescent="0.2">
      <c r="A8" s="298" t="s">
        <v>60</v>
      </c>
      <c r="B8" s="299"/>
      <c r="C8" s="299"/>
      <c r="D8" s="299"/>
      <c r="E8" s="299"/>
      <c r="F8" s="299"/>
      <c r="G8" s="299"/>
      <c r="H8" s="299"/>
      <c r="I8" s="299"/>
      <c r="J8" s="299"/>
      <c r="K8" s="299"/>
      <c r="L8" s="299"/>
      <c r="M8" s="300"/>
    </row>
    <row r="9" spans="1:13" ht="14.25" x14ac:dyDescent="0.2">
      <c r="A9" s="301">
        <v>1</v>
      </c>
      <c r="B9" s="307" t="s">
        <v>62</v>
      </c>
      <c r="C9" s="307" t="s">
        <v>63</v>
      </c>
      <c r="D9" s="17" t="s">
        <v>64</v>
      </c>
      <c r="E9" s="18">
        <v>100</v>
      </c>
      <c r="F9" s="17" t="s">
        <v>68</v>
      </c>
      <c r="G9" s="17" t="s">
        <v>69</v>
      </c>
      <c r="H9" s="17">
        <f>1500*117/100</f>
        <v>1755</v>
      </c>
      <c r="I9" s="19">
        <f>H9*12</f>
        <v>21060</v>
      </c>
      <c r="J9" s="17" t="s">
        <v>20</v>
      </c>
      <c r="K9" s="309" t="s">
        <v>46</v>
      </c>
      <c r="L9" s="319"/>
      <c r="M9" s="312">
        <v>1746100752</v>
      </c>
    </row>
    <row r="10" spans="1:13" ht="25.5" x14ac:dyDescent="0.2">
      <c r="A10" s="306"/>
      <c r="B10" s="308"/>
      <c r="C10" s="308"/>
      <c r="D10" s="7" t="s">
        <v>65</v>
      </c>
      <c r="E10" s="20">
        <v>90</v>
      </c>
      <c r="F10" s="7" t="s">
        <v>68</v>
      </c>
      <c r="G10" s="7" t="s">
        <v>69</v>
      </c>
      <c r="H10" s="7">
        <f>1950*117/100</f>
        <v>2281.5</v>
      </c>
      <c r="I10" s="21">
        <f t="shared" ref="I10:I12" si="0">H10*12</f>
        <v>27378</v>
      </c>
      <c r="J10" s="7" t="s">
        <v>20</v>
      </c>
      <c r="K10" s="310"/>
      <c r="L10" s="320"/>
      <c r="M10" s="313"/>
    </row>
    <row r="11" spans="1:13" ht="25.5" x14ac:dyDescent="0.2">
      <c r="A11" s="306"/>
      <c r="B11" s="308"/>
      <c r="C11" s="308"/>
      <c r="D11" s="7" t="s">
        <v>66</v>
      </c>
      <c r="E11" s="20">
        <v>80</v>
      </c>
      <c r="F11" s="7" t="s">
        <v>68</v>
      </c>
      <c r="G11" s="7" t="s">
        <v>69</v>
      </c>
      <c r="H11" s="7">
        <f>2205*117/100</f>
        <v>2579.85</v>
      </c>
      <c r="I11" s="21">
        <f t="shared" si="0"/>
        <v>30958.199999999997</v>
      </c>
      <c r="J11" s="7" t="s">
        <v>20</v>
      </c>
      <c r="K11" s="310"/>
      <c r="L11" s="320"/>
      <c r="M11" s="313"/>
    </row>
    <row r="12" spans="1:13" ht="14.25" x14ac:dyDescent="0.2">
      <c r="A12" s="306"/>
      <c r="B12" s="308"/>
      <c r="C12" s="308"/>
      <c r="D12" s="7" t="s">
        <v>67</v>
      </c>
      <c r="E12" s="20">
        <v>70</v>
      </c>
      <c r="F12" s="7" t="s">
        <v>68</v>
      </c>
      <c r="G12" s="7" t="s">
        <v>69</v>
      </c>
      <c r="H12" s="7">
        <f>2300*117/100</f>
        <v>2691</v>
      </c>
      <c r="I12" s="21">
        <f t="shared" si="0"/>
        <v>32292</v>
      </c>
      <c r="J12" s="7" t="s">
        <v>20</v>
      </c>
      <c r="K12" s="310"/>
      <c r="L12" s="320"/>
      <c r="M12" s="313"/>
    </row>
    <row r="13" spans="1:13" ht="13.9" customHeight="1" x14ac:dyDescent="0.2">
      <c r="A13" s="302"/>
      <c r="B13" s="303"/>
      <c r="C13" s="304"/>
      <c r="D13" s="304"/>
      <c r="E13" s="304"/>
      <c r="F13" s="304"/>
      <c r="G13" s="304"/>
      <c r="H13" s="304"/>
      <c r="I13" s="304"/>
      <c r="J13" s="304"/>
      <c r="K13" s="304"/>
      <c r="L13" s="304"/>
      <c r="M13" s="305"/>
    </row>
    <row r="14" spans="1:13" ht="15.75" x14ac:dyDescent="0.2">
      <c r="A14" s="298" t="s">
        <v>79</v>
      </c>
      <c r="B14" s="299"/>
      <c r="C14" s="299"/>
      <c r="D14" s="299"/>
      <c r="E14" s="299"/>
      <c r="F14" s="299"/>
      <c r="G14" s="299"/>
      <c r="H14" s="299"/>
      <c r="I14" s="299"/>
      <c r="J14" s="299"/>
      <c r="K14" s="299"/>
      <c r="L14" s="299"/>
      <c r="M14" s="300"/>
    </row>
    <row r="15" spans="1:13" ht="78.75" x14ac:dyDescent="0.2">
      <c r="A15" s="301">
        <v>2</v>
      </c>
      <c r="B15" s="22" t="s">
        <v>72</v>
      </c>
      <c r="C15" s="22" t="s">
        <v>63</v>
      </c>
      <c r="D15" s="17" t="s">
        <v>70</v>
      </c>
      <c r="E15" s="18">
        <v>100</v>
      </c>
      <c r="F15" s="17" t="s">
        <v>29</v>
      </c>
      <c r="G15" s="17" t="s">
        <v>71</v>
      </c>
      <c r="H15" s="19">
        <f>350*117/100</f>
        <v>409.5</v>
      </c>
      <c r="I15" s="19">
        <f>15000*117/100</f>
        <v>17550</v>
      </c>
      <c r="J15" s="17" t="s">
        <v>20</v>
      </c>
      <c r="K15" s="23" t="s">
        <v>101</v>
      </c>
      <c r="L15" s="24"/>
      <c r="M15" s="25">
        <v>2770032751</v>
      </c>
    </row>
    <row r="16" spans="1:13" ht="14.25" x14ac:dyDescent="0.2">
      <c r="A16" s="302"/>
      <c r="B16" s="303" t="s">
        <v>73</v>
      </c>
      <c r="C16" s="304"/>
      <c r="D16" s="304"/>
      <c r="E16" s="304"/>
      <c r="F16" s="304"/>
      <c r="G16" s="304"/>
      <c r="H16" s="304"/>
      <c r="I16" s="304"/>
      <c r="J16" s="304"/>
      <c r="K16" s="304"/>
      <c r="L16" s="304"/>
      <c r="M16" s="305"/>
    </row>
    <row r="17" spans="1:13" ht="15.75" x14ac:dyDescent="0.2">
      <c r="A17" s="298" t="s">
        <v>61</v>
      </c>
      <c r="B17" s="299"/>
      <c r="C17" s="299"/>
      <c r="D17" s="299"/>
      <c r="E17" s="299"/>
      <c r="F17" s="299"/>
      <c r="G17" s="299"/>
      <c r="H17" s="299"/>
      <c r="I17" s="299"/>
      <c r="J17" s="299"/>
      <c r="K17" s="299"/>
      <c r="L17" s="299"/>
      <c r="M17" s="300"/>
    </row>
    <row r="18" spans="1:13" ht="13.9" customHeight="1" x14ac:dyDescent="0.2">
      <c r="A18" s="301">
        <v>3</v>
      </c>
      <c r="B18" s="307" t="s">
        <v>90</v>
      </c>
      <c r="C18" s="307" t="s">
        <v>74</v>
      </c>
      <c r="D18" s="7" t="s">
        <v>75</v>
      </c>
      <c r="E18" s="20">
        <v>76</v>
      </c>
      <c r="F18" s="7" t="s">
        <v>18</v>
      </c>
      <c r="G18" s="7" t="s">
        <v>18</v>
      </c>
      <c r="H18" s="21">
        <f>17850*117/100</f>
        <v>20884.5</v>
      </c>
      <c r="I18" s="21">
        <f>17850*117/100</f>
        <v>20884.5</v>
      </c>
      <c r="J18" s="7" t="s">
        <v>20</v>
      </c>
      <c r="K18" s="309" t="s">
        <v>46</v>
      </c>
      <c r="L18" s="319"/>
      <c r="M18" s="312">
        <v>1712300751</v>
      </c>
    </row>
    <row r="19" spans="1:13" ht="25.5" x14ac:dyDescent="0.2">
      <c r="A19" s="306"/>
      <c r="B19" s="308"/>
      <c r="C19" s="308"/>
      <c r="D19" s="7" t="s">
        <v>76</v>
      </c>
      <c r="E19" s="20">
        <v>60</v>
      </c>
      <c r="F19" s="7" t="s">
        <v>18</v>
      </c>
      <c r="G19" s="7" t="s">
        <v>18</v>
      </c>
      <c r="H19" s="21">
        <f>21500*117/100</f>
        <v>25155</v>
      </c>
      <c r="I19" s="21">
        <f>21500*117/100</f>
        <v>25155</v>
      </c>
      <c r="J19" s="7" t="s">
        <v>20</v>
      </c>
      <c r="K19" s="310"/>
      <c r="L19" s="320"/>
      <c r="M19" s="313"/>
    </row>
    <row r="20" spans="1:13" ht="13.9" customHeight="1" x14ac:dyDescent="0.2">
      <c r="A20" s="306"/>
      <c r="B20" s="308"/>
      <c r="C20" s="308"/>
      <c r="D20" s="17" t="s">
        <v>77</v>
      </c>
      <c r="E20" s="18">
        <v>80</v>
      </c>
      <c r="F20" s="17" t="s">
        <v>18</v>
      </c>
      <c r="G20" s="17" t="s">
        <v>18</v>
      </c>
      <c r="H20" s="19">
        <f>25000*117/100</f>
        <v>29250</v>
      </c>
      <c r="I20" s="19">
        <f>25000*117/100</f>
        <v>29250</v>
      </c>
      <c r="J20" s="17" t="s">
        <v>20</v>
      </c>
      <c r="K20" s="310"/>
      <c r="L20" s="320"/>
      <c r="M20" s="313"/>
    </row>
    <row r="21" spans="1:13" ht="13.9" customHeight="1" x14ac:dyDescent="0.2">
      <c r="A21" s="306"/>
      <c r="B21" s="308"/>
      <c r="C21" s="308"/>
      <c r="D21" s="7" t="s">
        <v>78</v>
      </c>
      <c r="E21" s="20">
        <v>40</v>
      </c>
      <c r="F21" s="7" t="s">
        <v>18</v>
      </c>
      <c r="G21" s="7" t="s">
        <v>18</v>
      </c>
      <c r="H21" s="21">
        <f>33000*117/100</f>
        <v>38610</v>
      </c>
      <c r="I21" s="21">
        <f>33000*117/100</f>
        <v>38610</v>
      </c>
      <c r="J21" s="7" t="s">
        <v>20</v>
      </c>
      <c r="K21" s="310"/>
      <c r="L21" s="320"/>
      <c r="M21" s="313"/>
    </row>
    <row r="22" spans="1:13" ht="14.25" x14ac:dyDescent="0.2">
      <c r="A22" s="302"/>
      <c r="B22" s="303"/>
      <c r="C22" s="304"/>
      <c r="D22" s="304"/>
      <c r="E22" s="304"/>
      <c r="F22" s="304"/>
      <c r="G22" s="304"/>
      <c r="H22" s="304"/>
      <c r="I22" s="304"/>
      <c r="J22" s="304"/>
      <c r="K22" s="304"/>
      <c r="L22" s="304"/>
      <c r="M22" s="305"/>
    </row>
    <row r="23" spans="1:13" ht="15.75" x14ac:dyDescent="0.2">
      <c r="A23" s="298" t="s">
        <v>80</v>
      </c>
      <c r="B23" s="299"/>
      <c r="C23" s="299"/>
      <c r="D23" s="299"/>
      <c r="E23" s="299"/>
      <c r="F23" s="299"/>
      <c r="G23" s="299"/>
      <c r="H23" s="299"/>
      <c r="I23" s="299"/>
      <c r="J23" s="299"/>
      <c r="K23" s="299"/>
      <c r="L23" s="299"/>
      <c r="M23" s="300"/>
    </row>
    <row r="24" spans="1:13" ht="38.25" x14ac:dyDescent="0.2">
      <c r="A24" s="301">
        <v>4</v>
      </c>
      <c r="B24" s="27" t="s">
        <v>82</v>
      </c>
      <c r="C24" s="27" t="s">
        <v>83</v>
      </c>
      <c r="D24" s="17" t="s">
        <v>84</v>
      </c>
      <c r="E24" s="18">
        <v>100</v>
      </c>
      <c r="F24" s="17" t="s">
        <v>18</v>
      </c>
      <c r="G24" s="17" t="s">
        <v>18</v>
      </c>
      <c r="H24" s="19">
        <f>20000*117/100</f>
        <v>23400</v>
      </c>
      <c r="I24" s="19">
        <f>20000*117/100</f>
        <v>23400</v>
      </c>
      <c r="J24" s="17" t="s">
        <v>20</v>
      </c>
      <c r="K24" s="28" t="s">
        <v>100</v>
      </c>
      <c r="L24" s="29"/>
      <c r="M24" s="30"/>
    </row>
    <row r="25" spans="1:13" ht="14.25" x14ac:dyDescent="0.2">
      <c r="A25" s="302"/>
      <c r="B25" s="303" t="s">
        <v>73</v>
      </c>
      <c r="C25" s="304"/>
      <c r="D25" s="304"/>
      <c r="E25" s="304"/>
      <c r="F25" s="304"/>
      <c r="G25" s="304"/>
      <c r="H25" s="304"/>
      <c r="I25" s="304"/>
      <c r="J25" s="304"/>
      <c r="K25" s="304"/>
      <c r="L25" s="304"/>
      <c r="M25" s="305"/>
    </row>
    <row r="26" spans="1:13" ht="15.75" x14ac:dyDescent="0.2">
      <c r="A26" s="298" t="s">
        <v>81</v>
      </c>
      <c r="B26" s="299"/>
      <c r="C26" s="299"/>
      <c r="D26" s="299"/>
      <c r="E26" s="299"/>
      <c r="F26" s="299"/>
      <c r="G26" s="299"/>
      <c r="H26" s="299"/>
      <c r="I26" s="299"/>
      <c r="J26" s="299"/>
      <c r="K26" s="299"/>
      <c r="L26" s="299"/>
      <c r="M26" s="300"/>
    </row>
    <row r="27" spans="1:13" ht="38.25" x14ac:dyDescent="0.2">
      <c r="A27" s="301">
        <v>5</v>
      </c>
      <c r="B27" s="27" t="s">
        <v>86</v>
      </c>
      <c r="C27" s="27" t="s">
        <v>83</v>
      </c>
      <c r="D27" s="17" t="s">
        <v>85</v>
      </c>
      <c r="E27" s="18">
        <v>100</v>
      </c>
      <c r="F27" s="17" t="s">
        <v>18</v>
      </c>
      <c r="G27" s="17" t="s">
        <v>18</v>
      </c>
      <c r="H27" s="19">
        <f>9000*117/100</f>
        <v>10530</v>
      </c>
      <c r="I27" s="19">
        <f>9000*117/100</f>
        <v>10530</v>
      </c>
      <c r="J27" s="17" t="s">
        <v>20</v>
      </c>
      <c r="K27" s="28" t="s">
        <v>100</v>
      </c>
      <c r="L27" s="29"/>
      <c r="M27" s="30"/>
    </row>
    <row r="28" spans="1:13" ht="14.25" x14ac:dyDescent="0.2">
      <c r="A28" s="302"/>
      <c r="B28" s="303" t="s">
        <v>73</v>
      </c>
      <c r="C28" s="304"/>
      <c r="D28" s="304"/>
      <c r="E28" s="304"/>
      <c r="F28" s="304"/>
      <c r="G28" s="304"/>
      <c r="H28" s="304"/>
      <c r="I28" s="304"/>
      <c r="J28" s="304"/>
      <c r="K28" s="304"/>
      <c r="L28" s="304"/>
      <c r="M28" s="305"/>
    </row>
    <row r="29" spans="1:13" ht="15.75" x14ac:dyDescent="0.2">
      <c r="A29" s="298" t="s">
        <v>87</v>
      </c>
      <c r="B29" s="299"/>
      <c r="C29" s="299"/>
      <c r="D29" s="299"/>
      <c r="E29" s="299"/>
      <c r="F29" s="299"/>
      <c r="G29" s="299"/>
      <c r="H29" s="299"/>
      <c r="I29" s="299"/>
      <c r="J29" s="299"/>
      <c r="K29" s="299"/>
      <c r="L29" s="299"/>
      <c r="M29" s="300"/>
    </row>
    <row r="30" spans="1:13" ht="38.25" x14ac:dyDescent="0.2">
      <c r="A30" s="301">
        <v>6</v>
      </c>
      <c r="B30" s="27" t="s">
        <v>88</v>
      </c>
      <c r="C30" s="27" t="s">
        <v>91</v>
      </c>
      <c r="D30" s="17" t="s">
        <v>89</v>
      </c>
      <c r="E30" s="18">
        <v>100</v>
      </c>
      <c r="F30" s="17" t="s">
        <v>18</v>
      </c>
      <c r="G30" s="17" t="s">
        <v>18</v>
      </c>
      <c r="H30" s="19">
        <f>14500*117/100</f>
        <v>16965</v>
      </c>
      <c r="I30" s="19">
        <f>14500*117/100</f>
        <v>16965</v>
      </c>
      <c r="J30" s="17" t="s">
        <v>20</v>
      </c>
      <c r="K30" s="28" t="s">
        <v>21</v>
      </c>
      <c r="L30" s="29"/>
      <c r="M30" s="30">
        <v>253008</v>
      </c>
    </row>
    <row r="31" spans="1:13" ht="14.25" x14ac:dyDescent="0.2">
      <c r="A31" s="302"/>
      <c r="B31" s="303" t="s">
        <v>73</v>
      </c>
      <c r="C31" s="304"/>
      <c r="D31" s="304"/>
      <c r="E31" s="304"/>
      <c r="F31" s="304"/>
      <c r="G31" s="304"/>
      <c r="H31" s="304"/>
      <c r="I31" s="304"/>
      <c r="J31" s="304"/>
      <c r="K31" s="304"/>
      <c r="L31" s="304"/>
      <c r="M31" s="305"/>
    </row>
    <row r="32" spans="1:13" ht="15.75" x14ac:dyDescent="0.2">
      <c r="A32" s="298" t="s">
        <v>92</v>
      </c>
      <c r="B32" s="299"/>
      <c r="C32" s="299"/>
      <c r="D32" s="299"/>
      <c r="E32" s="299"/>
      <c r="F32" s="299"/>
      <c r="G32" s="299"/>
      <c r="H32" s="299"/>
      <c r="I32" s="299"/>
      <c r="J32" s="299"/>
      <c r="K32" s="299"/>
      <c r="L32" s="299"/>
      <c r="M32" s="300"/>
    </row>
    <row r="33" spans="1:13" ht="25.5" x14ac:dyDescent="0.2">
      <c r="A33" s="301">
        <v>7</v>
      </c>
      <c r="B33" s="307" t="s">
        <v>104</v>
      </c>
      <c r="C33" s="307" t="s">
        <v>93</v>
      </c>
      <c r="D33" s="17" t="s">
        <v>94</v>
      </c>
      <c r="E33" s="18">
        <v>100</v>
      </c>
      <c r="F33" s="17" t="s">
        <v>29</v>
      </c>
      <c r="G33" s="17" t="s">
        <v>99</v>
      </c>
      <c r="H33" s="19">
        <f>198*117/100</f>
        <v>231.66</v>
      </c>
      <c r="I33" s="19">
        <f>35*H33*4</f>
        <v>32432.399999999998</v>
      </c>
      <c r="J33" s="17" t="s">
        <v>20</v>
      </c>
      <c r="K33" s="309" t="s">
        <v>102</v>
      </c>
      <c r="L33" s="319"/>
      <c r="M33" s="312" t="s">
        <v>98</v>
      </c>
    </row>
    <row r="34" spans="1:13" ht="25.5" x14ac:dyDescent="0.2">
      <c r="A34" s="306"/>
      <c r="B34" s="308"/>
      <c r="C34" s="308"/>
      <c r="D34" s="7" t="s">
        <v>95</v>
      </c>
      <c r="E34" s="20">
        <v>90</v>
      </c>
      <c r="F34" s="7" t="s">
        <v>29</v>
      </c>
      <c r="G34" s="7" t="s">
        <v>99</v>
      </c>
      <c r="H34" s="21">
        <f>200*117/100</f>
        <v>234</v>
      </c>
      <c r="I34" s="21">
        <f t="shared" ref="I34:I36" si="1">35*H34*4</f>
        <v>32760</v>
      </c>
      <c r="J34" s="7" t="s">
        <v>20</v>
      </c>
      <c r="K34" s="310"/>
      <c r="L34" s="320"/>
      <c r="M34" s="313"/>
    </row>
    <row r="35" spans="1:13" ht="25.5" x14ac:dyDescent="0.2">
      <c r="A35" s="306"/>
      <c r="B35" s="308"/>
      <c r="C35" s="308"/>
      <c r="D35" s="7" t="s">
        <v>96</v>
      </c>
      <c r="E35" s="20">
        <v>80</v>
      </c>
      <c r="F35" s="7" t="s">
        <v>29</v>
      </c>
      <c r="G35" s="7" t="s">
        <v>99</v>
      </c>
      <c r="H35" s="21">
        <f>220*117/100</f>
        <v>257.39999999999998</v>
      </c>
      <c r="I35" s="21">
        <f t="shared" si="1"/>
        <v>36036</v>
      </c>
      <c r="J35" s="7" t="s">
        <v>20</v>
      </c>
      <c r="K35" s="310"/>
      <c r="L35" s="320"/>
      <c r="M35" s="313"/>
    </row>
    <row r="36" spans="1:13" ht="25.5" x14ac:dyDescent="0.2">
      <c r="A36" s="306"/>
      <c r="B36" s="308"/>
      <c r="C36" s="308"/>
      <c r="D36" s="7" t="s">
        <v>97</v>
      </c>
      <c r="E36" s="20">
        <v>70</v>
      </c>
      <c r="F36" s="7" t="s">
        <v>29</v>
      </c>
      <c r="G36" s="7" t="s">
        <v>99</v>
      </c>
      <c r="H36" s="21">
        <f>400*117/100</f>
        <v>468</v>
      </c>
      <c r="I36" s="21">
        <f t="shared" si="1"/>
        <v>65520</v>
      </c>
      <c r="J36" s="7" t="s">
        <v>20</v>
      </c>
      <c r="K36" s="310"/>
      <c r="L36" s="320"/>
      <c r="M36" s="313"/>
    </row>
    <row r="37" spans="1:13" ht="14.25" x14ac:dyDescent="0.2">
      <c r="A37" s="302"/>
      <c r="B37" s="303"/>
      <c r="C37" s="304"/>
      <c r="D37" s="304"/>
      <c r="E37" s="304"/>
      <c r="F37" s="304"/>
      <c r="G37" s="304"/>
      <c r="H37" s="304"/>
      <c r="I37" s="304"/>
      <c r="J37" s="304"/>
      <c r="K37" s="304"/>
      <c r="L37" s="304"/>
      <c r="M37" s="305"/>
    </row>
  </sheetData>
  <mergeCells count="43">
    <mergeCell ref="A29:M29"/>
    <mergeCell ref="A30:A31"/>
    <mergeCell ref="B31:M31"/>
    <mergeCell ref="A23:M23"/>
    <mergeCell ref="A24:A25"/>
    <mergeCell ref="B25:M25"/>
    <mergeCell ref="A26:M26"/>
    <mergeCell ref="A27:A28"/>
    <mergeCell ref="B28:M28"/>
    <mergeCell ref="A17:M17"/>
    <mergeCell ref="A18:A22"/>
    <mergeCell ref="B18:B21"/>
    <mergeCell ref="C18:C21"/>
    <mergeCell ref="K18:K21"/>
    <mergeCell ref="L18:L21"/>
    <mergeCell ref="M18:M21"/>
    <mergeCell ref="B22:M22"/>
    <mergeCell ref="A1:A7"/>
    <mergeCell ref="B1:M1"/>
    <mergeCell ref="B2:M2"/>
    <mergeCell ref="B3:M3"/>
    <mergeCell ref="B5:M5"/>
    <mergeCell ref="B6:M6"/>
    <mergeCell ref="B4:M4"/>
    <mergeCell ref="A14:M14"/>
    <mergeCell ref="A15:A16"/>
    <mergeCell ref="B16:M16"/>
    <mergeCell ref="A8:M8"/>
    <mergeCell ref="A9:A13"/>
    <mergeCell ref="B9:B12"/>
    <mergeCell ref="C9:C12"/>
    <mergeCell ref="K9:K12"/>
    <mergeCell ref="L9:L12"/>
    <mergeCell ref="M9:M12"/>
    <mergeCell ref="B13:M13"/>
    <mergeCell ref="A32:M32"/>
    <mergeCell ref="A33:A37"/>
    <mergeCell ref="B33:B36"/>
    <mergeCell ref="C33:C36"/>
    <mergeCell ref="K33:K36"/>
    <mergeCell ref="L33:L36"/>
    <mergeCell ref="M33:M36"/>
    <mergeCell ref="B37:M37"/>
  </mergeCells>
  <pageMargins left="0.7" right="0.7" top="0.75" bottom="0.75" header="0.3" footer="0.3"/>
  <pageSetup paperSize="9" scale="7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rightToLeft="1" zoomScale="85" zoomScaleNormal="85" workbookViewId="0">
      <pane ySplit="7" topLeftCell="A8" activePane="bottomLeft" state="frozen"/>
      <selection pane="bottomLeft" activeCell="B22" sqref="B22:B25"/>
    </sheetView>
  </sheetViews>
  <sheetFormatPr defaultColWidth="8.75" defaultRowHeight="15" x14ac:dyDescent="0.2"/>
  <cols>
    <col min="1" max="1" width="4.25" customWidth="1"/>
    <col min="2" max="2" width="21.125" style="8" bestFit="1" customWidth="1"/>
    <col min="4" max="4" width="7.25" customWidth="1"/>
    <col min="5" max="5" width="7.75" customWidth="1"/>
    <col min="7" max="7" width="8.75" style="9"/>
    <col min="8" max="8" width="12.125" style="10" bestFit="1" customWidth="1"/>
    <col min="9" max="9" width="12.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58</v>
      </c>
      <c r="C1" s="315"/>
      <c r="D1" s="315"/>
      <c r="E1" s="315"/>
      <c r="F1" s="315"/>
      <c r="G1" s="315"/>
      <c r="H1" s="315"/>
      <c r="I1" s="315"/>
      <c r="J1" s="315"/>
      <c r="K1" s="315"/>
      <c r="L1" s="315"/>
      <c r="M1" s="315"/>
    </row>
    <row r="2" spans="1:13" ht="14.25" x14ac:dyDescent="0.2">
      <c r="A2" s="314"/>
      <c r="B2" s="346" t="s">
        <v>22</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15</v>
      </c>
      <c r="C4" s="318"/>
      <c r="D4" s="318"/>
      <c r="E4" s="318"/>
      <c r="F4" s="318"/>
      <c r="G4" s="318"/>
      <c r="H4" s="318"/>
      <c r="I4" s="318"/>
      <c r="J4" s="318"/>
      <c r="K4" s="318"/>
      <c r="L4" s="318"/>
      <c r="M4" s="318"/>
    </row>
    <row r="5" spans="1:13" ht="14.25" x14ac:dyDescent="0.2">
      <c r="A5" s="314"/>
      <c r="B5" s="347" t="s">
        <v>24</v>
      </c>
      <c r="C5" s="348"/>
      <c r="D5" s="348"/>
      <c r="E5" s="348"/>
      <c r="F5" s="348"/>
      <c r="G5" s="348"/>
      <c r="H5" s="348"/>
      <c r="I5" s="348"/>
      <c r="J5" s="348"/>
      <c r="K5" s="348"/>
      <c r="L5" s="348"/>
      <c r="M5" s="349"/>
    </row>
    <row r="6" spans="1:13" ht="14.25" x14ac:dyDescent="0.2">
      <c r="A6" s="314"/>
      <c r="B6" s="356" t="s">
        <v>1</v>
      </c>
      <c r="C6" s="357"/>
      <c r="D6" s="357"/>
      <c r="E6" s="357"/>
      <c r="F6" s="357"/>
      <c r="G6" s="357"/>
      <c r="H6" s="357"/>
      <c r="I6" s="357"/>
      <c r="J6" s="357"/>
      <c r="K6" s="357"/>
      <c r="L6" s="357"/>
      <c r="M6" s="358"/>
    </row>
    <row r="7" spans="1:13" ht="47.25" x14ac:dyDescent="0.2">
      <c r="A7" s="314"/>
      <c r="B7" s="16" t="s">
        <v>2</v>
      </c>
      <c r="C7" s="2" t="s">
        <v>3</v>
      </c>
      <c r="D7" s="3" t="s">
        <v>4</v>
      </c>
      <c r="E7" s="3" t="s">
        <v>5</v>
      </c>
      <c r="F7" s="3" t="s">
        <v>6</v>
      </c>
      <c r="G7" s="3" t="s">
        <v>7</v>
      </c>
      <c r="H7" s="4" t="s">
        <v>8</v>
      </c>
      <c r="I7" s="5" t="s">
        <v>9</v>
      </c>
      <c r="J7" s="3" t="s">
        <v>10</v>
      </c>
      <c r="K7" s="3" t="s">
        <v>11</v>
      </c>
      <c r="L7" s="6" t="s">
        <v>12</v>
      </c>
      <c r="M7" s="3" t="s">
        <v>13</v>
      </c>
    </row>
    <row r="8" spans="1:13" ht="15.75" x14ac:dyDescent="0.2">
      <c r="A8" s="298" t="s">
        <v>25</v>
      </c>
      <c r="B8" s="299"/>
      <c r="C8" s="299"/>
      <c r="D8" s="299"/>
      <c r="E8" s="299"/>
      <c r="F8" s="299"/>
      <c r="G8" s="299"/>
      <c r="H8" s="299"/>
      <c r="I8" s="299"/>
      <c r="J8" s="299"/>
      <c r="K8" s="299"/>
      <c r="L8" s="299"/>
      <c r="M8" s="300"/>
    </row>
    <row r="9" spans="1:13" ht="26.45" customHeight="1" x14ac:dyDescent="0.2">
      <c r="A9" s="301">
        <v>1</v>
      </c>
      <c r="B9" s="307" t="s">
        <v>26</v>
      </c>
      <c r="C9" s="307" t="s">
        <v>27</v>
      </c>
      <c r="D9" s="17" t="s">
        <v>28</v>
      </c>
      <c r="E9" s="18">
        <v>100</v>
      </c>
      <c r="F9" s="17" t="s">
        <v>29</v>
      </c>
      <c r="G9" s="17" t="s">
        <v>30</v>
      </c>
      <c r="H9" s="19">
        <f>194*117/100</f>
        <v>226.98</v>
      </c>
      <c r="I9" s="19">
        <f>100*H9</f>
        <v>22698</v>
      </c>
      <c r="J9" s="17" t="s">
        <v>20</v>
      </c>
      <c r="K9" s="309" t="s">
        <v>46</v>
      </c>
      <c r="L9" s="319"/>
      <c r="M9" s="312" t="s">
        <v>31</v>
      </c>
    </row>
    <row r="10" spans="1:13" ht="25.5" x14ac:dyDescent="0.2">
      <c r="A10" s="306"/>
      <c r="B10" s="308"/>
      <c r="C10" s="308"/>
      <c r="D10" s="7" t="s">
        <v>32</v>
      </c>
      <c r="E10" s="20">
        <v>90</v>
      </c>
      <c r="F10" s="7" t="s">
        <v>29</v>
      </c>
      <c r="G10" s="7" t="s">
        <v>30</v>
      </c>
      <c r="H10" s="21">
        <f>210*117/100</f>
        <v>245.7</v>
      </c>
      <c r="I10" s="21">
        <f t="shared" ref="I10:I13" si="0">100*H10</f>
        <v>24570</v>
      </c>
      <c r="J10" s="7"/>
      <c r="K10" s="310"/>
      <c r="L10" s="320"/>
      <c r="M10" s="313"/>
    </row>
    <row r="11" spans="1:13" ht="38.25" x14ac:dyDescent="0.2">
      <c r="A11" s="306"/>
      <c r="B11" s="308"/>
      <c r="C11" s="308"/>
      <c r="D11" s="7" t="s">
        <v>33</v>
      </c>
      <c r="E11" s="20">
        <v>80</v>
      </c>
      <c r="F11" s="7" t="s">
        <v>29</v>
      </c>
      <c r="G11" s="7" t="s">
        <v>30</v>
      </c>
      <c r="H11" s="21">
        <f>235*117/100</f>
        <v>274.95</v>
      </c>
      <c r="I11" s="21">
        <f t="shared" si="0"/>
        <v>27495</v>
      </c>
      <c r="J11" s="7" t="s">
        <v>20</v>
      </c>
      <c r="K11" s="310"/>
      <c r="L11" s="320"/>
      <c r="M11" s="313"/>
    </row>
    <row r="12" spans="1:13" ht="51" x14ac:dyDescent="0.2">
      <c r="A12" s="306"/>
      <c r="B12" s="308"/>
      <c r="C12" s="308"/>
      <c r="D12" s="7" t="s">
        <v>34</v>
      </c>
      <c r="E12" s="20">
        <v>70</v>
      </c>
      <c r="F12" s="7" t="s">
        <v>29</v>
      </c>
      <c r="G12" s="7" t="s">
        <v>30</v>
      </c>
      <c r="H12" s="21">
        <f>300*117/100</f>
        <v>351</v>
      </c>
      <c r="I12" s="21">
        <f t="shared" si="0"/>
        <v>35100</v>
      </c>
      <c r="J12" s="7"/>
      <c r="K12" s="310"/>
      <c r="L12" s="320"/>
      <c r="M12" s="313"/>
    </row>
    <row r="13" spans="1:13" ht="25.5" x14ac:dyDescent="0.2">
      <c r="A13" s="306"/>
      <c r="B13" s="328"/>
      <c r="C13" s="328"/>
      <c r="D13" s="7" t="s">
        <v>35</v>
      </c>
      <c r="E13" s="20">
        <v>70</v>
      </c>
      <c r="F13" s="7" t="s">
        <v>29</v>
      </c>
      <c r="G13" s="7" t="s">
        <v>30</v>
      </c>
      <c r="H13" s="21">
        <f>300*117/100</f>
        <v>351</v>
      </c>
      <c r="I13" s="21">
        <f t="shared" si="0"/>
        <v>35100</v>
      </c>
      <c r="J13" s="7" t="s">
        <v>20</v>
      </c>
      <c r="K13" s="323"/>
      <c r="L13" s="332"/>
      <c r="M13" s="327"/>
    </row>
    <row r="14" spans="1:13" ht="13.9" customHeight="1" x14ac:dyDescent="0.2">
      <c r="A14" s="302"/>
      <c r="B14" s="303"/>
      <c r="C14" s="304"/>
      <c r="D14" s="304"/>
      <c r="E14" s="304"/>
      <c r="F14" s="304"/>
      <c r="G14" s="304"/>
      <c r="H14" s="304"/>
      <c r="I14" s="304"/>
      <c r="J14" s="304"/>
      <c r="K14" s="304"/>
      <c r="L14" s="304"/>
      <c r="M14" s="305"/>
    </row>
    <row r="15" spans="1:13" ht="15.75" x14ac:dyDescent="0.2">
      <c r="A15" s="298" t="s">
        <v>36</v>
      </c>
      <c r="B15" s="299"/>
      <c r="C15" s="299"/>
      <c r="D15" s="299"/>
      <c r="E15" s="299"/>
      <c r="F15" s="299"/>
      <c r="G15" s="299"/>
      <c r="H15" s="299"/>
      <c r="I15" s="299"/>
      <c r="J15" s="299"/>
      <c r="K15" s="299"/>
      <c r="L15" s="299"/>
      <c r="M15" s="300"/>
    </row>
    <row r="16" spans="1:13" ht="26.45" customHeight="1" x14ac:dyDescent="0.2">
      <c r="A16" s="301">
        <v>2</v>
      </c>
      <c r="B16" s="307" t="s">
        <v>37</v>
      </c>
      <c r="C16" s="307" t="s">
        <v>38</v>
      </c>
      <c r="D16" s="17" t="s">
        <v>39</v>
      </c>
      <c r="E16" s="18">
        <v>100</v>
      </c>
      <c r="F16" s="17" t="s">
        <v>29</v>
      </c>
      <c r="G16" s="17" t="s">
        <v>30</v>
      </c>
      <c r="H16" s="19">
        <v>180</v>
      </c>
      <c r="I16" s="19">
        <f>H16*100*6</f>
        <v>108000</v>
      </c>
      <c r="J16" s="17" t="s">
        <v>20</v>
      </c>
      <c r="K16" s="309" t="s">
        <v>46</v>
      </c>
      <c r="L16" s="319"/>
      <c r="M16" s="312"/>
    </row>
    <row r="17" spans="1:13" ht="13.9" customHeight="1" x14ac:dyDescent="0.2">
      <c r="A17" s="306"/>
      <c r="B17" s="308"/>
      <c r="C17" s="308"/>
      <c r="D17" s="7" t="s">
        <v>40</v>
      </c>
      <c r="E17" s="20">
        <v>90</v>
      </c>
      <c r="F17" s="7" t="s">
        <v>29</v>
      </c>
      <c r="G17" s="7" t="s">
        <v>30</v>
      </c>
      <c r="H17" s="21">
        <f>210*117/100</f>
        <v>245.7</v>
      </c>
      <c r="I17" s="21">
        <f t="shared" ref="I17:I19" si="1">H17*100*6</f>
        <v>147420</v>
      </c>
      <c r="J17" s="7"/>
      <c r="K17" s="310"/>
      <c r="L17" s="320"/>
      <c r="M17" s="313"/>
    </row>
    <row r="18" spans="1:13" ht="13.9" customHeight="1" x14ac:dyDescent="0.2">
      <c r="A18" s="306"/>
      <c r="B18" s="308"/>
      <c r="C18" s="308"/>
      <c r="D18" s="7" t="s">
        <v>41</v>
      </c>
      <c r="E18" s="20">
        <v>80</v>
      </c>
      <c r="F18" s="7" t="s">
        <v>29</v>
      </c>
      <c r="G18" s="7" t="s">
        <v>30</v>
      </c>
      <c r="H18" s="21">
        <f>225*117/100</f>
        <v>263.25</v>
      </c>
      <c r="I18" s="21">
        <f t="shared" si="1"/>
        <v>157950</v>
      </c>
      <c r="J18" s="7"/>
      <c r="K18" s="310"/>
      <c r="L18" s="320"/>
      <c r="M18" s="313"/>
    </row>
    <row r="19" spans="1:13" ht="25.5" x14ac:dyDescent="0.2">
      <c r="A19" s="306"/>
      <c r="B19" s="328"/>
      <c r="C19" s="328"/>
      <c r="D19" s="7" t="s">
        <v>42</v>
      </c>
      <c r="E19" s="20">
        <v>70</v>
      </c>
      <c r="F19" s="7" t="s">
        <v>29</v>
      </c>
      <c r="G19" s="7" t="s">
        <v>30</v>
      </c>
      <c r="H19" s="21">
        <f>228*117/100</f>
        <v>266.76</v>
      </c>
      <c r="I19" s="21">
        <f t="shared" si="1"/>
        <v>160056</v>
      </c>
      <c r="J19" s="7"/>
      <c r="K19" s="323"/>
      <c r="L19" s="332"/>
      <c r="M19" s="327"/>
    </row>
    <row r="20" spans="1:13" ht="13.9" customHeight="1" x14ac:dyDescent="0.2">
      <c r="A20" s="302"/>
      <c r="B20" s="303"/>
      <c r="C20" s="304"/>
      <c r="D20" s="304"/>
      <c r="E20" s="304"/>
      <c r="F20" s="304"/>
      <c r="G20" s="304"/>
      <c r="H20" s="304"/>
      <c r="I20" s="304"/>
      <c r="J20" s="304"/>
      <c r="K20" s="304"/>
      <c r="L20" s="304"/>
      <c r="M20" s="305"/>
    </row>
    <row r="21" spans="1:13" ht="15.75" x14ac:dyDescent="0.2">
      <c r="A21" s="359" t="s">
        <v>43</v>
      </c>
      <c r="B21" s="359"/>
      <c r="C21" s="359"/>
      <c r="D21" s="359"/>
      <c r="E21" s="359"/>
      <c r="F21" s="359"/>
      <c r="G21" s="359"/>
      <c r="H21" s="359"/>
      <c r="I21" s="359"/>
      <c r="J21" s="359"/>
      <c r="K21" s="359"/>
      <c r="L21" s="359"/>
      <c r="M21" s="359"/>
    </row>
    <row r="22" spans="1:13" ht="38.25" x14ac:dyDescent="0.2">
      <c r="A22" s="330">
        <v>3</v>
      </c>
      <c r="B22" s="307" t="s">
        <v>44</v>
      </c>
      <c r="C22" s="307" t="s">
        <v>38</v>
      </c>
      <c r="D22" s="17" t="s">
        <v>45</v>
      </c>
      <c r="E22" s="18">
        <v>94</v>
      </c>
      <c r="F22" s="17" t="s">
        <v>18</v>
      </c>
      <c r="G22" s="17" t="s">
        <v>18</v>
      </c>
      <c r="H22" s="19">
        <f>160000*117/100</f>
        <v>187200</v>
      </c>
      <c r="I22" s="19">
        <f>160000*117/100</f>
        <v>187200</v>
      </c>
      <c r="J22" s="17"/>
      <c r="K22" s="309" t="s">
        <v>46</v>
      </c>
      <c r="L22" s="319"/>
      <c r="M22" s="312"/>
    </row>
    <row r="23" spans="1:13" ht="51" x14ac:dyDescent="0.2">
      <c r="A23" s="330"/>
      <c r="B23" s="308"/>
      <c r="C23" s="308"/>
      <c r="D23" s="7" t="s">
        <v>47</v>
      </c>
      <c r="E23" s="20">
        <v>84</v>
      </c>
      <c r="F23" s="7" t="s">
        <v>18</v>
      </c>
      <c r="G23" s="7" t="s">
        <v>18</v>
      </c>
      <c r="H23" s="21">
        <f>216000*117/100</f>
        <v>252720</v>
      </c>
      <c r="I23" s="21">
        <f>216000*117/100</f>
        <v>252720</v>
      </c>
      <c r="J23" s="7"/>
      <c r="K23" s="310"/>
      <c r="L23" s="320"/>
      <c r="M23" s="313"/>
    </row>
    <row r="24" spans="1:13" ht="25.5" x14ac:dyDescent="0.2">
      <c r="A24" s="330"/>
      <c r="B24" s="308"/>
      <c r="C24" s="308"/>
      <c r="D24" s="7" t="s">
        <v>48</v>
      </c>
      <c r="E24" s="20">
        <v>74</v>
      </c>
      <c r="F24" s="7" t="s">
        <v>18</v>
      </c>
      <c r="G24" s="7" t="s">
        <v>18</v>
      </c>
      <c r="H24" s="21">
        <f>248000*117/100</f>
        <v>290160</v>
      </c>
      <c r="I24" s="21">
        <f>248000*117/100</f>
        <v>290160</v>
      </c>
      <c r="J24" s="7"/>
      <c r="K24" s="310"/>
      <c r="L24" s="320"/>
      <c r="M24" s="313"/>
    </row>
    <row r="25" spans="1:13" ht="51" x14ac:dyDescent="0.2">
      <c r="A25" s="330"/>
      <c r="B25" s="308"/>
      <c r="C25" s="308"/>
      <c r="D25" s="7" t="s">
        <v>49</v>
      </c>
      <c r="E25" s="20">
        <v>58</v>
      </c>
      <c r="F25" s="7" t="s">
        <v>18</v>
      </c>
      <c r="G25" s="7" t="s">
        <v>18</v>
      </c>
      <c r="H25" s="21">
        <f>250000*117/100</f>
        <v>292500</v>
      </c>
      <c r="I25" s="21">
        <f>250000*117/100</f>
        <v>292500</v>
      </c>
      <c r="J25" s="7"/>
      <c r="K25" s="310"/>
      <c r="L25" s="320"/>
      <c r="M25" s="313"/>
    </row>
    <row r="26" spans="1:13" ht="14.25" x14ac:dyDescent="0.2">
      <c r="A26" s="330"/>
      <c r="B26" s="334"/>
      <c r="C26" s="334"/>
      <c r="D26" s="334"/>
      <c r="E26" s="334"/>
      <c r="F26" s="334"/>
      <c r="G26" s="334"/>
      <c r="H26" s="334"/>
      <c r="I26" s="334"/>
      <c r="J26" s="334"/>
      <c r="K26" s="334"/>
      <c r="L26" s="334"/>
      <c r="M26" s="334"/>
    </row>
    <row r="27" spans="1:13" ht="15.75" x14ac:dyDescent="0.2">
      <c r="A27" s="359" t="s">
        <v>50</v>
      </c>
      <c r="B27" s="359"/>
      <c r="C27" s="359"/>
      <c r="D27" s="359"/>
      <c r="E27" s="359"/>
      <c r="F27" s="359"/>
      <c r="G27" s="359"/>
      <c r="H27" s="359"/>
      <c r="I27" s="359"/>
      <c r="J27" s="359"/>
      <c r="K27" s="359"/>
      <c r="L27" s="359"/>
      <c r="M27" s="359"/>
    </row>
    <row r="28" spans="1:13" ht="14.25" x14ac:dyDescent="0.2">
      <c r="A28" s="330">
        <v>4</v>
      </c>
      <c r="B28" s="307" t="s">
        <v>51</v>
      </c>
      <c r="C28" s="307" t="s">
        <v>52</v>
      </c>
      <c r="D28" s="17" t="s">
        <v>53</v>
      </c>
      <c r="E28" s="18">
        <v>100</v>
      </c>
      <c r="F28" s="17" t="s">
        <v>29</v>
      </c>
      <c r="G28" s="17" t="s">
        <v>54</v>
      </c>
      <c r="H28" s="19">
        <f>200*117/100</f>
        <v>234</v>
      </c>
      <c r="I28" s="19">
        <f>500*H28</f>
        <v>117000</v>
      </c>
      <c r="J28" s="17" t="s">
        <v>20</v>
      </c>
      <c r="K28" s="309" t="s">
        <v>46</v>
      </c>
      <c r="L28" s="319"/>
      <c r="M28" s="312">
        <v>2530092770</v>
      </c>
    </row>
    <row r="29" spans="1:13" ht="25.5" x14ac:dyDescent="0.2">
      <c r="A29" s="330"/>
      <c r="B29" s="308"/>
      <c r="C29" s="308"/>
      <c r="D29" s="7" t="s">
        <v>55</v>
      </c>
      <c r="E29" s="20">
        <v>90</v>
      </c>
      <c r="F29" s="7" t="s">
        <v>29</v>
      </c>
      <c r="G29" s="7" t="s">
        <v>54</v>
      </c>
      <c r="H29" s="21">
        <f>210*117/100</f>
        <v>245.7</v>
      </c>
      <c r="I29" s="21">
        <f t="shared" ref="I29:I30" si="2">500*H29</f>
        <v>122850</v>
      </c>
      <c r="J29" s="7" t="s">
        <v>20</v>
      </c>
      <c r="K29" s="310"/>
      <c r="L29" s="320"/>
      <c r="M29" s="313"/>
    </row>
    <row r="30" spans="1:13" ht="25.5" x14ac:dyDescent="0.2">
      <c r="A30" s="330"/>
      <c r="B30" s="308"/>
      <c r="C30" s="308"/>
      <c r="D30" s="7" t="s">
        <v>56</v>
      </c>
      <c r="E30" s="20">
        <v>80</v>
      </c>
      <c r="F30" s="7" t="s">
        <v>29</v>
      </c>
      <c r="G30" s="7" t="s">
        <v>54</v>
      </c>
      <c r="H30" s="21">
        <f>250*117/100</f>
        <v>292.5</v>
      </c>
      <c r="I30" s="21">
        <f t="shared" si="2"/>
        <v>146250</v>
      </c>
      <c r="J30" s="7" t="s">
        <v>20</v>
      </c>
      <c r="K30" s="310"/>
      <c r="L30" s="320"/>
      <c r="M30" s="313"/>
    </row>
    <row r="31" spans="1:13" ht="25.5" x14ac:dyDescent="0.2">
      <c r="A31" s="330"/>
      <c r="B31" s="308"/>
      <c r="C31" s="308"/>
      <c r="D31" s="7" t="s">
        <v>57</v>
      </c>
      <c r="E31" s="20">
        <v>70</v>
      </c>
      <c r="F31" s="7" t="s">
        <v>29</v>
      </c>
      <c r="G31" s="7" t="s">
        <v>54</v>
      </c>
      <c r="H31" s="21">
        <f>290*117/100</f>
        <v>339.3</v>
      </c>
      <c r="I31" s="21">
        <f>500*H31</f>
        <v>169650</v>
      </c>
      <c r="J31" s="7" t="s">
        <v>20</v>
      </c>
      <c r="K31" s="310"/>
      <c r="L31" s="320"/>
      <c r="M31" s="313"/>
    </row>
    <row r="32" spans="1:13" ht="14.25" x14ac:dyDescent="0.2">
      <c r="A32" s="330"/>
      <c r="B32" s="334"/>
      <c r="C32" s="334"/>
      <c r="D32" s="334"/>
      <c r="E32" s="334"/>
      <c r="F32" s="334"/>
      <c r="G32" s="334"/>
      <c r="H32" s="334"/>
      <c r="I32" s="334"/>
      <c r="J32" s="334"/>
      <c r="K32" s="334"/>
      <c r="L32" s="334"/>
      <c r="M32" s="334"/>
    </row>
  </sheetData>
  <mergeCells count="39">
    <mergeCell ref="A27:M27"/>
    <mergeCell ref="A28:A32"/>
    <mergeCell ref="B28:B31"/>
    <mergeCell ref="C28:C31"/>
    <mergeCell ref="K28:K31"/>
    <mergeCell ref="L28:L31"/>
    <mergeCell ref="M28:M31"/>
    <mergeCell ref="B32:M32"/>
    <mergeCell ref="A21:M21"/>
    <mergeCell ref="A22:A26"/>
    <mergeCell ref="B22:B25"/>
    <mergeCell ref="C22:C25"/>
    <mergeCell ref="K22:K25"/>
    <mergeCell ref="L22:L25"/>
    <mergeCell ref="M22:M25"/>
    <mergeCell ref="B26:M26"/>
    <mergeCell ref="A15:M15"/>
    <mergeCell ref="A16:A20"/>
    <mergeCell ref="B16:B19"/>
    <mergeCell ref="C16:C19"/>
    <mergeCell ref="K16:K19"/>
    <mergeCell ref="L16:L19"/>
    <mergeCell ref="M16:M19"/>
    <mergeCell ref="B20:M20"/>
    <mergeCell ref="A8:M8"/>
    <mergeCell ref="A9:A14"/>
    <mergeCell ref="B9:B13"/>
    <mergeCell ref="C9:C13"/>
    <mergeCell ref="K9:K13"/>
    <mergeCell ref="L9:L13"/>
    <mergeCell ref="M9:M13"/>
    <mergeCell ref="B14:M14"/>
    <mergeCell ref="A1:A7"/>
    <mergeCell ref="B1:M1"/>
    <mergeCell ref="B2:M2"/>
    <mergeCell ref="B3:M3"/>
    <mergeCell ref="B4:M4"/>
    <mergeCell ref="B5:M5"/>
    <mergeCell ref="B6:M6"/>
  </mergeCells>
  <pageMargins left="0.7" right="0.7" top="0.75" bottom="0.75" header="0.3" footer="0.3"/>
  <pageSetup paperSize="9" scale="7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
  <sheetViews>
    <sheetView rightToLeft="1" zoomScale="85" zoomScaleNormal="85" workbookViewId="0">
      <pane ySplit="6" topLeftCell="A7" activePane="bottomLeft" state="frozen"/>
      <selection pane="bottomLeft" activeCell="G21" sqref="G21"/>
    </sheetView>
  </sheetViews>
  <sheetFormatPr defaultColWidth="8.75" defaultRowHeight="15" x14ac:dyDescent="0.2"/>
  <cols>
    <col min="1" max="1" width="4.25" customWidth="1"/>
    <col min="2" max="2" width="21.125" style="8" bestFit="1" customWidth="1"/>
    <col min="4" max="4" width="7.25" customWidth="1"/>
    <col min="5" max="5" width="7.75" customWidth="1"/>
    <col min="7" max="7" width="8.75" style="9"/>
    <col min="8" max="8" width="12.125" style="10" bestFit="1" customWidth="1"/>
    <col min="9" max="9" width="12.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59</v>
      </c>
      <c r="C1" s="315"/>
      <c r="D1" s="315"/>
      <c r="E1" s="315"/>
      <c r="F1" s="315"/>
      <c r="G1" s="315"/>
      <c r="H1" s="315"/>
      <c r="I1" s="315"/>
      <c r="J1" s="315"/>
      <c r="K1" s="315"/>
      <c r="L1" s="315"/>
      <c r="M1" s="315"/>
    </row>
    <row r="2" spans="1:13" ht="14.25" x14ac:dyDescent="0.2">
      <c r="A2" s="314"/>
      <c r="B2" s="346" t="s">
        <v>22</v>
      </c>
      <c r="C2" s="346"/>
      <c r="D2" s="346"/>
      <c r="E2" s="346"/>
      <c r="F2" s="346"/>
      <c r="G2" s="346"/>
      <c r="H2" s="346"/>
      <c r="I2" s="346"/>
      <c r="J2" s="346"/>
      <c r="K2" s="346"/>
      <c r="L2" s="346"/>
      <c r="M2" s="346"/>
    </row>
    <row r="3" spans="1:13" ht="15.75" x14ac:dyDescent="0.2">
      <c r="A3" s="314"/>
      <c r="B3" s="317" t="s">
        <v>0</v>
      </c>
      <c r="C3" s="317"/>
      <c r="D3" s="317"/>
      <c r="E3" s="317"/>
      <c r="F3" s="317"/>
      <c r="G3" s="317"/>
      <c r="H3" s="317"/>
      <c r="I3" s="317"/>
      <c r="J3" s="317"/>
      <c r="K3" s="317"/>
      <c r="L3" s="317"/>
      <c r="M3" s="317"/>
    </row>
    <row r="4" spans="1:13" ht="14.25" x14ac:dyDescent="0.2">
      <c r="A4" s="314"/>
      <c r="B4" s="318" t="s">
        <v>15</v>
      </c>
      <c r="C4" s="318"/>
      <c r="D4" s="318"/>
      <c r="E4" s="318"/>
      <c r="F4" s="318"/>
      <c r="G4" s="318"/>
      <c r="H4" s="318"/>
      <c r="I4" s="318"/>
      <c r="J4" s="318"/>
      <c r="K4" s="318"/>
      <c r="L4" s="318"/>
      <c r="M4" s="318"/>
    </row>
    <row r="5" spans="1:13" ht="14.25" x14ac:dyDescent="0.2">
      <c r="A5" s="314"/>
      <c r="B5" s="356" t="s">
        <v>1</v>
      </c>
      <c r="C5" s="357"/>
      <c r="D5" s="357"/>
      <c r="E5" s="357"/>
      <c r="F5" s="357"/>
      <c r="G5" s="357"/>
      <c r="H5" s="357"/>
      <c r="I5" s="357"/>
      <c r="J5" s="357"/>
      <c r="K5" s="357"/>
      <c r="L5" s="357"/>
      <c r="M5" s="358"/>
    </row>
    <row r="6" spans="1:13" ht="47.25" x14ac:dyDescent="0.2">
      <c r="A6" s="314"/>
      <c r="B6" s="1" t="s">
        <v>2</v>
      </c>
      <c r="C6" s="2" t="s">
        <v>3</v>
      </c>
      <c r="D6" s="3" t="s">
        <v>4</v>
      </c>
      <c r="E6" s="3" t="s">
        <v>5</v>
      </c>
      <c r="F6" s="3" t="s">
        <v>6</v>
      </c>
      <c r="G6" s="3" t="s">
        <v>7</v>
      </c>
      <c r="H6" s="4" t="s">
        <v>8</v>
      </c>
      <c r="I6" s="5" t="s">
        <v>9</v>
      </c>
      <c r="J6" s="3" t="s">
        <v>10</v>
      </c>
      <c r="K6" s="3" t="s">
        <v>11</v>
      </c>
      <c r="L6" s="6" t="s">
        <v>12</v>
      </c>
      <c r="M6" s="3" t="s">
        <v>13</v>
      </c>
    </row>
    <row r="7" spans="1:13" ht="15.75" x14ac:dyDescent="0.2">
      <c r="A7" s="359" t="s">
        <v>14</v>
      </c>
      <c r="B7" s="359"/>
      <c r="C7" s="359"/>
      <c r="D7" s="359"/>
      <c r="E7" s="359"/>
      <c r="F7" s="359"/>
      <c r="G7" s="359"/>
      <c r="H7" s="359"/>
      <c r="I7" s="359"/>
      <c r="J7" s="359"/>
      <c r="K7" s="359"/>
      <c r="L7" s="359"/>
      <c r="M7" s="359"/>
    </row>
    <row r="8" spans="1:13" ht="31.5" x14ac:dyDescent="0.2">
      <c r="A8" s="330">
        <v>1</v>
      </c>
      <c r="B8" s="7" t="s">
        <v>16</v>
      </c>
      <c r="C8" s="7" t="s">
        <v>17</v>
      </c>
      <c r="D8" s="17" t="s">
        <v>19</v>
      </c>
      <c r="E8" s="18">
        <v>100</v>
      </c>
      <c r="F8" s="17" t="s">
        <v>18</v>
      </c>
      <c r="G8" s="17" t="s">
        <v>18</v>
      </c>
      <c r="H8" s="19">
        <f>8500*117/100</f>
        <v>9945</v>
      </c>
      <c r="I8" s="19">
        <f>8500*117/100</f>
        <v>9945</v>
      </c>
      <c r="J8" s="17" t="s">
        <v>20</v>
      </c>
      <c r="K8" s="6" t="s">
        <v>21</v>
      </c>
      <c r="L8" s="14"/>
      <c r="M8" s="15"/>
    </row>
    <row r="9" spans="1:13" ht="14.25" x14ac:dyDescent="0.2">
      <c r="A9" s="330"/>
      <c r="B9" s="334" t="s">
        <v>23</v>
      </c>
      <c r="C9" s="334"/>
      <c r="D9" s="334"/>
      <c r="E9" s="334"/>
      <c r="F9" s="334"/>
      <c r="G9" s="334"/>
      <c r="H9" s="334"/>
      <c r="I9" s="334"/>
      <c r="J9" s="334"/>
      <c r="K9" s="334"/>
      <c r="L9" s="334"/>
      <c r="M9" s="334"/>
    </row>
  </sheetData>
  <mergeCells count="9">
    <mergeCell ref="A7:M7"/>
    <mergeCell ref="A8:A9"/>
    <mergeCell ref="B9:M9"/>
    <mergeCell ref="A1:A6"/>
    <mergeCell ref="B1:M1"/>
    <mergeCell ref="B2:M2"/>
    <mergeCell ref="B3:M3"/>
    <mergeCell ref="B4:M4"/>
    <mergeCell ref="B5:M5"/>
  </mergeCells>
  <pageMargins left="0.7" right="0.7" top="0.75" bottom="0.7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rightToLeft="1" zoomScaleNormal="100" workbookViewId="0">
      <pane ySplit="6" topLeftCell="A7" activePane="bottomLeft" state="frozen"/>
      <selection pane="bottomLeft" activeCell="K21" sqref="K21:K23"/>
    </sheetView>
  </sheetViews>
  <sheetFormatPr defaultColWidth="8.75" defaultRowHeight="15" x14ac:dyDescent="0.2"/>
  <cols>
    <col min="1" max="1" width="4.25" style="263" customWidth="1"/>
    <col min="2" max="2" width="21.125" style="8" bestFit="1" customWidth="1"/>
    <col min="3" max="3" width="8.75" style="263"/>
    <col min="4" max="4" width="7.25" style="263" customWidth="1"/>
    <col min="5" max="5" width="7.75" style="263" customWidth="1"/>
    <col min="6" max="6" width="10.25" style="263" bestFit="1" customWidth="1"/>
    <col min="7" max="7" width="12.125" style="9" bestFit="1" customWidth="1"/>
    <col min="8" max="8" width="13.625" style="10" bestFit="1" customWidth="1"/>
    <col min="9" max="9" width="14.625" style="10" bestFit="1" customWidth="1"/>
    <col min="10" max="10" width="9" style="263" customWidth="1"/>
    <col min="11" max="11" width="23.625" style="11" customWidth="1"/>
    <col min="12" max="12" width="13.5" style="12" customWidth="1"/>
    <col min="13" max="13" width="16.5" style="13" customWidth="1"/>
    <col min="14" max="16384" width="8.75" style="263"/>
  </cols>
  <sheetData>
    <row r="1" spans="1:13" ht="20.25" x14ac:dyDescent="0.2">
      <c r="A1" s="314"/>
      <c r="B1" s="315" t="s">
        <v>1365</v>
      </c>
      <c r="C1" s="315"/>
      <c r="D1" s="315"/>
      <c r="E1" s="315"/>
      <c r="F1" s="315"/>
      <c r="G1" s="315"/>
      <c r="H1" s="315"/>
      <c r="I1" s="315"/>
      <c r="J1" s="315"/>
      <c r="K1" s="315"/>
      <c r="L1" s="315"/>
      <c r="M1" s="315"/>
    </row>
    <row r="2" spans="1:13" ht="29.45" customHeight="1" x14ac:dyDescent="0.2">
      <c r="A2" s="314"/>
      <c r="B2" s="316" t="s">
        <v>1346</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s="266" customFormat="1" ht="14.25" x14ac:dyDescent="0.2">
      <c r="A4" s="314"/>
      <c r="B4" s="318" t="s">
        <v>615</v>
      </c>
      <c r="C4" s="318"/>
      <c r="D4" s="318"/>
      <c r="E4" s="318"/>
      <c r="F4" s="318"/>
      <c r="G4" s="318"/>
      <c r="H4" s="318"/>
      <c r="I4" s="318"/>
      <c r="J4" s="318"/>
      <c r="K4" s="318"/>
      <c r="L4" s="318"/>
      <c r="M4" s="318"/>
    </row>
    <row r="5" spans="1:13" ht="14.25" x14ac:dyDescent="0.2">
      <c r="A5" s="314"/>
      <c r="B5" s="318" t="s">
        <v>1362</v>
      </c>
      <c r="C5" s="318"/>
      <c r="D5" s="318"/>
      <c r="E5" s="318"/>
      <c r="F5" s="318"/>
      <c r="G5" s="318"/>
      <c r="H5" s="318"/>
      <c r="I5" s="318"/>
      <c r="J5" s="318"/>
      <c r="K5" s="318"/>
      <c r="L5" s="318"/>
      <c r="M5" s="318"/>
    </row>
    <row r="6" spans="1:13" ht="47.25" x14ac:dyDescent="0.2">
      <c r="A6" s="314"/>
      <c r="B6" s="264" t="s">
        <v>2</v>
      </c>
      <c r="C6" s="2" t="s">
        <v>3</v>
      </c>
      <c r="D6" s="3" t="s">
        <v>4</v>
      </c>
      <c r="E6" s="3" t="s">
        <v>5</v>
      </c>
      <c r="F6" s="3" t="s">
        <v>6</v>
      </c>
      <c r="G6" s="3" t="s">
        <v>7</v>
      </c>
      <c r="H6" s="4" t="s">
        <v>8</v>
      </c>
      <c r="I6" s="5" t="s">
        <v>9</v>
      </c>
      <c r="J6" s="3" t="s">
        <v>10</v>
      </c>
      <c r="K6" s="3" t="s">
        <v>11</v>
      </c>
      <c r="L6" s="130" t="s">
        <v>12</v>
      </c>
      <c r="M6" s="3" t="s">
        <v>13</v>
      </c>
    </row>
    <row r="7" spans="1:13" ht="15.75" x14ac:dyDescent="0.2">
      <c r="A7" s="298" t="s">
        <v>1349</v>
      </c>
      <c r="B7" s="299"/>
      <c r="C7" s="299"/>
      <c r="D7" s="299"/>
      <c r="E7" s="299"/>
      <c r="F7" s="299"/>
      <c r="G7" s="299"/>
      <c r="H7" s="299"/>
      <c r="I7" s="299"/>
      <c r="J7" s="299"/>
      <c r="K7" s="299"/>
      <c r="L7" s="299"/>
      <c r="M7" s="300"/>
    </row>
    <row r="8" spans="1:13" ht="25.5" x14ac:dyDescent="0.2">
      <c r="A8" s="301">
        <v>1</v>
      </c>
      <c r="B8" s="307" t="s">
        <v>1355</v>
      </c>
      <c r="C8" s="307" t="s">
        <v>1356</v>
      </c>
      <c r="D8" s="7" t="s">
        <v>1357</v>
      </c>
      <c r="E8" s="20">
        <v>94</v>
      </c>
      <c r="F8" s="21" t="s">
        <v>29</v>
      </c>
      <c r="G8" s="21" t="s">
        <v>180</v>
      </c>
      <c r="H8" s="21">
        <f>185*117/100</f>
        <v>216.45</v>
      </c>
      <c r="I8" s="21">
        <f>400*H8</f>
        <v>86580</v>
      </c>
      <c r="J8" s="7" t="s">
        <v>20</v>
      </c>
      <c r="K8" s="309" t="s">
        <v>426</v>
      </c>
      <c r="L8" s="311" t="s">
        <v>926</v>
      </c>
      <c r="M8" s="312">
        <v>2530092770</v>
      </c>
    </row>
    <row r="9" spans="1:13" ht="14.25" x14ac:dyDescent="0.2">
      <c r="A9" s="306"/>
      <c r="B9" s="308"/>
      <c r="C9" s="308"/>
      <c r="D9" s="17" t="s">
        <v>53</v>
      </c>
      <c r="E9" s="18">
        <v>94.75</v>
      </c>
      <c r="F9" s="19" t="s">
        <v>29</v>
      </c>
      <c r="G9" s="19" t="s">
        <v>180</v>
      </c>
      <c r="H9" s="19">
        <f>200*117/100</f>
        <v>234</v>
      </c>
      <c r="I9" s="19">
        <f t="shared" ref="I9:I11" si="0">400*H9</f>
        <v>93600</v>
      </c>
      <c r="J9" s="17" t="s">
        <v>20</v>
      </c>
      <c r="K9" s="310"/>
      <c r="L9" s="311"/>
      <c r="M9" s="313"/>
    </row>
    <row r="10" spans="1:13" ht="25.5" x14ac:dyDescent="0.2">
      <c r="A10" s="306"/>
      <c r="B10" s="308"/>
      <c r="C10" s="308"/>
      <c r="D10" s="7" t="s">
        <v>56</v>
      </c>
      <c r="E10" s="20">
        <v>82.86</v>
      </c>
      <c r="F10" s="21" t="s">
        <v>29</v>
      </c>
      <c r="G10" s="21" t="s">
        <v>180</v>
      </c>
      <c r="H10" s="21">
        <f>220*117/100</f>
        <v>257.39999999999998</v>
      </c>
      <c r="I10" s="21">
        <f t="shared" si="0"/>
        <v>102959.99999999999</v>
      </c>
      <c r="J10" s="7" t="s">
        <v>20</v>
      </c>
      <c r="K10" s="310"/>
      <c r="L10" s="311"/>
      <c r="M10" s="313"/>
    </row>
    <row r="11" spans="1:13" ht="25.5" x14ac:dyDescent="0.2">
      <c r="A11" s="306"/>
      <c r="B11" s="308"/>
      <c r="C11" s="308"/>
      <c r="D11" s="7" t="s">
        <v>1358</v>
      </c>
      <c r="E11" s="20">
        <v>63.24</v>
      </c>
      <c r="F11" s="21" t="s">
        <v>29</v>
      </c>
      <c r="G11" s="21" t="s">
        <v>180</v>
      </c>
      <c r="H11" s="21">
        <f>330*117/100</f>
        <v>386.1</v>
      </c>
      <c r="I11" s="21">
        <f t="shared" si="0"/>
        <v>154440</v>
      </c>
      <c r="J11" s="7"/>
      <c r="K11" s="310"/>
      <c r="L11" s="311"/>
      <c r="M11" s="313"/>
    </row>
    <row r="12" spans="1:13" ht="14.25" x14ac:dyDescent="0.2">
      <c r="A12" s="302"/>
      <c r="B12" s="303" t="s">
        <v>1366</v>
      </c>
      <c r="C12" s="304"/>
      <c r="D12" s="304"/>
      <c r="E12" s="304"/>
      <c r="F12" s="304"/>
      <c r="G12" s="304"/>
      <c r="H12" s="304"/>
      <c r="I12" s="304"/>
      <c r="J12" s="304"/>
      <c r="K12" s="304"/>
      <c r="L12" s="304"/>
      <c r="M12" s="305"/>
    </row>
    <row r="13" spans="1:13" ht="15.75" x14ac:dyDescent="0.2">
      <c r="A13" s="298" t="s">
        <v>1348</v>
      </c>
      <c r="B13" s="299"/>
      <c r="C13" s="299"/>
      <c r="D13" s="299"/>
      <c r="E13" s="299"/>
      <c r="F13" s="299"/>
      <c r="G13" s="299"/>
      <c r="H13" s="299"/>
      <c r="I13" s="299"/>
      <c r="J13" s="299"/>
      <c r="K13" s="299"/>
      <c r="L13" s="299"/>
      <c r="M13" s="300"/>
    </row>
    <row r="14" spans="1:13" ht="30.75" customHeight="1" x14ac:dyDescent="0.2">
      <c r="A14" s="301">
        <v>2</v>
      </c>
      <c r="B14" s="307" t="s">
        <v>1232</v>
      </c>
      <c r="C14" s="307" t="s">
        <v>1235</v>
      </c>
      <c r="D14" s="17" t="s">
        <v>1233</v>
      </c>
      <c r="E14" s="18">
        <v>100</v>
      </c>
      <c r="F14" s="19" t="s">
        <v>18</v>
      </c>
      <c r="G14" s="19" t="s">
        <v>18</v>
      </c>
      <c r="H14" s="19">
        <f>87300*117/100</f>
        <v>102141</v>
      </c>
      <c r="I14" s="19">
        <f>87300*117/100</f>
        <v>102141</v>
      </c>
      <c r="J14" s="17"/>
      <c r="K14" s="309" t="s">
        <v>1367</v>
      </c>
      <c r="L14" s="311" t="s">
        <v>926</v>
      </c>
      <c r="M14" s="312"/>
    </row>
    <row r="15" spans="1:13" ht="33" customHeight="1" x14ac:dyDescent="0.2">
      <c r="A15" s="306"/>
      <c r="B15" s="328"/>
      <c r="C15" s="328"/>
      <c r="D15" s="7" t="s">
        <v>1234</v>
      </c>
      <c r="E15" s="20">
        <v>85</v>
      </c>
      <c r="F15" s="21" t="s">
        <v>18</v>
      </c>
      <c r="G15" s="21" t="s">
        <v>18</v>
      </c>
      <c r="H15" s="21">
        <f>112035*117/100</f>
        <v>131080.95000000001</v>
      </c>
      <c r="I15" s="21">
        <f>112035*117/100</f>
        <v>131080.95000000001</v>
      </c>
      <c r="J15" s="7" t="s">
        <v>20</v>
      </c>
      <c r="K15" s="323"/>
      <c r="L15" s="311"/>
      <c r="M15" s="327"/>
    </row>
    <row r="16" spans="1:13" ht="30" customHeight="1" x14ac:dyDescent="0.2">
      <c r="A16" s="302"/>
      <c r="B16" s="303" t="s">
        <v>1350</v>
      </c>
      <c r="C16" s="304"/>
      <c r="D16" s="304"/>
      <c r="E16" s="304"/>
      <c r="F16" s="304"/>
      <c r="G16" s="304"/>
      <c r="H16" s="304"/>
      <c r="I16" s="304"/>
      <c r="J16" s="304"/>
      <c r="K16" s="304"/>
      <c r="L16" s="304"/>
      <c r="M16" s="305"/>
    </row>
    <row r="17" spans="1:13" ht="15.75" x14ac:dyDescent="0.2">
      <c r="A17" s="298" t="s">
        <v>1351</v>
      </c>
      <c r="B17" s="299"/>
      <c r="C17" s="299"/>
      <c r="D17" s="299"/>
      <c r="E17" s="299"/>
      <c r="F17" s="299"/>
      <c r="G17" s="299"/>
      <c r="H17" s="299"/>
      <c r="I17" s="299"/>
      <c r="J17" s="299"/>
      <c r="K17" s="299"/>
      <c r="L17" s="299"/>
      <c r="M17" s="300"/>
    </row>
    <row r="18" spans="1:13" ht="76.5" x14ac:dyDescent="0.2">
      <c r="A18" s="301">
        <v>3</v>
      </c>
      <c r="B18" s="260" t="s">
        <v>1352</v>
      </c>
      <c r="C18" s="260" t="s">
        <v>1353</v>
      </c>
      <c r="D18" s="17" t="s">
        <v>1169</v>
      </c>
      <c r="E18" s="18">
        <v>100</v>
      </c>
      <c r="F18" s="19" t="s">
        <v>68</v>
      </c>
      <c r="G18" s="19" t="s">
        <v>1354</v>
      </c>
      <c r="H18" s="19">
        <f>18000*117/100</f>
        <v>21060</v>
      </c>
      <c r="I18" s="19">
        <f>H18*6</f>
        <v>126360</v>
      </c>
      <c r="J18" s="17" t="s">
        <v>20</v>
      </c>
      <c r="K18" s="261" t="s">
        <v>583</v>
      </c>
      <c r="L18" s="265" t="s">
        <v>926</v>
      </c>
      <c r="M18" s="262"/>
    </row>
    <row r="19" spans="1:13" ht="14.25" customHeight="1" x14ac:dyDescent="0.2">
      <c r="A19" s="302"/>
      <c r="B19" s="303" t="s">
        <v>1361</v>
      </c>
      <c r="C19" s="304"/>
      <c r="D19" s="304"/>
      <c r="E19" s="304"/>
      <c r="F19" s="304"/>
      <c r="G19" s="304"/>
      <c r="H19" s="304"/>
      <c r="I19" s="304"/>
      <c r="J19" s="304"/>
      <c r="K19" s="304"/>
      <c r="L19" s="304"/>
      <c r="M19" s="305"/>
    </row>
    <row r="20" spans="1:13" ht="15.75" x14ac:dyDescent="0.2">
      <c r="A20" s="298" t="s">
        <v>1336</v>
      </c>
      <c r="B20" s="299"/>
      <c r="C20" s="299"/>
      <c r="D20" s="299"/>
      <c r="E20" s="299"/>
      <c r="F20" s="299"/>
      <c r="G20" s="299"/>
      <c r="H20" s="299"/>
      <c r="I20" s="299"/>
      <c r="J20" s="299"/>
      <c r="K20" s="299"/>
      <c r="L20" s="299"/>
      <c r="M20" s="300"/>
    </row>
    <row r="21" spans="1:13" ht="25.5" x14ac:dyDescent="0.2">
      <c r="A21" s="301">
        <v>4</v>
      </c>
      <c r="B21" s="307" t="s">
        <v>1372</v>
      </c>
      <c r="C21" s="321" t="s">
        <v>1256</v>
      </c>
      <c r="D21" s="17" t="s">
        <v>1368</v>
      </c>
      <c r="E21" s="18">
        <v>88</v>
      </c>
      <c r="F21" s="19" t="s">
        <v>18</v>
      </c>
      <c r="G21" s="19" t="s">
        <v>18</v>
      </c>
      <c r="H21" s="19">
        <f>40000*117/100</f>
        <v>46800</v>
      </c>
      <c r="I21" s="19">
        <f>40000*117/100</f>
        <v>46800</v>
      </c>
      <c r="J21" s="17"/>
      <c r="K21" s="309" t="s">
        <v>426</v>
      </c>
      <c r="L21" s="311"/>
      <c r="M21" s="312"/>
    </row>
    <row r="22" spans="1:13" ht="14.25" x14ac:dyDescent="0.2">
      <c r="A22" s="306"/>
      <c r="B22" s="308"/>
      <c r="C22" s="322"/>
      <c r="D22" s="7" t="s">
        <v>1369</v>
      </c>
      <c r="E22" s="20">
        <v>72</v>
      </c>
      <c r="F22" s="21" t="s">
        <v>18</v>
      </c>
      <c r="G22" s="258" t="s">
        <v>18</v>
      </c>
      <c r="H22" s="21">
        <f>42000*117/100</f>
        <v>49140</v>
      </c>
      <c r="I22" s="21">
        <f>42000*117/100</f>
        <v>49140</v>
      </c>
      <c r="J22" s="7"/>
      <c r="K22" s="310"/>
      <c r="L22" s="311"/>
      <c r="M22" s="313"/>
    </row>
    <row r="23" spans="1:13" ht="25.5" x14ac:dyDescent="0.2">
      <c r="A23" s="306"/>
      <c r="B23" s="308"/>
      <c r="C23" s="322"/>
      <c r="D23" s="7" t="s">
        <v>1370</v>
      </c>
      <c r="E23" s="20">
        <v>62</v>
      </c>
      <c r="F23" s="21" t="s">
        <v>18</v>
      </c>
      <c r="G23" s="258" t="s">
        <v>18</v>
      </c>
      <c r="H23" s="21">
        <f>62000*117/100</f>
        <v>72540</v>
      </c>
      <c r="I23" s="21">
        <f>62000*117/100</f>
        <v>72540</v>
      </c>
      <c r="J23" s="7"/>
      <c r="K23" s="310"/>
      <c r="L23" s="311"/>
      <c r="M23" s="313"/>
    </row>
    <row r="24" spans="1:13" ht="14.25" x14ac:dyDescent="0.2">
      <c r="A24" s="302"/>
      <c r="B24" s="303" t="s">
        <v>1371</v>
      </c>
      <c r="C24" s="304"/>
      <c r="D24" s="304"/>
      <c r="E24" s="304"/>
      <c r="F24" s="304"/>
      <c r="G24" s="304"/>
      <c r="H24" s="304"/>
      <c r="I24" s="304"/>
      <c r="J24" s="304"/>
      <c r="K24" s="304"/>
      <c r="L24" s="304"/>
      <c r="M24" s="305"/>
    </row>
  </sheetData>
  <mergeCells count="33">
    <mergeCell ref="A20:M20"/>
    <mergeCell ref="A21:A24"/>
    <mergeCell ref="B21:B23"/>
    <mergeCell ref="C21:C23"/>
    <mergeCell ref="K21:K23"/>
    <mergeCell ref="L21:L23"/>
    <mergeCell ref="M21:M23"/>
    <mergeCell ref="B24:M24"/>
    <mergeCell ref="B5:M5"/>
    <mergeCell ref="A7:M7"/>
    <mergeCell ref="A8:A12"/>
    <mergeCell ref="B12:M12"/>
    <mergeCell ref="B8:B11"/>
    <mergeCell ref="A1:A6"/>
    <mergeCell ref="B1:M1"/>
    <mergeCell ref="B2:M2"/>
    <mergeCell ref="B3:M3"/>
    <mergeCell ref="B4:M4"/>
    <mergeCell ref="A18:A19"/>
    <mergeCell ref="B19:M19"/>
    <mergeCell ref="K8:K11"/>
    <mergeCell ref="L8:L11"/>
    <mergeCell ref="M8:M11"/>
    <mergeCell ref="C8:C11"/>
    <mergeCell ref="A13:M13"/>
    <mergeCell ref="A17:M17"/>
    <mergeCell ref="B16:M16"/>
    <mergeCell ref="M14:M15"/>
    <mergeCell ref="L14:L15"/>
    <mergeCell ref="K14:K15"/>
    <mergeCell ref="C14:C15"/>
    <mergeCell ref="B14:B15"/>
    <mergeCell ref="A14:A16"/>
  </mergeCells>
  <pageMargins left="0.7" right="0.7" top="0.75" bottom="0.75" header="0.3" footer="0.3"/>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rightToLeft="1" zoomScaleNormal="100" workbookViewId="0">
      <pane ySplit="6" topLeftCell="A7" activePane="bottomLeft" state="frozen"/>
      <selection pane="bottomLeft" activeCell="B31" sqref="B31"/>
    </sheetView>
  </sheetViews>
  <sheetFormatPr defaultColWidth="8.75" defaultRowHeight="15" x14ac:dyDescent="0.2"/>
  <cols>
    <col min="1" max="1" width="4.25" style="255" customWidth="1"/>
    <col min="2" max="2" width="21.125" style="8" bestFit="1" customWidth="1"/>
    <col min="3" max="3" width="8.75" style="255"/>
    <col min="4" max="4" width="7.25" style="255" customWidth="1"/>
    <col min="5" max="5" width="7.75" style="255" customWidth="1"/>
    <col min="6" max="6" width="10.25" style="255" bestFit="1" customWidth="1"/>
    <col min="7" max="7" width="12.125" style="9" bestFit="1" customWidth="1"/>
    <col min="8" max="8" width="13.625" style="10" bestFit="1" customWidth="1"/>
    <col min="9" max="9" width="14.625" style="10" bestFit="1" customWidth="1"/>
    <col min="10" max="10" width="9" style="255" customWidth="1"/>
    <col min="11" max="11" width="23.625" style="11" customWidth="1"/>
    <col min="12" max="12" width="13.5" style="12" customWidth="1"/>
    <col min="13" max="13" width="16.5" style="13" customWidth="1"/>
    <col min="14" max="16384" width="8.75" style="255"/>
  </cols>
  <sheetData>
    <row r="1" spans="1:13" ht="20.25" x14ac:dyDescent="0.2">
      <c r="A1" s="314"/>
      <c r="B1" s="315" t="s">
        <v>1345</v>
      </c>
      <c r="C1" s="315"/>
      <c r="D1" s="315"/>
      <c r="E1" s="315"/>
      <c r="F1" s="315"/>
      <c r="G1" s="315"/>
      <c r="H1" s="315"/>
      <c r="I1" s="315"/>
      <c r="J1" s="315"/>
      <c r="K1" s="315"/>
      <c r="L1" s="315"/>
      <c r="M1" s="315"/>
    </row>
    <row r="2" spans="1:13" ht="29.45" customHeight="1" x14ac:dyDescent="0.2">
      <c r="A2" s="314"/>
      <c r="B2" s="316" t="s">
        <v>1346</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s="257" customFormat="1" ht="14.25" x14ac:dyDescent="0.2">
      <c r="A4" s="314"/>
      <c r="B4" s="318" t="s">
        <v>615</v>
      </c>
      <c r="C4" s="318"/>
      <c r="D4" s="318"/>
      <c r="E4" s="318"/>
      <c r="F4" s="318"/>
      <c r="G4" s="318"/>
      <c r="H4" s="318"/>
      <c r="I4" s="318"/>
      <c r="J4" s="318"/>
      <c r="K4" s="318"/>
      <c r="L4" s="318"/>
      <c r="M4" s="318"/>
    </row>
    <row r="5" spans="1:13" ht="14.25" x14ac:dyDescent="0.2">
      <c r="A5" s="314"/>
      <c r="B5" s="318" t="s">
        <v>1344</v>
      </c>
      <c r="C5" s="318"/>
      <c r="D5" s="318"/>
      <c r="E5" s="318"/>
      <c r="F5" s="318"/>
      <c r="G5" s="318"/>
      <c r="H5" s="318"/>
      <c r="I5" s="318"/>
      <c r="J5" s="318"/>
      <c r="K5" s="318"/>
      <c r="L5" s="318"/>
      <c r="M5" s="318"/>
    </row>
    <row r="6" spans="1:13" ht="47.25" x14ac:dyDescent="0.2">
      <c r="A6" s="314"/>
      <c r="B6" s="256" t="s">
        <v>2</v>
      </c>
      <c r="C6" s="2" t="s">
        <v>3</v>
      </c>
      <c r="D6" s="3" t="s">
        <v>4</v>
      </c>
      <c r="E6" s="3" t="s">
        <v>5</v>
      </c>
      <c r="F6" s="3" t="s">
        <v>6</v>
      </c>
      <c r="G6" s="3" t="s">
        <v>7</v>
      </c>
      <c r="H6" s="4" t="s">
        <v>8</v>
      </c>
      <c r="I6" s="5" t="s">
        <v>9</v>
      </c>
      <c r="J6" s="3" t="s">
        <v>10</v>
      </c>
      <c r="K6" s="3" t="s">
        <v>11</v>
      </c>
      <c r="L6" s="130" t="s">
        <v>12</v>
      </c>
      <c r="M6" s="3" t="s">
        <v>13</v>
      </c>
    </row>
    <row r="7" spans="1:13" ht="15.75" x14ac:dyDescent="0.2">
      <c r="A7" s="298" t="s">
        <v>1332</v>
      </c>
      <c r="B7" s="299"/>
      <c r="C7" s="299"/>
      <c r="D7" s="299"/>
      <c r="E7" s="299"/>
      <c r="F7" s="299"/>
      <c r="G7" s="299"/>
      <c r="H7" s="299"/>
      <c r="I7" s="299"/>
      <c r="J7" s="299"/>
      <c r="K7" s="299"/>
      <c r="L7" s="299"/>
      <c r="M7" s="300"/>
    </row>
    <row r="8" spans="1:13" ht="38.25" x14ac:dyDescent="0.2">
      <c r="A8" s="301">
        <v>1</v>
      </c>
      <c r="B8" s="307" t="s">
        <v>1373</v>
      </c>
      <c r="C8" s="307" t="s">
        <v>1287</v>
      </c>
      <c r="D8" s="17" t="s">
        <v>1343</v>
      </c>
      <c r="E8" s="18">
        <v>100</v>
      </c>
      <c r="F8" s="19" t="s">
        <v>18</v>
      </c>
      <c r="G8" s="19" t="s">
        <v>18</v>
      </c>
      <c r="H8" s="19">
        <f>25700*117/100</f>
        <v>30069</v>
      </c>
      <c r="I8" s="19">
        <f>25700*117/100</f>
        <v>30069</v>
      </c>
      <c r="J8" s="17" t="s">
        <v>20</v>
      </c>
      <c r="K8" s="309" t="s">
        <v>426</v>
      </c>
      <c r="L8" s="311"/>
      <c r="M8" s="312"/>
    </row>
    <row r="9" spans="1:13" ht="25.5" x14ac:dyDescent="0.2">
      <c r="A9" s="306"/>
      <c r="B9" s="308"/>
      <c r="C9" s="308"/>
      <c r="D9" s="7" t="s">
        <v>1328</v>
      </c>
      <c r="E9" s="20">
        <v>78</v>
      </c>
      <c r="F9" s="21" t="s">
        <v>18</v>
      </c>
      <c r="G9" s="21" t="s">
        <v>18</v>
      </c>
      <c r="H9" s="21">
        <f>37345*117/100</f>
        <v>43693.65</v>
      </c>
      <c r="I9" s="21">
        <f>37345*117/100</f>
        <v>43693.65</v>
      </c>
      <c r="J9" s="7" t="s">
        <v>20</v>
      </c>
      <c r="K9" s="310"/>
      <c r="L9" s="311"/>
      <c r="M9" s="313"/>
    </row>
    <row r="10" spans="1:13" ht="25.5" x14ac:dyDescent="0.2">
      <c r="A10" s="306"/>
      <c r="B10" s="308"/>
      <c r="C10" s="308"/>
      <c r="D10" s="7" t="s">
        <v>1325</v>
      </c>
      <c r="E10" s="20">
        <v>73</v>
      </c>
      <c r="F10" s="21" t="s">
        <v>18</v>
      </c>
      <c r="G10" s="21" t="s">
        <v>18</v>
      </c>
      <c r="H10" s="21">
        <f>42000*117/100</f>
        <v>49140</v>
      </c>
      <c r="I10" s="21">
        <f>42000*117/100</f>
        <v>49140</v>
      </c>
      <c r="J10" s="7" t="s">
        <v>20</v>
      </c>
      <c r="K10" s="310"/>
      <c r="L10" s="311"/>
      <c r="M10" s="313"/>
    </row>
    <row r="11" spans="1:13" ht="14.25" x14ac:dyDescent="0.2">
      <c r="A11" s="306"/>
      <c r="B11" s="308"/>
      <c r="C11" s="308"/>
      <c r="D11" s="7" t="s">
        <v>1326</v>
      </c>
      <c r="E11" s="20">
        <v>66</v>
      </c>
      <c r="F11" s="21" t="s">
        <v>18</v>
      </c>
      <c r="G11" s="21" t="s">
        <v>18</v>
      </c>
      <c r="H11" s="21">
        <f>49500*117/100</f>
        <v>57915</v>
      </c>
      <c r="I11" s="21">
        <f>49500*117/100</f>
        <v>57915</v>
      </c>
      <c r="J11" s="7" t="s">
        <v>20</v>
      </c>
      <c r="K11" s="310"/>
      <c r="L11" s="311"/>
      <c r="M11" s="313"/>
    </row>
    <row r="12" spans="1:13" ht="25.5" x14ac:dyDescent="0.2">
      <c r="A12" s="306"/>
      <c r="B12" s="308"/>
      <c r="C12" s="308"/>
      <c r="D12" s="7" t="s">
        <v>1327</v>
      </c>
      <c r="E12" s="20">
        <v>47</v>
      </c>
      <c r="F12" s="21" t="s">
        <v>18</v>
      </c>
      <c r="G12" s="21" t="s">
        <v>18</v>
      </c>
      <c r="H12" s="21">
        <f>105000*117/100</f>
        <v>122850</v>
      </c>
      <c r="I12" s="21">
        <f>105000*117/100</f>
        <v>122850</v>
      </c>
      <c r="J12" s="7" t="s">
        <v>20</v>
      </c>
      <c r="K12" s="310"/>
      <c r="L12" s="311"/>
      <c r="M12" s="313"/>
    </row>
    <row r="13" spans="1:13" ht="14.25" x14ac:dyDescent="0.2">
      <c r="A13" s="302"/>
      <c r="B13" s="303"/>
      <c r="C13" s="304"/>
      <c r="D13" s="304"/>
      <c r="E13" s="304"/>
      <c r="F13" s="304"/>
      <c r="G13" s="304"/>
      <c r="H13" s="304"/>
      <c r="I13" s="304"/>
      <c r="J13" s="304"/>
      <c r="K13" s="304"/>
      <c r="L13" s="304"/>
      <c r="M13" s="305"/>
    </row>
    <row r="14" spans="1:13" ht="15.75" x14ac:dyDescent="0.2">
      <c r="A14" s="298" t="s">
        <v>1333</v>
      </c>
      <c r="B14" s="299"/>
      <c r="C14" s="299"/>
      <c r="D14" s="299"/>
      <c r="E14" s="299"/>
      <c r="F14" s="299"/>
      <c r="G14" s="299"/>
      <c r="H14" s="299"/>
      <c r="I14" s="299"/>
      <c r="J14" s="299"/>
      <c r="K14" s="299"/>
      <c r="L14" s="299"/>
      <c r="M14" s="300"/>
    </row>
    <row r="15" spans="1:13" ht="25.5" x14ac:dyDescent="0.2">
      <c r="A15" s="301">
        <v>2</v>
      </c>
      <c r="B15" s="307" t="s">
        <v>1329</v>
      </c>
      <c r="C15" s="321" t="s">
        <v>1330</v>
      </c>
      <c r="D15" s="17" t="s">
        <v>652</v>
      </c>
      <c r="E15" s="18">
        <v>100</v>
      </c>
      <c r="F15" s="19" t="s">
        <v>1274</v>
      </c>
      <c r="G15" s="19" t="s">
        <v>1331</v>
      </c>
      <c r="H15" s="273">
        <v>5.4999999999999997E-3</v>
      </c>
      <c r="I15" s="19">
        <f>0.55/100*2000000*117/100</f>
        <v>12870.000000000002</v>
      </c>
      <c r="J15" s="17" t="s">
        <v>20</v>
      </c>
      <c r="K15" s="309" t="s">
        <v>426</v>
      </c>
      <c r="L15" s="311"/>
      <c r="M15" s="312" t="s">
        <v>757</v>
      </c>
    </row>
    <row r="16" spans="1:13" ht="25.5" x14ac:dyDescent="0.2">
      <c r="A16" s="306"/>
      <c r="B16" s="308"/>
      <c r="C16" s="322"/>
      <c r="D16" s="7" t="s">
        <v>1278</v>
      </c>
      <c r="E16" s="20">
        <v>39</v>
      </c>
      <c r="F16" s="21" t="s">
        <v>1274</v>
      </c>
      <c r="G16" s="258" t="s">
        <v>1331</v>
      </c>
      <c r="H16" s="36">
        <v>1.7999999999999999E-2</v>
      </c>
      <c r="I16" s="259">
        <f>1.8/100*2000000*117/100</f>
        <v>42120.000000000007</v>
      </c>
      <c r="J16" s="7" t="s">
        <v>20</v>
      </c>
      <c r="K16" s="310"/>
      <c r="L16" s="311"/>
      <c r="M16" s="313"/>
    </row>
    <row r="17" spans="1:13" ht="25.15" customHeight="1" x14ac:dyDescent="0.2">
      <c r="A17" s="306"/>
      <c r="B17" s="308"/>
      <c r="C17" s="322"/>
      <c r="D17" s="7" t="s">
        <v>1089</v>
      </c>
      <c r="E17" s="20">
        <v>34</v>
      </c>
      <c r="F17" s="21" t="s">
        <v>1274</v>
      </c>
      <c r="G17" s="258" t="s">
        <v>1331</v>
      </c>
      <c r="H17" s="36">
        <v>2.4E-2</v>
      </c>
      <c r="I17" s="259">
        <f>2.4/100*2000000*117/100</f>
        <v>56160</v>
      </c>
      <c r="J17" s="7"/>
      <c r="K17" s="310"/>
      <c r="L17" s="311"/>
      <c r="M17" s="313"/>
    </row>
    <row r="18" spans="1:13" ht="14.25" x14ac:dyDescent="0.2">
      <c r="A18" s="302"/>
      <c r="B18" s="303" t="s">
        <v>1334</v>
      </c>
      <c r="C18" s="304"/>
      <c r="D18" s="304"/>
      <c r="E18" s="304"/>
      <c r="F18" s="304"/>
      <c r="G18" s="304"/>
      <c r="H18" s="304"/>
      <c r="I18" s="304"/>
      <c r="J18" s="304"/>
      <c r="K18" s="304"/>
      <c r="L18" s="304"/>
      <c r="M18" s="305"/>
    </row>
    <row r="19" spans="1:13" ht="15.75" x14ac:dyDescent="0.2">
      <c r="A19" s="298" t="s">
        <v>1335</v>
      </c>
      <c r="B19" s="299"/>
      <c r="C19" s="299"/>
      <c r="D19" s="299"/>
      <c r="E19" s="299"/>
      <c r="F19" s="299"/>
      <c r="G19" s="299"/>
      <c r="H19" s="299"/>
      <c r="I19" s="299"/>
      <c r="J19" s="299"/>
      <c r="K19" s="299"/>
      <c r="L19" s="299"/>
      <c r="M19" s="300"/>
    </row>
    <row r="20" spans="1:13" ht="25.5" x14ac:dyDescent="0.2">
      <c r="A20" s="301">
        <v>3</v>
      </c>
      <c r="B20" s="307" t="s">
        <v>1337</v>
      </c>
      <c r="C20" s="321" t="s">
        <v>1330</v>
      </c>
      <c r="D20" s="17" t="s">
        <v>652</v>
      </c>
      <c r="E20" s="18">
        <v>100</v>
      </c>
      <c r="F20" s="19" t="s">
        <v>1274</v>
      </c>
      <c r="G20" s="19" t="s">
        <v>1338</v>
      </c>
      <c r="H20" s="38">
        <v>5.1999999999999998E-3</v>
      </c>
      <c r="I20" s="19">
        <f>0.52/100*2350000*117/100</f>
        <v>14297.4</v>
      </c>
      <c r="J20" s="17" t="s">
        <v>20</v>
      </c>
      <c r="K20" s="309" t="s">
        <v>426</v>
      </c>
      <c r="L20" s="311"/>
      <c r="M20" s="312" t="s">
        <v>1339</v>
      </c>
    </row>
    <row r="21" spans="1:13" ht="25.5" x14ac:dyDescent="0.2">
      <c r="A21" s="306"/>
      <c r="B21" s="308"/>
      <c r="C21" s="322"/>
      <c r="D21" s="7" t="s">
        <v>1278</v>
      </c>
      <c r="E21" s="20">
        <v>37</v>
      </c>
      <c r="F21" s="21" t="s">
        <v>1274</v>
      </c>
      <c r="G21" s="258" t="s">
        <v>1338</v>
      </c>
      <c r="H21" s="36">
        <v>1.9E-2</v>
      </c>
      <c r="I21" s="259">
        <f>1.9/100*2350000*117/100</f>
        <v>52240.5</v>
      </c>
      <c r="J21" s="7" t="s">
        <v>20</v>
      </c>
      <c r="K21" s="310"/>
      <c r="L21" s="311"/>
      <c r="M21" s="313"/>
    </row>
    <row r="22" spans="1:13" ht="25.5" x14ac:dyDescent="0.2">
      <c r="A22" s="306"/>
      <c r="B22" s="308"/>
      <c r="C22" s="322"/>
      <c r="D22" s="7" t="s">
        <v>1089</v>
      </c>
      <c r="E22" s="20">
        <v>32</v>
      </c>
      <c r="F22" s="21" t="s">
        <v>1274</v>
      </c>
      <c r="G22" s="258" t="s">
        <v>1338</v>
      </c>
      <c r="H22" s="36">
        <v>2.5600000000000001E-2</v>
      </c>
      <c r="I22" s="259">
        <f>2.56/100*2350000*117/100</f>
        <v>70387.199999999997</v>
      </c>
      <c r="J22" s="7"/>
      <c r="K22" s="310"/>
      <c r="L22" s="311"/>
      <c r="M22" s="313"/>
    </row>
    <row r="23" spans="1:13" ht="14.25" x14ac:dyDescent="0.2">
      <c r="A23" s="302"/>
      <c r="B23" s="303" t="s">
        <v>1334</v>
      </c>
      <c r="C23" s="304"/>
      <c r="D23" s="304"/>
      <c r="E23" s="304"/>
      <c r="F23" s="304"/>
      <c r="G23" s="304"/>
      <c r="H23" s="304"/>
      <c r="I23" s="304"/>
      <c r="J23" s="304"/>
      <c r="K23" s="304"/>
      <c r="L23" s="304"/>
      <c r="M23" s="305"/>
    </row>
    <row r="24" spans="1:13" ht="15.75" x14ac:dyDescent="0.2">
      <c r="A24" s="298" t="s">
        <v>1336</v>
      </c>
      <c r="B24" s="299"/>
      <c r="C24" s="299"/>
      <c r="D24" s="299"/>
      <c r="E24" s="299"/>
      <c r="F24" s="299"/>
      <c r="G24" s="299"/>
      <c r="H24" s="299"/>
      <c r="I24" s="299"/>
      <c r="J24" s="299"/>
      <c r="K24" s="299"/>
      <c r="L24" s="299"/>
      <c r="M24" s="300"/>
    </row>
    <row r="25" spans="1:13" ht="25.5" x14ac:dyDescent="0.2">
      <c r="A25" s="301">
        <v>4</v>
      </c>
      <c r="B25" s="307" t="s">
        <v>1340</v>
      </c>
      <c r="C25" s="321" t="s">
        <v>1330</v>
      </c>
      <c r="D25" s="17" t="s">
        <v>652</v>
      </c>
      <c r="E25" s="18">
        <v>100</v>
      </c>
      <c r="F25" s="19" t="s">
        <v>1274</v>
      </c>
      <c r="G25" s="19" t="s">
        <v>1341</v>
      </c>
      <c r="H25" s="38">
        <v>4.0000000000000001E-3</v>
      </c>
      <c r="I25" s="19">
        <f>0.4/100*4500000*117/100</f>
        <v>21060</v>
      </c>
      <c r="J25" s="17" t="s">
        <v>20</v>
      </c>
      <c r="K25" s="309" t="s">
        <v>426</v>
      </c>
      <c r="L25" s="311"/>
      <c r="M25" s="312" t="s">
        <v>1342</v>
      </c>
    </row>
    <row r="26" spans="1:13" ht="25.5" x14ac:dyDescent="0.2">
      <c r="A26" s="306"/>
      <c r="B26" s="308"/>
      <c r="C26" s="322"/>
      <c r="D26" s="7" t="s">
        <v>1278</v>
      </c>
      <c r="E26" s="20">
        <v>40</v>
      </c>
      <c r="F26" s="21" t="s">
        <v>1274</v>
      </c>
      <c r="G26" s="258" t="s">
        <v>1341</v>
      </c>
      <c r="H26" s="36">
        <v>1.2999999999999999E-2</v>
      </c>
      <c r="I26" s="259">
        <f>1.3/100*4500000*117/100</f>
        <v>68445.000000000015</v>
      </c>
      <c r="J26" s="7" t="s">
        <v>20</v>
      </c>
      <c r="K26" s="310"/>
      <c r="L26" s="311"/>
      <c r="M26" s="313"/>
    </row>
    <row r="27" spans="1:13" ht="25.5" x14ac:dyDescent="0.2">
      <c r="A27" s="306"/>
      <c r="B27" s="308"/>
      <c r="C27" s="322"/>
      <c r="D27" s="7" t="s">
        <v>1089</v>
      </c>
      <c r="E27" s="20">
        <v>39</v>
      </c>
      <c r="F27" s="21" t="s">
        <v>1274</v>
      </c>
      <c r="G27" s="258" t="s">
        <v>1341</v>
      </c>
      <c r="H27" s="36">
        <v>1.35E-2</v>
      </c>
      <c r="I27" s="259">
        <f>1.35/100*4500000*117/100</f>
        <v>71077.500000000015</v>
      </c>
      <c r="J27" s="7"/>
      <c r="K27" s="310"/>
      <c r="L27" s="311"/>
      <c r="M27" s="313"/>
    </row>
    <row r="28" spans="1:13" ht="14.25" x14ac:dyDescent="0.2">
      <c r="A28" s="302"/>
      <c r="B28" s="303" t="s">
        <v>1334</v>
      </c>
      <c r="C28" s="304"/>
      <c r="D28" s="304"/>
      <c r="E28" s="304"/>
      <c r="F28" s="304"/>
      <c r="G28" s="304"/>
      <c r="H28" s="304"/>
      <c r="I28" s="304"/>
      <c r="J28" s="304"/>
      <c r="K28" s="304"/>
      <c r="L28" s="304"/>
      <c r="M28" s="305"/>
    </row>
  </sheetData>
  <mergeCells count="38">
    <mergeCell ref="A24:M24"/>
    <mergeCell ref="A25:A28"/>
    <mergeCell ref="B25:B27"/>
    <mergeCell ref="C25:C27"/>
    <mergeCell ref="K25:K27"/>
    <mergeCell ref="L25:L27"/>
    <mergeCell ref="M25:M27"/>
    <mergeCell ref="B28:M28"/>
    <mergeCell ref="A19:M19"/>
    <mergeCell ref="A20:A23"/>
    <mergeCell ref="B20:B22"/>
    <mergeCell ref="C20:C22"/>
    <mergeCell ref="K20:K22"/>
    <mergeCell ref="L20:L22"/>
    <mergeCell ref="M20:M22"/>
    <mergeCell ref="B23:M23"/>
    <mergeCell ref="M8:M12"/>
    <mergeCell ref="B13:M13"/>
    <mergeCell ref="A1:A6"/>
    <mergeCell ref="B1:M1"/>
    <mergeCell ref="B2:M2"/>
    <mergeCell ref="B3:M3"/>
    <mergeCell ref="B5:M5"/>
    <mergeCell ref="A7:M7"/>
    <mergeCell ref="B4:M4"/>
    <mergeCell ref="A8:A13"/>
    <mergeCell ref="B8:B12"/>
    <mergeCell ref="C8:C12"/>
    <mergeCell ref="K8:K12"/>
    <mergeCell ref="L8:L12"/>
    <mergeCell ref="A14:M14"/>
    <mergeCell ref="A15:A18"/>
    <mergeCell ref="B15:B17"/>
    <mergeCell ref="C15:C17"/>
    <mergeCell ref="K15:K17"/>
    <mergeCell ref="L15:L17"/>
    <mergeCell ref="M15:M17"/>
    <mergeCell ref="B18:M18"/>
  </mergeCells>
  <pageMargins left="0.7" right="0.7"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rightToLeft="1" zoomScale="115" zoomScaleNormal="115" workbookViewId="0">
      <pane ySplit="5" topLeftCell="A24" activePane="bottomLeft" state="frozen"/>
      <selection pane="bottomLeft" activeCell="B31" sqref="B31:M31"/>
    </sheetView>
  </sheetViews>
  <sheetFormatPr defaultColWidth="8.75" defaultRowHeight="15" x14ac:dyDescent="0.2"/>
  <cols>
    <col min="1" max="1" width="4.25" style="222" customWidth="1"/>
    <col min="2" max="2" width="21.125" style="8" bestFit="1" customWidth="1"/>
    <col min="3" max="3" width="8.75" style="222"/>
    <col min="4" max="4" width="7.25" style="222" customWidth="1"/>
    <col min="5" max="5" width="7.75" style="222" customWidth="1"/>
    <col min="6" max="6" width="10.25" style="222" bestFit="1" customWidth="1"/>
    <col min="7" max="7" width="12.125" style="9" bestFit="1" customWidth="1"/>
    <col min="8" max="8" width="13.625" style="10" bestFit="1" customWidth="1"/>
    <col min="9" max="9" width="14.625" style="10" bestFit="1" customWidth="1"/>
    <col min="10" max="10" width="9" style="222" customWidth="1"/>
    <col min="11" max="11" width="23.625" style="11" customWidth="1"/>
    <col min="12" max="12" width="13.5" style="12" customWidth="1"/>
    <col min="13" max="13" width="16.5" style="13" customWidth="1"/>
    <col min="14" max="16384" width="8.75" style="222"/>
  </cols>
  <sheetData>
    <row r="1" spans="1:13" ht="20.25" x14ac:dyDescent="0.2">
      <c r="A1" s="314"/>
      <c r="B1" s="315" t="s">
        <v>1322</v>
      </c>
      <c r="C1" s="315"/>
      <c r="D1" s="315"/>
      <c r="E1" s="315"/>
      <c r="F1" s="315"/>
      <c r="G1" s="315"/>
      <c r="H1" s="315"/>
      <c r="I1" s="315"/>
      <c r="J1" s="315"/>
      <c r="K1" s="315"/>
      <c r="L1" s="315"/>
      <c r="M1" s="315"/>
    </row>
    <row r="2" spans="1:13" ht="29.45" customHeight="1" x14ac:dyDescent="0.2">
      <c r="A2" s="314"/>
      <c r="B2" s="316" t="s">
        <v>1346</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47.25" x14ac:dyDescent="0.2">
      <c r="A5" s="314"/>
      <c r="B5" s="221" t="s">
        <v>2</v>
      </c>
      <c r="C5" s="2" t="s">
        <v>3</v>
      </c>
      <c r="D5" s="3" t="s">
        <v>4</v>
      </c>
      <c r="E5" s="3" t="s">
        <v>5</v>
      </c>
      <c r="F5" s="3" t="s">
        <v>6</v>
      </c>
      <c r="G5" s="3" t="s">
        <v>7</v>
      </c>
      <c r="H5" s="4" t="s">
        <v>8</v>
      </c>
      <c r="I5" s="5" t="s">
        <v>9</v>
      </c>
      <c r="J5" s="3" t="s">
        <v>10</v>
      </c>
      <c r="K5" s="3" t="s">
        <v>11</v>
      </c>
      <c r="L5" s="130" t="s">
        <v>12</v>
      </c>
      <c r="M5" s="3" t="s">
        <v>13</v>
      </c>
    </row>
    <row r="6" spans="1:13" ht="15.75" x14ac:dyDescent="0.2">
      <c r="A6" s="298" t="s">
        <v>1262</v>
      </c>
      <c r="B6" s="299"/>
      <c r="C6" s="299"/>
      <c r="D6" s="299"/>
      <c r="E6" s="299"/>
      <c r="F6" s="299"/>
      <c r="G6" s="299"/>
      <c r="H6" s="299"/>
      <c r="I6" s="299"/>
      <c r="J6" s="299"/>
      <c r="K6" s="299"/>
      <c r="L6" s="299"/>
      <c r="M6" s="300"/>
    </row>
    <row r="7" spans="1:13" ht="60" x14ac:dyDescent="0.2">
      <c r="A7" s="301">
        <v>1</v>
      </c>
      <c r="B7" s="224" t="s">
        <v>1269</v>
      </c>
      <c r="C7" s="232" t="s">
        <v>1271</v>
      </c>
      <c r="D7" s="17" t="s">
        <v>1313</v>
      </c>
      <c r="E7" s="18">
        <v>100</v>
      </c>
      <c r="F7" s="19" t="s">
        <v>1270</v>
      </c>
      <c r="G7" s="19" t="s">
        <v>1323</v>
      </c>
      <c r="H7" s="19">
        <f>150*117/100</f>
        <v>175.5</v>
      </c>
      <c r="I7" s="19">
        <f>H7*20</f>
        <v>3510</v>
      </c>
      <c r="J7" s="17" t="s">
        <v>20</v>
      </c>
      <c r="K7" s="223" t="s">
        <v>583</v>
      </c>
      <c r="L7" s="225" t="s">
        <v>926</v>
      </c>
      <c r="M7" s="226"/>
    </row>
    <row r="8" spans="1:13" ht="14.25" x14ac:dyDescent="0.2">
      <c r="A8" s="302"/>
      <c r="B8" s="303" t="s">
        <v>1324</v>
      </c>
      <c r="C8" s="304"/>
      <c r="D8" s="304"/>
      <c r="E8" s="304"/>
      <c r="F8" s="304"/>
      <c r="G8" s="304"/>
      <c r="H8" s="304"/>
      <c r="I8" s="304"/>
      <c r="J8" s="304"/>
      <c r="K8" s="304"/>
      <c r="L8" s="304"/>
      <c r="M8" s="305"/>
    </row>
    <row r="9" spans="1:13" ht="15.75" x14ac:dyDescent="0.2">
      <c r="A9" s="298" t="s">
        <v>1263</v>
      </c>
      <c r="B9" s="299"/>
      <c r="C9" s="299"/>
      <c r="D9" s="299"/>
      <c r="E9" s="299"/>
      <c r="F9" s="299"/>
      <c r="G9" s="299"/>
      <c r="H9" s="299"/>
      <c r="I9" s="299"/>
      <c r="J9" s="299"/>
      <c r="K9" s="299"/>
      <c r="L9" s="299"/>
      <c r="M9" s="300"/>
    </row>
    <row r="10" spans="1:13" ht="25.5" x14ac:dyDescent="0.2">
      <c r="A10" s="301">
        <v>2</v>
      </c>
      <c r="B10" s="307" t="s">
        <v>1273</v>
      </c>
      <c r="C10" s="307" t="s">
        <v>210</v>
      </c>
      <c r="D10" s="17" t="s">
        <v>253</v>
      </c>
      <c r="E10" s="18">
        <v>100</v>
      </c>
      <c r="F10" s="19" t="s">
        <v>1274</v>
      </c>
      <c r="G10" s="19" t="s">
        <v>1319</v>
      </c>
      <c r="H10" s="38">
        <v>3.8899999999999997E-2</v>
      </c>
      <c r="I10" s="19">
        <f>3.89/100*3300000*117/100*20/100</f>
        <v>30038.580000000005</v>
      </c>
      <c r="J10" s="17" t="s">
        <v>20</v>
      </c>
      <c r="K10" s="309" t="s">
        <v>1318</v>
      </c>
      <c r="L10" s="311" t="s">
        <v>926</v>
      </c>
      <c r="M10" s="312"/>
    </row>
    <row r="11" spans="1:13" ht="25.5" x14ac:dyDescent="0.2">
      <c r="A11" s="306"/>
      <c r="B11" s="308"/>
      <c r="C11" s="308"/>
      <c r="D11" s="7" t="s">
        <v>221</v>
      </c>
      <c r="E11" s="233">
        <v>84.5</v>
      </c>
      <c r="F11" s="21" t="s">
        <v>1274</v>
      </c>
      <c r="G11" s="21" t="s">
        <v>1275</v>
      </c>
      <c r="H11" s="36">
        <v>4.4999999999999998E-2</v>
      </c>
      <c r="I11" s="21">
        <f>4.5/100*3300000*117/100*20/100</f>
        <v>34749</v>
      </c>
      <c r="J11" s="7" t="s">
        <v>20</v>
      </c>
      <c r="K11" s="310"/>
      <c r="L11" s="311"/>
      <c r="M11" s="313"/>
    </row>
    <row r="12" spans="1:13" ht="25.5" x14ac:dyDescent="0.2">
      <c r="A12" s="306"/>
      <c r="B12" s="308"/>
      <c r="C12" s="308"/>
      <c r="D12" s="7" t="s">
        <v>1283</v>
      </c>
      <c r="E12" s="233">
        <v>84.5</v>
      </c>
      <c r="F12" s="21" t="s">
        <v>1274</v>
      </c>
      <c r="G12" s="21" t="s">
        <v>1275</v>
      </c>
      <c r="H12" s="36">
        <v>0.05</v>
      </c>
      <c r="I12" s="21">
        <f>5/100*3300000*117/100*20/100</f>
        <v>38610</v>
      </c>
      <c r="J12" s="7"/>
      <c r="K12" s="310"/>
      <c r="L12" s="311"/>
      <c r="M12" s="313"/>
    </row>
    <row r="13" spans="1:13" ht="14.25" x14ac:dyDescent="0.2">
      <c r="A13" s="302"/>
      <c r="B13" s="303" t="s">
        <v>1314</v>
      </c>
      <c r="C13" s="304"/>
      <c r="D13" s="304"/>
      <c r="E13" s="304"/>
      <c r="F13" s="304"/>
      <c r="G13" s="304"/>
      <c r="H13" s="304"/>
      <c r="I13" s="304"/>
      <c r="J13" s="304"/>
      <c r="K13" s="304"/>
      <c r="L13" s="304"/>
      <c r="M13" s="305"/>
    </row>
    <row r="14" spans="1:13" ht="15.75" x14ac:dyDescent="0.2">
      <c r="A14" s="298" t="s">
        <v>1264</v>
      </c>
      <c r="B14" s="299"/>
      <c r="C14" s="299"/>
      <c r="D14" s="299"/>
      <c r="E14" s="299"/>
      <c r="F14" s="299"/>
      <c r="G14" s="299"/>
      <c r="H14" s="299"/>
      <c r="I14" s="299"/>
      <c r="J14" s="299"/>
      <c r="K14" s="299"/>
      <c r="L14" s="299"/>
      <c r="M14" s="300"/>
    </row>
    <row r="15" spans="1:13" ht="25.5" x14ac:dyDescent="0.2">
      <c r="A15" s="301">
        <v>3</v>
      </c>
      <c r="B15" s="307" t="s">
        <v>1282</v>
      </c>
      <c r="C15" s="307" t="s">
        <v>210</v>
      </c>
      <c r="D15" s="17" t="s">
        <v>219</v>
      </c>
      <c r="E15" s="18">
        <v>100</v>
      </c>
      <c r="F15" s="19" t="s">
        <v>1274</v>
      </c>
      <c r="G15" s="19" t="s">
        <v>1312</v>
      </c>
      <c r="H15" s="38">
        <v>3.8800000000000001E-2</v>
      </c>
      <c r="I15" s="19">
        <f>3.88/100*3500000*117/100*20/100</f>
        <v>31777.200000000001</v>
      </c>
      <c r="J15" s="17" t="s">
        <v>20</v>
      </c>
      <c r="K15" s="309" t="s">
        <v>1318</v>
      </c>
      <c r="L15" s="311" t="s">
        <v>926</v>
      </c>
      <c r="M15" s="312" t="s">
        <v>1285</v>
      </c>
    </row>
    <row r="16" spans="1:13" ht="25.5" x14ac:dyDescent="0.2">
      <c r="A16" s="306"/>
      <c r="B16" s="308"/>
      <c r="C16" s="308"/>
      <c r="D16" s="7" t="s">
        <v>1284</v>
      </c>
      <c r="E16" s="20">
        <v>84</v>
      </c>
      <c r="F16" s="21" t="s">
        <v>1274</v>
      </c>
      <c r="G16" s="21" t="s">
        <v>1312</v>
      </c>
      <c r="H16" s="36">
        <v>4.4999999999999998E-2</v>
      </c>
      <c r="I16" s="21">
        <f>4.5/100*3500000*117/100*20/100</f>
        <v>36855</v>
      </c>
      <c r="J16" s="7" t="s">
        <v>20</v>
      </c>
      <c r="K16" s="310"/>
      <c r="L16" s="311"/>
      <c r="M16" s="313"/>
    </row>
    <row r="17" spans="1:13" ht="25.5" x14ac:dyDescent="0.2">
      <c r="A17" s="306"/>
      <c r="B17" s="308"/>
      <c r="C17" s="308"/>
      <c r="D17" s="7" t="s">
        <v>1283</v>
      </c>
      <c r="E17" s="20">
        <v>92</v>
      </c>
      <c r="F17" s="21" t="s">
        <v>1274</v>
      </c>
      <c r="G17" s="21" t="s">
        <v>1312</v>
      </c>
      <c r="H17" s="36">
        <v>4.3499999999999997E-2</v>
      </c>
      <c r="I17" s="21">
        <f>4.35/100*3500000*117/100*20/100</f>
        <v>35626.5</v>
      </c>
      <c r="J17" s="7"/>
      <c r="K17" s="310"/>
      <c r="L17" s="311"/>
      <c r="M17" s="313"/>
    </row>
    <row r="18" spans="1:13" ht="14.25" x14ac:dyDescent="0.2">
      <c r="A18" s="302"/>
      <c r="B18" s="303" t="s">
        <v>1315</v>
      </c>
      <c r="C18" s="304"/>
      <c r="D18" s="304"/>
      <c r="E18" s="304"/>
      <c r="F18" s="304"/>
      <c r="G18" s="304"/>
      <c r="H18" s="304"/>
      <c r="I18" s="304"/>
      <c r="J18" s="304"/>
      <c r="K18" s="304"/>
      <c r="L18" s="304"/>
      <c r="M18" s="305"/>
    </row>
    <row r="19" spans="1:13" ht="15.75" x14ac:dyDescent="0.2">
      <c r="A19" s="298" t="s">
        <v>1265</v>
      </c>
      <c r="B19" s="299"/>
      <c r="C19" s="299"/>
      <c r="D19" s="299"/>
      <c r="E19" s="299"/>
      <c r="F19" s="299"/>
      <c r="G19" s="299"/>
      <c r="H19" s="299"/>
      <c r="I19" s="299"/>
      <c r="J19" s="299"/>
      <c r="K19" s="299"/>
      <c r="L19" s="299"/>
      <c r="M19" s="300"/>
    </row>
    <row r="20" spans="1:13" ht="14.25" x14ac:dyDescent="0.2">
      <c r="A20" s="301">
        <v>4</v>
      </c>
      <c r="B20" s="307" t="s">
        <v>1286</v>
      </c>
      <c r="C20" s="307" t="s">
        <v>1287</v>
      </c>
      <c r="D20" s="17" t="s">
        <v>1288</v>
      </c>
      <c r="E20" s="18">
        <v>100</v>
      </c>
      <c r="F20" s="19" t="s">
        <v>29</v>
      </c>
      <c r="G20" s="19" t="s">
        <v>180</v>
      </c>
      <c r="H20" s="38">
        <f>200*117/100</f>
        <v>234</v>
      </c>
      <c r="I20" s="19">
        <f>400*H20</f>
        <v>93600</v>
      </c>
      <c r="J20" s="17" t="s">
        <v>20</v>
      </c>
      <c r="K20" s="309" t="s">
        <v>426</v>
      </c>
      <c r="L20" s="311" t="s">
        <v>926</v>
      </c>
      <c r="M20" s="312">
        <v>253009</v>
      </c>
    </row>
    <row r="21" spans="1:13" ht="63.75" x14ac:dyDescent="0.2">
      <c r="A21" s="306"/>
      <c r="B21" s="308"/>
      <c r="C21" s="308"/>
      <c r="D21" s="7" t="s">
        <v>1292</v>
      </c>
      <c r="E21" s="20">
        <v>93</v>
      </c>
      <c r="F21" s="21" t="s">
        <v>29</v>
      </c>
      <c r="G21" s="21" t="s">
        <v>180</v>
      </c>
      <c r="H21" s="21">
        <f>220*117/100</f>
        <v>257.39999999999998</v>
      </c>
      <c r="I21" s="21">
        <f t="shared" ref="I21:I24" si="0">400*H21</f>
        <v>102959.99999999999</v>
      </c>
      <c r="J21" s="7" t="s">
        <v>20</v>
      </c>
      <c r="K21" s="310"/>
      <c r="L21" s="311"/>
      <c r="M21" s="313"/>
    </row>
    <row r="22" spans="1:13" s="230" customFormat="1" ht="14.25" x14ac:dyDescent="0.2">
      <c r="A22" s="306"/>
      <c r="B22" s="308"/>
      <c r="C22" s="308"/>
      <c r="D22" s="7" t="s">
        <v>1289</v>
      </c>
      <c r="E22" s="20">
        <v>93</v>
      </c>
      <c r="F22" s="21" t="s">
        <v>29</v>
      </c>
      <c r="G22" s="21" t="s">
        <v>180</v>
      </c>
      <c r="H22" s="21">
        <f>220*117/100</f>
        <v>257.39999999999998</v>
      </c>
      <c r="I22" s="21">
        <f t="shared" si="0"/>
        <v>102959.99999999999</v>
      </c>
      <c r="J22" s="7" t="s">
        <v>20</v>
      </c>
      <c r="K22" s="310"/>
      <c r="L22" s="311"/>
      <c r="M22" s="313"/>
    </row>
    <row r="23" spans="1:13" s="230" customFormat="1" ht="25.5" x14ac:dyDescent="0.2">
      <c r="A23" s="306"/>
      <c r="B23" s="308"/>
      <c r="C23" s="308"/>
      <c r="D23" s="7" t="s">
        <v>1290</v>
      </c>
      <c r="E23" s="20">
        <v>88</v>
      </c>
      <c r="F23" s="21" t="s">
        <v>29</v>
      </c>
      <c r="G23" s="21" t="s">
        <v>180</v>
      </c>
      <c r="H23" s="21">
        <f>240*117/100</f>
        <v>280.8</v>
      </c>
      <c r="I23" s="21">
        <f t="shared" si="0"/>
        <v>112320</v>
      </c>
      <c r="J23" s="7" t="s">
        <v>20</v>
      </c>
      <c r="K23" s="310"/>
      <c r="L23" s="311"/>
      <c r="M23" s="313"/>
    </row>
    <row r="24" spans="1:13" ht="14.25" x14ac:dyDescent="0.2">
      <c r="A24" s="306"/>
      <c r="B24" s="308"/>
      <c r="C24" s="308"/>
      <c r="D24" s="7" t="s">
        <v>1291</v>
      </c>
      <c r="E24" s="20">
        <v>84</v>
      </c>
      <c r="F24" s="21" t="s">
        <v>29</v>
      </c>
      <c r="G24" s="21" t="s">
        <v>180</v>
      </c>
      <c r="H24" s="21">
        <f>240*117/100</f>
        <v>280.8</v>
      </c>
      <c r="I24" s="21">
        <f t="shared" si="0"/>
        <v>112320</v>
      </c>
      <c r="J24" s="7"/>
      <c r="K24" s="310"/>
      <c r="L24" s="311"/>
      <c r="M24" s="313"/>
    </row>
    <row r="25" spans="1:13" ht="14.25" x14ac:dyDescent="0.2">
      <c r="A25" s="302"/>
      <c r="B25" s="303" t="s">
        <v>1293</v>
      </c>
      <c r="C25" s="304"/>
      <c r="D25" s="304"/>
      <c r="E25" s="304"/>
      <c r="F25" s="304"/>
      <c r="G25" s="304"/>
      <c r="H25" s="304"/>
      <c r="I25" s="304"/>
      <c r="J25" s="304"/>
      <c r="K25" s="304"/>
      <c r="L25" s="304"/>
      <c r="M25" s="305"/>
    </row>
    <row r="26" spans="1:13" ht="15.75" x14ac:dyDescent="0.2">
      <c r="A26" s="298" t="s">
        <v>1266</v>
      </c>
      <c r="B26" s="299"/>
      <c r="C26" s="299"/>
      <c r="D26" s="299"/>
      <c r="E26" s="299"/>
      <c r="F26" s="299"/>
      <c r="G26" s="299"/>
      <c r="H26" s="299"/>
      <c r="I26" s="299"/>
      <c r="J26" s="299"/>
      <c r="K26" s="299"/>
      <c r="L26" s="299"/>
      <c r="M26" s="300"/>
    </row>
    <row r="27" spans="1:13" ht="141.75" x14ac:dyDescent="0.2">
      <c r="A27" s="301">
        <v>5</v>
      </c>
      <c r="B27" s="228" t="s">
        <v>1306</v>
      </c>
      <c r="C27" s="228" t="s">
        <v>693</v>
      </c>
      <c r="D27" s="17" t="s">
        <v>1294</v>
      </c>
      <c r="E27" s="18">
        <v>100</v>
      </c>
      <c r="F27" s="19" t="s">
        <v>29</v>
      </c>
      <c r="G27" s="19" t="s">
        <v>1305</v>
      </c>
      <c r="H27" s="19">
        <f>190*117/100</f>
        <v>222.3</v>
      </c>
      <c r="I27" s="19">
        <f>180*H27</f>
        <v>40014</v>
      </c>
      <c r="J27" s="17" t="s">
        <v>20</v>
      </c>
      <c r="K27" s="229" t="s">
        <v>1360</v>
      </c>
      <c r="L27" s="267" t="s">
        <v>926</v>
      </c>
      <c r="M27" s="227">
        <v>2710062750</v>
      </c>
    </row>
    <row r="28" spans="1:13" ht="14.25" x14ac:dyDescent="0.2">
      <c r="A28" s="302"/>
      <c r="B28" s="303" t="s">
        <v>1295</v>
      </c>
      <c r="C28" s="304"/>
      <c r="D28" s="304"/>
      <c r="E28" s="304"/>
      <c r="F28" s="304"/>
      <c r="G28" s="304"/>
      <c r="H28" s="304"/>
      <c r="I28" s="304"/>
      <c r="J28" s="304"/>
      <c r="K28" s="304"/>
      <c r="L28" s="304"/>
      <c r="M28" s="305"/>
    </row>
    <row r="29" spans="1:13" ht="15.75" x14ac:dyDescent="0.2">
      <c r="A29" s="298" t="s">
        <v>1267</v>
      </c>
      <c r="B29" s="299"/>
      <c r="C29" s="299"/>
      <c r="D29" s="299"/>
      <c r="E29" s="299"/>
      <c r="F29" s="299"/>
      <c r="G29" s="299"/>
      <c r="H29" s="299"/>
      <c r="I29" s="299"/>
      <c r="J29" s="299"/>
      <c r="K29" s="299"/>
      <c r="L29" s="299"/>
      <c r="M29" s="300"/>
    </row>
    <row r="30" spans="1:13" ht="63.75" x14ac:dyDescent="0.2">
      <c r="A30" s="301">
        <v>6</v>
      </c>
      <c r="B30" s="228" t="s">
        <v>1301</v>
      </c>
      <c r="C30" s="228" t="s">
        <v>146</v>
      </c>
      <c r="D30" s="17" t="s">
        <v>163</v>
      </c>
      <c r="E30" s="18">
        <v>100</v>
      </c>
      <c r="F30" s="19" t="s">
        <v>18</v>
      </c>
      <c r="G30" s="19" t="s">
        <v>18</v>
      </c>
      <c r="H30" s="19">
        <v>70200</v>
      </c>
      <c r="I30" s="19">
        <v>70200</v>
      </c>
      <c r="J30" s="17" t="s">
        <v>20</v>
      </c>
      <c r="K30" s="229" t="s">
        <v>583</v>
      </c>
      <c r="L30" s="231" t="s">
        <v>926</v>
      </c>
      <c r="M30" s="227" t="s">
        <v>887</v>
      </c>
    </row>
    <row r="31" spans="1:13" ht="30" customHeight="1" x14ac:dyDescent="0.2">
      <c r="A31" s="302"/>
      <c r="B31" s="303" t="s">
        <v>1320</v>
      </c>
      <c r="C31" s="304"/>
      <c r="D31" s="304"/>
      <c r="E31" s="304"/>
      <c r="F31" s="304"/>
      <c r="G31" s="304"/>
      <c r="H31" s="304"/>
      <c r="I31" s="304"/>
      <c r="J31" s="304"/>
      <c r="K31" s="304"/>
      <c r="L31" s="304"/>
      <c r="M31" s="305"/>
    </row>
    <row r="32" spans="1:13" ht="15.75" x14ac:dyDescent="0.2">
      <c r="A32" s="298" t="s">
        <v>1268</v>
      </c>
      <c r="B32" s="299"/>
      <c r="C32" s="299"/>
      <c r="D32" s="299"/>
      <c r="E32" s="299"/>
      <c r="F32" s="299"/>
      <c r="G32" s="299"/>
      <c r="H32" s="299"/>
      <c r="I32" s="299"/>
      <c r="J32" s="299"/>
      <c r="K32" s="299"/>
      <c r="L32" s="299"/>
      <c r="M32" s="300"/>
    </row>
    <row r="33" spans="1:13" ht="63.75" x14ac:dyDescent="0.2">
      <c r="A33" s="301">
        <v>7</v>
      </c>
      <c r="B33" s="235" t="s">
        <v>1296</v>
      </c>
      <c r="C33" s="235" t="s">
        <v>1297</v>
      </c>
      <c r="D33" s="17" t="s">
        <v>568</v>
      </c>
      <c r="E33" s="18">
        <v>94</v>
      </c>
      <c r="F33" s="19" t="s">
        <v>571</v>
      </c>
      <c r="G33" s="19" t="s">
        <v>1303</v>
      </c>
      <c r="H33" s="19">
        <f>750*117/100</f>
        <v>877.5</v>
      </c>
      <c r="I33" s="19">
        <f>H33*16</f>
        <v>14040</v>
      </c>
      <c r="J33" s="17" t="s">
        <v>20</v>
      </c>
      <c r="K33" s="254" t="s">
        <v>583</v>
      </c>
      <c r="L33" s="238" t="s">
        <v>926</v>
      </c>
      <c r="M33" s="237" t="s">
        <v>1304</v>
      </c>
    </row>
    <row r="34" spans="1:13" ht="14.25" x14ac:dyDescent="0.2">
      <c r="A34" s="302"/>
      <c r="B34" s="303" t="s">
        <v>1302</v>
      </c>
      <c r="C34" s="304"/>
      <c r="D34" s="304"/>
      <c r="E34" s="304"/>
      <c r="F34" s="304"/>
      <c r="G34" s="304"/>
      <c r="H34" s="304"/>
      <c r="I34" s="304"/>
      <c r="J34" s="304"/>
      <c r="K34" s="304"/>
      <c r="L34" s="304"/>
      <c r="M34" s="305"/>
    </row>
    <row r="35" spans="1:13" ht="15.75" x14ac:dyDescent="0.2">
      <c r="A35" s="298" t="s">
        <v>1316</v>
      </c>
      <c r="B35" s="299"/>
      <c r="C35" s="299"/>
      <c r="D35" s="299"/>
      <c r="E35" s="299"/>
      <c r="F35" s="299"/>
      <c r="G35" s="299"/>
      <c r="H35" s="299"/>
      <c r="I35" s="299"/>
      <c r="J35" s="299"/>
      <c r="K35" s="299"/>
      <c r="L35" s="299"/>
      <c r="M35" s="300"/>
    </row>
    <row r="36" spans="1:13" ht="157.5" x14ac:dyDescent="0.2">
      <c r="A36" s="301">
        <v>8</v>
      </c>
      <c r="B36" s="235" t="s">
        <v>1317</v>
      </c>
      <c r="C36" s="235" t="s">
        <v>210</v>
      </c>
      <c r="D36" s="67" t="s">
        <v>1121</v>
      </c>
      <c r="E36" s="68">
        <v>100</v>
      </c>
      <c r="F36" s="69" t="s">
        <v>1309</v>
      </c>
      <c r="G36" s="69" t="s">
        <v>1309</v>
      </c>
      <c r="H36" s="69">
        <f>27500*117/100</f>
        <v>32175</v>
      </c>
      <c r="I36" s="69">
        <f>27500*117/100</f>
        <v>32175</v>
      </c>
      <c r="J36" s="67" t="s">
        <v>20</v>
      </c>
      <c r="K36" s="236" t="s">
        <v>1321</v>
      </c>
      <c r="L36" s="238" t="s">
        <v>926</v>
      </c>
      <c r="M36" s="237" t="s">
        <v>1310</v>
      </c>
    </row>
    <row r="37" spans="1:13" ht="14.25" x14ac:dyDescent="0.2">
      <c r="A37" s="302"/>
      <c r="B37" s="303" t="s">
        <v>1311</v>
      </c>
      <c r="C37" s="304"/>
      <c r="D37" s="304"/>
      <c r="E37" s="304"/>
      <c r="F37" s="304"/>
      <c r="G37" s="304"/>
      <c r="H37" s="304"/>
      <c r="I37" s="304"/>
      <c r="J37" s="304"/>
      <c r="K37" s="304"/>
      <c r="L37" s="304"/>
      <c r="M37" s="305"/>
    </row>
    <row r="38" spans="1:13" ht="15.75" x14ac:dyDescent="0.2">
      <c r="A38" s="298" t="s">
        <v>1299</v>
      </c>
      <c r="B38" s="299"/>
      <c r="C38" s="299"/>
      <c r="D38" s="299"/>
      <c r="E38" s="299"/>
      <c r="F38" s="299"/>
      <c r="G38" s="299"/>
      <c r="H38" s="299"/>
      <c r="I38" s="299"/>
      <c r="J38" s="299"/>
      <c r="K38" s="299"/>
      <c r="L38" s="299"/>
      <c r="M38" s="300"/>
    </row>
    <row r="39" spans="1:13" ht="38.25" x14ac:dyDescent="0.2">
      <c r="A39" s="301">
        <v>9</v>
      </c>
      <c r="B39" s="307" t="s">
        <v>468</v>
      </c>
      <c r="C39" s="307" t="s">
        <v>425</v>
      </c>
      <c r="D39" s="7" t="s">
        <v>461</v>
      </c>
      <c r="E39" s="20">
        <v>94</v>
      </c>
      <c r="F39" s="21" t="s">
        <v>29</v>
      </c>
      <c r="G39" s="21" t="s">
        <v>1229</v>
      </c>
      <c r="H39" s="21">
        <f>200*117/100</f>
        <v>234</v>
      </c>
      <c r="I39" s="21">
        <f>50*H39*8</f>
        <v>93600</v>
      </c>
      <c r="J39" s="7"/>
      <c r="K39" s="309" t="s">
        <v>1364</v>
      </c>
      <c r="L39" s="311" t="s">
        <v>926</v>
      </c>
      <c r="M39" s="312">
        <v>2710032755</v>
      </c>
    </row>
    <row r="40" spans="1:13" ht="38.25" x14ac:dyDescent="0.2">
      <c r="A40" s="306"/>
      <c r="B40" s="308"/>
      <c r="C40" s="308"/>
      <c r="D40" s="17" t="s">
        <v>462</v>
      </c>
      <c r="E40" s="18">
        <v>82</v>
      </c>
      <c r="F40" s="19" t="s">
        <v>29</v>
      </c>
      <c r="G40" s="19" t="s">
        <v>1229</v>
      </c>
      <c r="H40" s="19">
        <f>220*117/100</f>
        <v>257.39999999999998</v>
      </c>
      <c r="I40" s="19">
        <f>50*H40*8</f>
        <v>102959.99999999999</v>
      </c>
      <c r="J40" s="17"/>
      <c r="K40" s="310"/>
      <c r="L40" s="311"/>
      <c r="M40" s="313"/>
    </row>
    <row r="41" spans="1:13" ht="38.25" x14ac:dyDescent="0.2">
      <c r="A41" s="306"/>
      <c r="B41" s="308"/>
      <c r="C41" s="308"/>
      <c r="D41" s="7" t="s">
        <v>463</v>
      </c>
      <c r="E41" s="20">
        <v>76</v>
      </c>
      <c r="F41" s="21" t="s">
        <v>29</v>
      </c>
      <c r="G41" s="21" t="s">
        <v>1229</v>
      </c>
      <c r="H41" s="21">
        <f>266*117/100</f>
        <v>311.22000000000003</v>
      </c>
      <c r="I41" s="21">
        <f>50*H41*8</f>
        <v>124488.00000000001</v>
      </c>
      <c r="J41" s="7"/>
      <c r="K41" s="310"/>
      <c r="L41" s="311"/>
      <c r="M41" s="313"/>
    </row>
    <row r="42" spans="1:13" ht="38.25" x14ac:dyDescent="0.2">
      <c r="A42" s="306"/>
      <c r="B42" s="308"/>
      <c r="C42" s="308"/>
      <c r="D42" s="7" t="s">
        <v>464</v>
      </c>
      <c r="E42" s="20">
        <v>73</v>
      </c>
      <c r="F42" s="21" t="s">
        <v>29</v>
      </c>
      <c r="G42" s="21" t="s">
        <v>1229</v>
      </c>
      <c r="H42" s="21">
        <f>288*117/100</f>
        <v>336.96</v>
      </c>
      <c r="I42" s="21">
        <f>50*H42*8</f>
        <v>134784</v>
      </c>
      <c r="J42" s="7"/>
      <c r="K42" s="310"/>
      <c r="L42" s="311"/>
      <c r="M42" s="313"/>
    </row>
    <row r="43" spans="1:13" ht="24" customHeight="1" x14ac:dyDescent="0.2">
      <c r="A43" s="302"/>
      <c r="B43" s="303" t="s">
        <v>1359</v>
      </c>
      <c r="C43" s="304"/>
      <c r="D43" s="304"/>
      <c r="E43" s="304"/>
      <c r="F43" s="304"/>
      <c r="G43" s="304"/>
      <c r="H43" s="304"/>
      <c r="I43" s="304"/>
      <c r="J43" s="304"/>
      <c r="K43" s="304"/>
      <c r="L43" s="304"/>
      <c r="M43" s="305"/>
    </row>
  </sheetData>
  <mergeCells count="52">
    <mergeCell ref="A32:M32"/>
    <mergeCell ref="A33:A34"/>
    <mergeCell ref="B34:M34"/>
    <mergeCell ref="A35:M35"/>
    <mergeCell ref="A36:A37"/>
    <mergeCell ref="B37:M37"/>
    <mergeCell ref="A26:M26"/>
    <mergeCell ref="A27:A28"/>
    <mergeCell ref="B28:M28"/>
    <mergeCell ref="A19:M19"/>
    <mergeCell ref="A20:A25"/>
    <mergeCell ref="B20:B24"/>
    <mergeCell ref="C20:C24"/>
    <mergeCell ref="K20:K24"/>
    <mergeCell ref="L20:L24"/>
    <mergeCell ref="M20:M24"/>
    <mergeCell ref="B25:M25"/>
    <mergeCell ref="B18:M18"/>
    <mergeCell ref="A15:A18"/>
    <mergeCell ref="B15:B17"/>
    <mergeCell ref="C15:C17"/>
    <mergeCell ref="K15:K17"/>
    <mergeCell ref="L15:L17"/>
    <mergeCell ref="K10:K12"/>
    <mergeCell ref="L10:L12"/>
    <mergeCell ref="M10:M12"/>
    <mergeCell ref="B13:M13"/>
    <mergeCell ref="M15:M17"/>
    <mergeCell ref="A29:M29"/>
    <mergeCell ref="A30:A31"/>
    <mergeCell ref="B31:M31"/>
    <mergeCell ref="A1:A5"/>
    <mergeCell ref="B1:M1"/>
    <mergeCell ref="B2:M2"/>
    <mergeCell ref="B3:M3"/>
    <mergeCell ref="B4:M4"/>
    <mergeCell ref="A14:M14"/>
    <mergeCell ref="A9:M9"/>
    <mergeCell ref="A10:A13"/>
    <mergeCell ref="B10:B12"/>
    <mergeCell ref="A6:M6"/>
    <mergeCell ref="A7:A8"/>
    <mergeCell ref="B8:M8"/>
    <mergeCell ref="C10:C12"/>
    <mergeCell ref="C39:C42"/>
    <mergeCell ref="L39:L42"/>
    <mergeCell ref="M39:M42"/>
    <mergeCell ref="A38:M38"/>
    <mergeCell ref="A39:A43"/>
    <mergeCell ref="B39:B42"/>
    <mergeCell ref="K39:K42"/>
    <mergeCell ref="B43:M43"/>
  </mergeCells>
  <pageMargins left="0.7" right="0.7" top="0.75" bottom="0.75" header="0.3" footer="0.3"/>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2"/>
  <sheetViews>
    <sheetView rightToLeft="1" zoomScaleNormal="100" workbookViewId="0">
      <pane ySplit="5" topLeftCell="A42" activePane="bottomLeft" state="frozen"/>
      <selection pane="bottomLeft" activeCell="K30" sqref="K30:K31"/>
    </sheetView>
  </sheetViews>
  <sheetFormatPr defaultColWidth="8.75" defaultRowHeight="15" x14ac:dyDescent="0.2"/>
  <cols>
    <col min="1" max="1" width="4.25" style="211" customWidth="1"/>
    <col min="2" max="2" width="21.125" style="8" bestFit="1" customWidth="1"/>
    <col min="3" max="3" width="8.75" style="211"/>
    <col min="4" max="4" width="7.25" style="211" customWidth="1"/>
    <col min="5" max="5" width="7.75" style="211" customWidth="1"/>
    <col min="6" max="6" width="10.25" style="211" bestFit="1" customWidth="1"/>
    <col min="7" max="7" width="12.125" style="9" bestFit="1" customWidth="1"/>
    <col min="8" max="8" width="13.625" style="10" bestFit="1" customWidth="1"/>
    <col min="9" max="9" width="14.625" style="10" bestFit="1" customWidth="1"/>
    <col min="10" max="10" width="9" style="211" customWidth="1"/>
    <col min="11" max="11" width="23.625" style="11" customWidth="1"/>
    <col min="12" max="12" width="13.5" style="12" customWidth="1"/>
    <col min="13" max="13" width="16.5" style="13" customWidth="1"/>
    <col min="14" max="16384" width="8.75" style="211"/>
  </cols>
  <sheetData>
    <row r="1" spans="1:13" ht="20.25" x14ac:dyDescent="0.2">
      <c r="A1" s="314"/>
      <c r="B1" s="315" t="s">
        <v>1254</v>
      </c>
      <c r="C1" s="315"/>
      <c r="D1" s="315"/>
      <c r="E1" s="315"/>
      <c r="F1" s="315"/>
      <c r="G1" s="315"/>
      <c r="H1" s="315"/>
      <c r="I1" s="315"/>
      <c r="J1" s="315"/>
      <c r="K1" s="315"/>
      <c r="L1" s="315"/>
      <c r="M1" s="315"/>
    </row>
    <row r="2" spans="1:13" ht="29.45" customHeight="1" x14ac:dyDescent="0.2">
      <c r="A2" s="314"/>
      <c r="B2" s="316" t="s">
        <v>1260</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47.25" x14ac:dyDescent="0.2">
      <c r="A5" s="314"/>
      <c r="B5" s="210" t="s">
        <v>2</v>
      </c>
      <c r="C5" s="2" t="s">
        <v>3</v>
      </c>
      <c r="D5" s="3" t="s">
        <v>4</v>
      </c>
      <c r="E5" s="3" t="s">
        <v>5</v>
      </c>
      <c r="F5" s="3" t="s">
        <v>6</v>
      </c>
      <c r="G5" s="3" t="s">
        <v>7</v>
      </c>
      <c r="H5" s="4" t="s">
        <v>8</v>
      </c>
      <c r="I5" s="5" t="s">
        <v>9</v>
      </c>
      <c r="J5" s="3" t="s">
        <v>10</v>
      </c>
      <c r="K5" s="3" t="s">
        <v>11</v>
      </c>
      <c r="L5" s="130" t="s">
        <v>12</v>
      </c>
      <c r="M5" s="3" t="s">
        <v>13</v>
      </c>
    </row>
    <row r="6" spans="1:13" ht="15.75" x14ac:dyDescent="0.2">
      <c r="A6" s="298" t="s">
        <v>1214</v>
      </c>
      <c r="B6" s="299"/>
      <c r="C6" s="299"/>
      <c r="D6" s="299"/>
      <c r="E6" s="299"/>
      <c r="F6" s="299"/>
      <c r="G6" s="299"/>
      <c r="H6" s="299"/>
      <c r="I6" s="299"/>
      <c r="J6" s="299"/>
      <c r="K6" s="299"/>
      <c r="L6" s="299"/>
      <c r="M6" s="300"/>
    </row>
    <row r="7" spans="1:13" ht="38.25" x14ac:dyDescent="0.2">
      <c r="A7" s="301">
        <v>1</v>
      </c>
      <c r="B7" s="206" t="s">
        <v>1212</v>
      </c>
      <c r="C7" s="206" t="s">
        <v>146</v>
      </c>
      <c r="D7" s="17" t="s">
        <v>147</v>
      </c>
      <c r="E7" s="18">
        <v>100</v>
      </c>
      <c r="F7" s="19" t="s">
        <v>151</v>
      </c>
      <c r="G7" s="19" t="s">
        <v>1213</v>
      </c>
      <c r="H7" s="19">
        <f>2500*117/100</f>
        <v>2925</v>
      </c>
      <c r="I7" s="19">
        <f>H7*3</f>
        <v>8775</v>
      </c>
      <c r="J7" s="17" t="s">
        <v>20</v>
      </c>
      <c r="K7" s="207" t="s">
        <v>954</v>
      </c>
      <c r="L7" s="208" t="s">
        <v>926</v>
      </c>
      <c r="M7" s="209">
        <v>253008</v>
      </c>
    </row>
    <row r="8" spans="1:13" ht="14.25" x14ac:dyDescent="0.2">
      <c r="A8" s="302"/>
      <c r="B8" s="303" t="s">
        <v>1218</v>
      </c>
      <c r="C8" s="304"/>
      <c r="D8" s="304"/>
      <c r="E8" s="304"/>
      <c r="F8" s="304"/>
      <c r="G8" s="304"/>
      <c r="H8" s="304"/>
      <c r="I8" s="304"/>
      <c r="J8" s="304"/>
      <c r="K8" s="304"/>
      <c r="L8" s="304"/>
      <c r="M8" s="305"/>
    </row>
    <row r="9" spans="1:13" ht="15.75" x14ac:dyDescent="0.2">
      <c r="A9" s="298" t="s">
        <v>1215</v>
      </c>
      <c r="B9" s="299"/>
      <c r="C9" s="299"/>
      <c r="D9" s="299"/>
      <c r="E9" s="299"/>
      <c r="F9" s="299"/>
      <c r="G9" s="299"/>
      <c r="H9" s="299"/>
      <c r="I9" s="299"/>
      <c r="J9" s="299"/>
      <c r="K9" s="299"/>
      <c r="L9" s="299"/>
      <c r="M9" s="300"/>
    </row>
    <row r="10" spans="1:13" ht="38.25" x14ac:dyDescent="0.2">
      <c r="A10" s="301">
        <v>2</v>
      </c>
      <c r="B10" s="206" t="s">
        <v>1216</v>
      </c>
      <c r="C10" s="206" t="s">
        <v>146</v>
      </c>
      <c r="D10" s="17" t="s">
        <v>156</v>
      </c>
      <c r="E10" s="18">
        <v>100</v>
      </c>
      <c r="F10" s="19" t="s">
        <v>151</v>
      </c>
      <c r="G10" s="19" t="s">
        <v>1213</v>
      </c>
      <c r="H10" s="19">
        <f>1200*117/100</f>
        <v>1404</v>
      </c>
      <c r="I10" s="19">
        <f>3*H10</f>
        <v>4212</v>
      </c>
      <c r="J10" s="17" t="s">
        <v>20</v>
      </c>
      <c r="K10" s="207" t="s">
        <v>954</v>
      </c>
      <c r="L10" s="219" t="s">
        <v>926</v>
      </c>
      <c r="M10" s="209">
        <v>253008</v>
      </c>
    </row>
    <row r="11" spans="1:13" ht="14.25" x14ac:dyDescent="0.2">
      <c r="A11" s="302"/>
      <c r="B11" s="303" t="s">
        <v>1219</v>
      </c>
      <c r="C11" s="304"/>
      <c r="D11" s="304"/>
      <c r="E11" s="304"/>
      <c r="F11" s="304"/>
      <c r="G11" s="304"/>
      <c r="H11" s="304"/>
      <c r="I11" s="304"/>
      <c r="J11" s="304"/>
      <c r="K11" s="304"/>
      <c r="L11" s="304"/>
      <c r="M11" s="305"/>
    </row>
    <row r="12" spans="1:13" ht="15.75" x14ac:dyDescent="0.2">
      <c r="A12" s="298" t="s">
        <v>1217</v>
      </c>
      <c r="B12" s="299"/>
      <c r="C12" s="299"/>
      <c r="D12" s="299"/>
      <c r="E12" s="299"/>
      <c r="F12" s="299"/>
      <c r="G12" s="299"/>
      <c r="H12" s="299"/>
      <c r="I12" s="299"/>
      <c r="J12" s="299"/>
      <c r="K12" s="299"/>
      <c r="L12" s="299"/>
      <c r="M12" s="300"/>
    </row>
    <row r="13" spans="1:13" ht="38.25" x14ac:dyDescent="0.2">
      <c r="A13" s="301">
        <v>3</v>
      </c>
      <c r="B13" s="206" t="s">
        <v>1249</v>
      </c>
      <c r="C13" s="206" t="s">
        <v>146</v>
      </c>
      <c r="D13" s="17" t="s">
        <v>53</v>
      </c>
      <c r="E13" s="18">
        <v>100</v>
      </c>
      <c r="F13" s="19" t="s">
        <v>18</v>
      </c>
      <c r="G13" s="19" t="s">
        <v>18</v>
      </c>
      <c r="H13" s="19">
        <f>25200*117/100</f>
        <v>29484</v>
      </c>
      <c r="I13" s="19">
        <f>25200*117/100</f>
        <v>29484</v>
      </c>
      <c r="J13" s="17" t="s">
        <v>20</v>
      </c>
      <c r="K13" s="207" t="s">
        <v>954</v>
      </c>
      <c r="L13" s="208" t="s">
        <v>926</v>
      </c>
      <c r="M13" s="209">
        <v>224001</v>
      </c>
    </row>
    <row r="14" spans="1:13" ht="14.25" x14ac:dyDescent="0.2">
      <c r="A14" s="302"/>
      <c r="B14" s="303" t="s">
        <v>1250</v>
      </c>
      <c r="C14" s="304"/>
      <c r="D14" s="304"/>
      <c r="E14" s="304"/>
      <c r="F14" s="304"/>
      <c r="G14" s="304"/>
      <c r="H14" s="304"/>
      <c r="I14" s="304"/>
      <c r="J14" s="304"/>
      <c r="K14" s="304"/>
      <c r="L14" s="304"/>
      <c r="M14" s="305"/>
    </row>
    <row r="15" spans="1:13" ht="15.75" x14ac:dyDescent="0.2">
      <c r="A15" s="298" t="s">
        <v>1251</v>
      </c>
      <c r="B15" s="299"/>
      <c r="C15" s="299"/>
      <c r="D15" s="299"/>
      <c r="E15" s="299"/>
      <c r="F15" s="299"/>
      <c r="G15" s="299"/>
      <c r="H15" s="299"/>
      <c r="I15" s="299"/>
      <c r="J15" s="299"/>
      <c r="K15" s="299"/>
      <c r="L15" s="299"/>
      <c r="M15" s="300"/>
    </row>
    <row r="16" spans="1:13" ht="25.5" x14ac:dyDescent="0.2">
      <c r="A16" s="301">
        <v>4</v>
      </c>
      <c r="B16" s="307" t="s">
        <v>1220</v>
      </c>
      <c r="C16" s="307" t="s">
        <v>189</v>
      </c>
      <c r="D16" s="7" t="s">
        <v>405</v>
      </c>
      <c r="E16" s="20">
        <v>96</v>
      </c>
      <c r="F16" s="21" t="s">
        <v>18</v>
      </c>
      <c r="G16" s="21" t="s">
        <v>18</v>
      </c>
      <c r="H16" s="21">
        <f>25000*117/100</f>
        <v>29250</v>
      </c>
      <c r="I16" s="21">
        <f>25000*117/100</f>
        <v>29250</v>
      </c>
      <c r="J16" s="7" t="s">
        <v>20</v>
      </c>
      <c r="K16" s="309" t="s">
        <v>426</v>
      </c>
      <c r="L16" s="311" t="s">
        <v>926</v>
      </c>
      <c r="M16" s="312" t="s">
        <v>403</v>
      </c>
    </row>
    <row r="17" spans="1:13" ht="25.5" x14ac:dyDescent="0.2">
      <c r="A17" s="306"/>
      <c r="B17" s="308"/>
      <c r="C17" s="308"/>
      <c r="D17" s="17" t="s">
        <v>406</v>
      </c>
      <c r="E17" s="18">
        <v>100</v>
      </c>
      <c r="F17" s="19" t="s">
        <v>18</v>
      </c>
      <c r="G17" s="19" t="s">
        <v>18</v>
      </c>
      <c r="H17" s="19">
        <f>25000*117/100</f>
        <v>29250</v>
      </c>
      <c r="I17" s="19">
        <f>25000*117/100</f>
        <v>29250</v>
      </c>
      <c r="J17" s="17" t="s">
        <v>20</v>
      </c>
      <c r="K17" s="310"/>
      <c r="L17" s="311"/>
      <c r="M17" s="313"/>
    </row>
    <row r="18" spans="1:13" ht="38.25" x14ac:dyDescent="0.2">
      <c r="A18" s="306"/>
      <c r="B18" s="308"/>
      <c r="C18" s="308"/>
      <c r="D18" s="7" t="s">
        <v>401</v>
      </c>
      <c r="E18" s="20">
        <v>66</v>
      </c>
      <c r="F18" s="21" t="s">
        <v>18</v>
      </c>
      <c r="G18" s="21" t="s">
        <v>18</v>
      </c>
      <c r="H18" s="21">
        <f>48000*117/100</f>
        <v>56160</v>
      </c>
      <c r="I18" s="21">
        <f>48000*117/100</f>
        <v>56160</v>
      </c>
      <c r="J18" s="7" t="s">
        <v>20</v>
      </c>
      <c r="K18" s="310"/>
      <c r="L18" s="311"/>
      <c r="M18" s="313"/>
    </row>
    <row r="19" spans="1:13" ht="38.25" x14ac:dyDescent="0.2">
      <c r="A19" s="306"/>
      <c r="B19" s="308"/>
      <c r="C19" s="308"/>
      <c r="D19" s="7" t="s">
        <v>402</v>
      </c>
      <c r="E19" s="20">
        <v>40</v>
      </c>
      <c r="F19" s="21" t="s">
        <v>18</v>
      </c>
      <c r="G19" s="21" t="s">
        <v>18</v>
      </c>
      <c r="H19" s="21">
        <f>180000*117/100</f>
        <v>210600</v>
      </c>
      <c r="I19" s="21">
        <f>180000*117/100</f>
        <v>210600</v>
      </c>
      <c r="J19" s="7" t="s">
        <v>20</v>
      </c>
      <c r="K19" s="310"/>
      <c r="L19" s="311"/>
      <c r="M19" s="313"/>
    </row>
    <row r="20" spans="1:13" ht="14.25" x14ac:dyDescent="0.2">
      <c r="A20" s="302"/>
      <c r="B20" s="303" t="s">
        <v>1221</v>
      </c>
      <c r="C20" s="304"/>
      <c r="D20" s="304"/>
      <c r="E20" s="304"/>
      <c r="F20" s="304"/>
      <c r="G20" s="304"/>
      <c r="H20" s="304"/>
      <c r="I20" s="304"/>
      <c r="J20" s="304"/>
      <c r="K20" s="304"/>
      <c r="L20" s="304"/>
      <c r="M20" s="305"/>
    </row>
    <row r="21" spans="1:13" ht="15.75" x14ac:dyDescent="0.2">
      <c r="A21" s="298" t="s">
        <v>1222</v>
      </c>
      <c r="B21" s="299"/>
      <c r="C21" s="299"/>
      <c r="D21" s="299"/>
      <c r="E21" s="299"/>
      <c r="F21" s="299"/>
      <c r="G21" s="299"/>
      <c r="H21" s="299"/>
      <c r="I21" s="299"/>
      <c r="J21" s="299"/>
      <c r="K21" s="299"/>
      <c r="L21" s="299"/>
      <c r="M21" s="300"/>
    </row>
    <row r="22" spans="1:13" ht="25.5" x14ac:dyDescent="0.2">
      <c r="A22" s="330">
        <v>5</v>
      </c>
      <c r="B22" s="331" t="s">
        <v>1227</v>
      </c>
      <c r="C22" s="331" t="s">
        <v>1256</v>
      </c>
      <c r="D22" s="212" t="s">
        <v>1223</v>
      </c>
      <c r="E22" s="213">
        <v>79</v>
      </c>
      <c r="F22" s="212" t="s">
        <v>1224</v>
      </c>
      <c r="G22" s="212" t="s">
        <v>436</v>
      </c>
      <c r="H22" s="214">
        <f>20000*117/100</f>
        <v>23400</v>
      </c>
      <c r="I22" s="214">
        <f>H22*6</f>
        <v>140400</v>
      </c>
      <c r="J22" s="212"/>
      <c r="K22" s="309" t="s">
        <v>46</v>
      </c>
      <c r="L22" s="319" t="s">
        <v>926</v>
      </c>
      <c r="M22" s="333"/>
    </row>
    <row r="23" spans="1:13" ht="25.5" x14ac:dyDescent="0.2">
      <c r="A23" s="330"/>
      <c r="B23" s="331"/>
      <c r="C23" s="331"/>
      <c r="D23" s="215" t="s">
        <v>1225</v>
      </c>
      <c r="E23" s="20">
        <v>78</v>
      </c>
      <c r="F23" s="7" t="s">
        <v>1224</v>
      </c>
      <c r="G23" s="7" t="s">
        <v>436</v>
      </c>
      <c r="H23" s="216">
        <f>21500*117/100</f>
        <v>25155</v>
      </c>
      <c r="I23" s="216">
        <f t="shared" ref="I23:I24" si="0">H23*6</f>
        <v>150930</v>
      </c>
      <c r="J23" s="7"/>
      <c r="K23" s="310"/>
      <c r="L23" s="320"/>
      <c r="M23" s="333"/>
    </row>
    <row r="24" spans="1:13" ht="38.25" x14ac:dyDescent="0.2">
      <c r="A24" s="330"/>
      <c r="B24" s="331"/>
      <c r="C24" s="331"/>
      <c r="D24" s="218" t="s">
        <v>1226</v>
      </c>
      <c r="E24" s="18">
        <v>80</v>
      </c>
      <c r="F24" s="17" t="s">
        <v>1224</v>
      </c>
      <c r="G24" s="17" t="s">
        <v>436</v>
      </c>
      <c r="H24" s="44">
        <f>22000*117/100</f>
        <v>25740</v>
      </c>
      <c r="I24" s="44">
        <f t="shared" si="0"/>
        <v>154440</v>
      </c>
      <c r="J24" s="218"/>
      <c r="K24" s="323"/>
      <c r="L24" s="332"/>
      <c r="M24" s="333"/>
    </row>
    <row r="25" spans="1:13" ht="29.45" customHeight="1" x14ac:dyDescent="0.2">
      <c r="A25" s="330"/>
      <c r="B25" s="334" t="s">
        <v>1257</v>
      </c>
      <c r="C25" s="334"/>
      <c r="D25" s="334"/>
      <c r="E25" s="334"/>
      <c r="F25" s="334"/>
      <c r="G25" s="334"/>
      <c r="H25" s="334"/>
      <c r="I25" s="334"/>
      <c r="J25" s="334"/>
      <c r="K25" s="334"/>
      <c r="L25" s="334"/>
      <c r="M25" s="334"/>
    </row>
    <row r="26" spans="1:13" ht="15.75" x14ac:dyDescent="0.2">
      <c r="A26" s="298" t="s">
        <v>1231</v>
      </c>
      <c r="B26" s="299"/>
      <c r="C26" s="299"/>
      <c r="D26" s="299"/>
      <c r="E26" s="299"/>
      <c r="F26" s="299"/>
      <c r="G26" s="299"/>
      <c r="H26" s="299"/>
      <c r="I26" s="299"/>
      <c r="J26" s="299"/>
      <c r="K26" s="299"/>
      <c r="L26" s="299"/>
      <c r="M26" s="300"/>
    </row>
    <row r="27" spans="1:13" ht="63.75" x14ac:dyDescent="0.2">
      <c r="A27" s="301">
        <v>6</v>
      </c>
      <c r="B27" s="206" t="s">
        <v>1230</v>
      </c>
      <c r="C27" s="206" t="s">
        <v>425</v>
      </c>
      <c r="D27" s="17" t="s">
        <v>461</v>
      </c>
      <c r="E27" s="18">
        <v>94</v>
      </c>
      <c r="F27" s="19" t="s">
        <v>29</v>
      </c>
      <c r="G27" s="19" t="s">
        <v>1229</v>
      </c>
      <c r="H27" s="19">
        <f>200*117/100</f>
        <v>234</v>
      </c>
      <c r="I27" s="19">
        <f>50*H27*8</f>
        <v>93600</v>
      </c>
      <c r="J27" s="17" t="s">
        <v>20</v>
      </c>
      <c r="K27" s="207" t="s">
        <v>954</v>
      </c>
      <c r="L27" s="208" t="s">
        <v>926</v>
      </c>
      <c r="M27" s="209">
        <v>2710032755</v>
      </c>
    </row>
    <row r="28" spans="1:13" ht="14.25" x14ac:dyDescent="0.2">
      <c r="A28" s="302"/>
      <c r="B28" s="303" t="s">
        <v>1228</v>
      </c>
      <c r="C28" s="304"/>
      <c r="D28" s="304"/>
      <c r="E28" s="304"/>
      <c r="F28" s="304"/>
      <c r="G28" s="304"/>
      <c r="H28" s="304"/>
      <c r="I28" s="304"/>
      <c r="J28" s="304"/>
      <c r="K28" s="304"/>
      <c r="L28" s="304"/>
      <c r="M28" s="305"/>
    </row>
    <row r="29" spans="1:13" ht="15.75" x14ac:dyDescent="0.2">
      <c r="A29" s="298" t="s">
        <v>1347</v>
      </c>
      <c r="B29" s="299"/>
      <c r="C29" s="299"/>
      <c r="D29" s="299"/>
      <c r="E29" s="299"/>
      <c r="F29" s="299"/>
      <c r="G29" s="299"/>
      <c r="H29" s="299"/>
      <c r="I29" s="299"/>
      <c r="J29" s="299"/>
      <c r="K29" s="299"/>
      <c r="L29" s="299"/>
      <c r="M29" s="300"/>
    </row>
    <row r="30" spans="1:13" ht="23.45" customHeight="1" x14ac:dyDescent="0.2">
      <c r="A30" s="306">
        <v>7</v>
      </c>
      <c r="B30" s="307" t="s">
        <v>1232</v>
      </c>
      <c r="C30" s="307" t="s">
        <v>1235</v>
      </c>
      <c r="D30" s="67" t="s">
        <v>1233</v>
      </c>
      <c r="E30" s="68">
        <v>100</v>
      </c>
      <c r="F30" s="69" t="s">
        <v>18</v>
      </c>
      <c r="G30" s="69" t="s">
        <v>18</v>
      </c>
      <c r="H30" s="69">
        <f>98100*117/100</f>
        <v>114777</v>
      </c>
      <c r="I30" s="69">
        <f>98100*117/100</f>
        <v>114777</v>
      </c>
      <c r="J30" s="67" t="s">
        <v>1245</v>
      </c>
      <c r="K30" s="309" t="s">
        <v>1255</v>
      </c>
      <c r="L30" s="329"/>
      <c r="M30" s="312"/>
    </row>
    <row r="31" spans="1:13" ht="31.9" customHeight="1" x14ac:dyDescent="0.2">
      <c r="A31" s="306"/>
      <c r="B31" s="308"/>
      <c r="C31" s="308"/>
      <c r="D31" s="7" t="s">
        <v>1234</v>
      </c>
      <c r="E31" s="20">
        <v>85</v>
      </c>
      <c r="F31" s="21" t="s">
        <v>18</v>
      </c>
      <c r="G31" s="21" t="s">
        <v>18</v>
      </c>
      <c r="H31" s="21">
        <f>112035*117/100</f>
        <v>131080.95000000001</v>
      </c>
      <c r="I31" s="21">
        <f>112035*117/100</f>
        <v>131080.95000000001</v>
      </c>
      <c r="J31" s="7" t="s">
        <v>20</v>
      </c>
      <c r="K31" s="310"/>
      <c r="L31" s="329"/>
      <c r="M31" s="313"/>
    </row>
    <row r="32" spans="1:13" ht="14.25" x14ac:dyDescent="0.2">
      <c r="A32" s="302"/>
      <c r="B32" s="303" t="s">
        <v>1236</v>
      </c>
      <c r="C32" s="304"/>
      <c r="D32" s="304"/>
      <c r="E32" s="304"/>
      <c r="F32" s="304"/>
      <c r="G32" s="304"/>
      <c r="H32" s="304"/>
      <c r="I32" s="304"/>
      <c r="J32" s="304"/>
      <c r="K32" s="304"/>
      <c r="L32" s="304"/>
      <c r="M32" s="305"/>
    </row>
    <row r="33" spans="1:13" ht="15.75" x14ac:dyDescent="0.2">
      <c r="A33" s="298" t="s">
        <v>1237</v>
      </c>
      <c r="B33" s="299"/>
      <c r="C33" s="299"/>
      <c r="D33" s="299"/>
      <c r="E33" s="299"/>
      <c r="F33" s="299"/>
      <c r="G33" s="299"/>
      <c r="H33" s="299"/>
      <c r="I33" s="299"/>
      <c r="J33" s="299"/>
      <c r="K33" s="299"/>
      <c r="L33" s="299"/>
      <c r="M33" s="300"/>
    </row>
    <row r="34" spans="1:13" ht="25.5" x14ac:dyDescent="0.2">
      <c r="A34" s="306">
        <v>8</v>
      </c>
      <c r="B34" s="308" t="s">
        <v>1240</v>
      </c>
      <c r="C34" s="308" t="s">
        <v>1190</v>
      </c>
      <c r="D34" s="17" t="s">
        <v>1241</v>
      </c>
      <c r="E34" s="18">
        <v>100</v>
      </c>
      <c r="F34" s="19" t="s">
        <v>1244</v>
      </c>
      <c r="G34" s="19" t="s">
        <v>1244</v>
      </c>
      <c r="H34" s="177">
        <f>63150*117/100</f>
        <v>73885.5</v>
      </c>
      <c r="I34" s="177">
        <f>63150*117/100</f>
        <v>73885.5</v>
      </c>
      <c r="J34" s="17" t="s">
        <v>20</v>
      </c>
      <c r="K34" s="310" t="s">
        <v>426</v>
      </c>
      <c r="L34" s="320" t="s">
        <v>926</v>
      </c>
      <c r="M34" s="313"/>
    </row>
    <row r="35" spans="1:13" ht="14.25" x14ac:dyDescent="0.2">
      <c r="A35" s="306"/>
      <c r="B35" s="308"/>
      <c r="C35" s="308"/>
      <c r="D35" s="7" t="s">
        <v>1242</v>
      </c>
      <c r="E35" s="20">
        <v>50</v>
      </c>
      <c r="F35" s="21" t="s">
        <v>1244</v>
      </c>
      <c r="G35" s="21" t="s">
        <v>1244</v>
      </c>
      <c r="H35" s="171">
        <f>211200*117/100</f>
        <v>247104</v>
      </c>
      <c r="I35" s="171">
        <f>211200*117/100</f>
        <v>247104</v>
      </c>
      <c r="J35" s="7" t="s">
        <v>20</v>
      </c>
      <c r="K35" s="310"/>
      <c r="L35" s="320"/>
      <c r="M35" s="313"/>
    </row>
    <row r="36" spans="1:13" ht="14.25" x14ac:dyDescent="0.2">
      <c r="A36" s="306"/>
      <c r="B36" s="308"/>
      <c r="C36" s="308"/>
      <c r="D36" s="7" t="s">
        <v>1243</v>
      </c>
      <c r="E36" s="20">
        <v>44</v>
      </c>
      <c r="F36" s="21" t="s">
        <v>1244</v>
      </c>
      <c r="G36" s="21" t="s">
        <v>1244</v>
      </c>
      <c r="H36" s="171">
        <f>295800*117/100</f>
        <v>346086</v>
      </c>
      <c r="I36" s="171">
        <f>295800*117/100</f>
        <v>346086</v>
      </c>
      <c r="J36" s="7" t="s">
        <v>20</v>
      </c>
      <c r="K36" s="310"/>
      <c r="L36" s="320"/>
      <c r="M36" s="313"/>
    </row>
    <row r="37" spans="1:13" ht="14.25" x14ac:dyDescent="0.2">
      <c r="A37" s="302"/>
      <c r="B37" s="303" t="s">
        <v>1246</v>
      </c>
      <c r="C37" s="304"/>
      <c r="D37" s="304"/>
      <c r="E37" s="304"/>
      <c r="F37" s="304"/>
      <c r="G37" s="304"/>
      <c r="H37" s="304"/>
      <c r="I37" s="304"/>
      <c r="J37" s="304"/>
      <c r="K37" s="304"/>
      <c r="L37" s="304"/>
      <c r="M37" s="305"/>
    </row>
    <row r="38" spans="1:13" ht="15.75" x14ac:dyDescent="0.2">
      <c r="A38" s="298" t="s">
        <v>1238</v>
      </c>
      <c r="B38" s="299"/>
      <c r="C38" s="299"/>
      <c r="D38" s="299"/>
      <c r="E38" s="299"/>
      <c r="F38" s="299"/>
      <c r="G38" s="299"/>
      <c r="H38" s="299"/>
      <c r="I38" s="299"/>
      <c r="J38" s="299"/>
      <c r="K38" s="299"/>
      <c r="L38" s="299"/>
      <c r="M38" s="300"/>
    </row>
    <row r="39" spans="1:13" ht="51" x14ac:dyDescent="0.2">
      <c r="A39" s="306">
        <v>9</v>
      </c>
      <c r="B39" s="308" t="s">
        <v>1248</v>
      </c>
      <c r="C39" s="308" t="s">
        <v>997</v>
      </c>
      <c r="D39" s="17" t="s">
        <v>1079</v>
      </c>
      <c r="E39" s="18">
        <v>94</v>
      </c>
      <c r="F39" s="19" t="s">
        <v>18</v>
      </c>
      <c r="G39" s="19" t="s">
        <v>18</v>
      </c>
      <c r="H39" s="177">
        <f>35000*117/100</f>
        <v>40950</v>
      </c>
      <c r="I39" s="177">
        <f>35000*117/100</f>
        <v>40950</v>
      </c>
      <c r="J39" s="17" t="s">
        <v>20</v>
      </c>
      <c r="K39" s="310" t="s">
        <v>426</v>
      </c>
      <c r="L39" s="320" t="s">
        <v>926</v>
      </c>
      <c r="M39" s="313" t="s">
        <v>1239</v>
      </c>
    </row>
    <row r="40" spans="1:13" ht="25.5" x14ac:dyDescent="0.2">
      <c r="A40" s="306"/>
      <c r="B40" s="308"/>
      <c r="C40" s="308"/>
      <c r="D40" s="7" t="s">
        <v>176</v>
      </c>
      <c r="E40" s="20">
        <v>84</v>
      </c>
      <c r="F40" s="21" t="s">
        <v>18</v>
      </c>
      <c r="G40" s="21" t="s">
        <v>18</v>
      </c>
      <c r="H40" s="171">
        <f>45000*117/100</f>
        <v>52650</v>
      </c>
      <c r="I40" s="171">
        <f>45000*117/100</f>
        <v>52650</v>
      </c>
      <c r="J40" s="7" t="s">
        <v>20</v>
      </c>
      <c r="K40" s="310"/>
      <c r="L40" s="320"/>
      <c r="M40" s="313"/>
    </row>
    <row r="41" spans="1:13" ht="25.5" x14ac:dyDescent="0.2">
      <c r="A41" s="306"/>
      <c r="B41" s="308"/>
      <c r="C41" s="308"/>
      <c r="D41" s="7" t="s">
        <v>1026</v>
      </c>
      <c r="E41" s="20">
        <v>65</v>
      </c>
      <c r="F41" s="21" t="s">
        <v>18</v>
      </c>
      <c r="G41" s="21" t="s">
        <v>18</v>
      </c>
      <c r="H41" s="171">
        <f>52000*117/100</f>
        <v>60840</v>
      </c>
      <c r="I41" s="171">
        <f>52000*117/100</f>
        <v>60840</v>
      </c>
      <c r="J41" s="7" t="s">
        <v>20</v>
      </c>
      <c r="K41" s="310"/>
      <c r="L41" s="320"/>
      <c r="M41" s="313"/>
    </row>
    <row r="42" spans="1:13" ht="63.75" x14ac:dyDescent="0.2">
      <c r="A42" s="306"/>
      <c r="B42" s="308"/>
      <c r="C42" s="308"/>
      <c r="D42" s="7" t="s">
        <v>1078</v>
      </c>
      <c r="E42" s="20">
        <v>71</v>
      </c>
      <c r="F42" s="21" t="s">
        <v>18</v>
      </c>
      <c r="G42" s="21" t="s">
        <v>18</v>
      </c>
      <c r="H42" s="171">
        <f>60000*117/100</f>
        <v>70200</v>
      </c>
      <c r="I42" s="171">
        <f>60000*117/100</f>
        <v>70200</v>
      </c>
      <c r="J42" s="7" t="s">
        <v>20</v>
      </c>
      <c r="K42" s="310"/>
      <c r="L42" s="320"/>
      <c r="M42" s="313"/>
    </row>
    <row r="43" spans="1:13" ht="14.25" x14ac:dyDescent="0.2">
      <c r="A43" s="306"/>
      <c r="B43" s="308"/>
      <c r="C43" s="308"/>
      <c r="D43" s="7" t="s">
        <v>984</v>
      </c>
      <c r="E43" s="20">
        <v>68</v>
      </c>
      <c r="F43" s="21" t="s">
        <v>18</v>
      </c>
      <c r="G43" s="21" t="s">
        <v>18</v>
      </c>
      <c r="H43" s="171">
        <f>65000*117/100</f>
        <v>76050</v>
      </c>
      <c r="I43" s="171">
        <f>65000*117/100</f>
        <v>76050</v>
      </c>
      <c r="J43" s="7" t="s">
        <v>20</v>
      </c>
      <c r="K43" s="310"/>
      <c r="L43" s="320"/>
      <c r="M43" s="313"/>
    </row>
    <row r="44" spans="1:13" ht="14.25" x14ac:dyDescent="0.2">
      <c r="A44" s="302"/>
      <c r="B44" s="303" t="s">
        <v>1247</v>
      </c>
      <c r="C44" s="304"/>
      <c r="D44" s="304"/>
      <c r="E44" s="304"/>
      <c r="F44" s="304"/>
      <c r="G44" s="304"/>
      <c r="H44" s="304"/>
      <c r="I44" s="304"/>
      <c r="J44" s="304"/>
      <c r="K44" s="304"/>
      <c r="L44" s="304"/>
      <c r="M44" s="305"/>
    </row>
    <row r="212" spans="3:3" x14ac:dyDescent="0.2">
      <c r="C212" s="220" t="s">
        <v>1258</v>
      </c>
    </row>
  </sheetData>
  <mergeCells count="57">
    <mergeCell ref="A6:M6"/>
    <mergeCell ref="A1:A5"/>
    <mergeCell ref="B1:M1"/>
    <mergeCell ref="B2:M2"/>
    <mergeCell ref="B3:M3"/>
    <mergeCell ref="B4:M4"/>
    <mergeCell ref="A21:M21"/>
    <mergeCell ref="A22:A25"/>
    <mergeCell ref="B22:B24"/>
    <mergeCell ref="C22:C24"/>
    <mergeCell ref="K22:K24"/>
    <mergeCell ref="L22:L24"/>
    <mergeCell ref="M22:M24"/>
    <mergeCell ref="B25:M25"/>
    <mergeCell ref="A7:A8"/>
    <mergeCell ref="B14:M14"/>
    <mergeCell ref="A15:M15"/>
    <mergeCell ref="A16:A20"/>
    <mergeCell ref="B16:B19"/>
    <mergeCell ref="C16:C19"/>
    <mergeCell ref="K16:K19"/>
    <mergeCell ref="L16:L19"/>
    <mergeCell ref="M16:M19"/>
    <mergeCell ref="B20:M20"/>
    <mergeCell ref="B11:M11"/>
    <mergeCell ref="A13:A14"/>
    <mergeCell ref="A12:M12"/>
    <mergeCell ref="B8:M8"/>
    <mergeCell ref="A9:M9"/>
    <mergeCell ref="A10:A11"/>
    <mergeCell ref="A26:M26"/>
    <mergeCell ref="A27:A28"/>
    <mergeCell ref="B28:M28"/>
    <mergeCell ref="A29:M29"/>
    <mergeCell ref="A30:A32"/>
    <mergeCell ref="K30:K31"/>
    <mergeCell ref="L30:L31"/>
    <mergeCell ref="M30:M31"/>
    <mergeCell ref="B32:M32"/>
    <mergeCell ref="C30:C31"/>
    <mergeCell ref="B30:B31"/>
    <mergeCell ref="A33:M33"/>
    <mergeCell ref="A38:M38"/>
    <mergeCell ref="A39:A44"/>
    <mergeCell ref="B39:B43"/>
    <mergeCell ref="C39:C43"/>
    <mergeCell ref="K39:K43"/>
    <mergeCell ref="L39:L43"/>
    <mergeCell ref="M39:M43"/>
    <mergeCell ref="A34:A37"/>
    <mergeCell ref="B34:B36"/>
    <mergeCell ref="C34:C36"/>
    <mergeCell ref="K34:K36"/>
    <mergeCell ref="L34:L36"/>
    <mergeCell ref="B44:M44"/>
    <mergeCell ref="M34:M36"/>
    <mergeCell ref="B37:M37"/>
  </mergeCells>
  <pageMargins left="0.7" right="0.7" top="0.75" bottom="0.75" header="0.3" footer="0.3"/>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rightToLeft="1" zoomScaleNormal="100" workbookViewId="0">
      <pane ySplit="5" topLeftCell="A18" activePane="bottomLeft" state="frozen"/>
      <selection pane="bottomLeft" activeCell="B52" sqref="B52:M52"/>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625"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1205</v>
      </c>
      <c r="C1" s="315"/>
      <c r="D1" s="315"/>
      <c r="E1" s="315"/>
      <c r="F1" s="315"/>
      <c r="G1" s="315"/>
      <c r="H1" s="315"/>
      <c r="I1" s="315"/>
      <c r="J1" s="315"/>
      <c r="K1" s="315"/>
      <c r="L1" s="315"/>
      <c r="M1" s="315"/>
    </row>
    <row r="2" spans="1:13" ht="29.45" customHeight="1" x14ac:dyDescent="0.2">
      <c r="A2" s="314"/>
      <c r="B2" s="316" t="s">
        <v>840</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47.25" x14ac:dyDescent="0.2">
      <c r="A5" s="314"/>
      <c r="B5" s="190" t="s">
        <v>2</v>
      </c>
      <c r="C5" s="2" t="s">
        <v>3</v>
      </c>
      <c r="D5" s="3" t="s">
        <v>4</v>
      </c>
      <c r="E5" s="3" t="s">
        <v>5</v>
      </c>
      <c r="F5" s="3" t="s">
        <v>6</v>
      </c>
      <c r="G5" s="3" t="s">
        <v>7</v>
      </c>
      <c r="H5" s="4" t="s">
        <v>8</v>
      </c>
      <c r="I5" s="5" t="s">
        <v>9</v>
      </c>
      <c r="J5" s="3" t="s">
        <v>10</v>
      </c>
      <c r="K5" s="3" t="s">
        <v>11</v>
      </c>
      <c r="L5" s="130" t="s">
        <v>12</v>
      </c>
      <c r="M5" s="3" t="s">
        <v>13</v>
      </c>
    </row>
    <row r="6" spans="1:13" ht="15.75" x14ac:dyDescent="0.2">
      <c r="A6" s="298" t="s">
        <v>1114</v>
      </c>
      <c r="B6" s="299"/>
      <c r="C6" s="299"/>
      <c r="D6" s="299"/>
      <c r="E6" s="299"/>
      <c r="F6" s="299"/>
      <c r="G6" s="299"/>
      <c r="H6" s="299"/>
      <c r="I6" s="299"/>
      <c r="J6" s="299"/>
      <c r="K6" s="299"/>
      <c r="L6" s="299"/>
      <c r="M6" s="300"/>
    </row>
    <row r="7" spans="1:13" ht="38.25" x14ac:dyDescent="0.2">
      <c r="A7" s="306">
        <v>1</v>
      </c>
      <c r="B7" s="308" t="s">
        <v>1108</v>
      </c>
      <c r="C7" s="308" t="s">
        <v>1147</v>
      </c>
      <c r="D7" s="17" t="s">
        <v>1109</v>
      </c>
      <c r="E7" s="18">
        <v>100</v>
      </c>
      <c r="F7" s="19" t="s">
        <v>1112</v>
      </c>
      <c r="G7" s="19" t="s">
        <v>1113</v>
      </c>
      <c r="H7" s="19">
        <f>343*117/100</f>
        <v>401.31</v>
      </c>
      <c r="I7" s="19">
        <f>H7*35*12</f>
        <v>168550.2</v>
      </c>
      <c r="J7" s="17" t="s">
        <v>20</v>
      </c>
      <c r="K7" s="310" t="s">
        <v>426</v>
      </c>
      <c r="L7" s="320" t="s">
        <v>926</v>
      </c>
      <c r="M7" s="313" t="s">
        <v>132</v>
      </c>
    </row>
    <row r="8" spans="1:13" ht="38.25" x14ac:dyDescent="0.2">
      <c r="A8" s="306"/>
      <c r="B8" s="308"/>
      <c r="C8" s="308"/>
      <c r="D8" s="7" t="s">
        <v>1110</v>
      </c>
      <c r="E8" s="20">
        <v>80</v>
      </c>
      <c r="F8" s="21" t="s">
        <v>1112</v>
      </c>
      <c r="G8" s="21" t="s">
        <v>1113</v>
      </c>
      <c r="H8" s="21">
        <f>389*117/100</f>
        <v>455.13</v>
      </c>
      <c r="I8" s="21">
        <f t="shared" ref="I8:I10" si="0">H8*35*12</f>
        <v>191154.59999999998</v>
      </c>
      <c r="J8" s="7"/>
      <c r="K8" s="310"/>
      <c r="L8" s="320"/>
      <c r="M8" s="313"/>
    </row>
    <row r="9" spans="1:13" ht="38.25" x14ac:dyDescent="0.2">
      <c r="A9" s="306"/>
      <c r="B9" s="308"/>
      <c r="C9" s="308"/>
      <c r="D9" s="7" t="s">
        <v>1111</v>
      </c>
      <c r="E9" s="20">
        <v>84</v>
      </c>
      <c r="F9" s="21" t="s">
        <v>1112</v>
      </c>
      <c r="G9" s="21" t="s">
        <v>1113</v>
      </c>
      <c r="H9" s="21">
        <f>400*117/100</f>
        <v>468</v>
      </c>
      <c r="I9" s="21">
        <f t="shared" si="0"/>
        <v>196560</v>
      </c>
      <c r="J9" s="7" t="s">
        <v>20</v>
      </c>
      <c r="K9" s="310"/>
      <c r="L9" s="320"/>
      <c r="M9" s="313"/>
    </row>
    <row r="10" spans="1:13" ht="38.25" x14ac:dyDescent="0.2">
      <c r="A10" s="306"/>
      <c r="B10" s="308"/>
      <c r="C10" s="308"/>
      <c r="D10" s="7" t="s">
        <v>894</v>
      </c>
      <c r="E10" s="20">
        <v>44</v>
      </c>
      <c r="F10" s="21" t="s">
        <v>1112</v>
      </c>
      <c r="G10" s="21" t="s">
        <v>1113</v>
      </c>
      <c r="H10" s="21">
        <f>1200*117/100</f>
        <v>1404</v>
      </c>
      <c r="I10" s="21">
        <f t="shared" si="0"/>
        <v>589680</v>
      </c>
      <c r="J10" s="7" t="s">
        <v>20</v>
      </c>
      <c r="K10" s="310"/>
      <c r="L10" s="320"/>
      <c r="M10" s="313"/>
    </row>
    <row r="11" spans="1:13" ht="14.25" x14ac:dyDescent="0.2">
      <c r="A11" s="302"/>
      <c r="B11" s="303"/>
      <c r="C11" s="304"/>
      <c r="D11" s="304"/>
      <c r="E11" s="304"/>
      <c r="F11" s="304"/>
      <c r="G11" s="304"/>
      <c r="H11" s="304"/>
      <c r="I11" s="304"/>
      <c r="J11" s="304"/>
      <c r="K11" s="304"/>
      <c r="L11" s="304"/>
      <c r="M11" s="305"/>
    </row>
    <row r="12" spans="1:13" ht="15.75" x14ac:dyDescent="0.2">
      <c r="A12" s="298" t="s">
        <v>1115</v>
      </c>
      <c r="B12" s="299"/>
      <c r="C12" s="299"/>
      <c r="D12" s="299"/>
      <c r="E12" s="299"/>
      <c r="F12" s="299"/>
      <c r="G12" s="299"/>
      <c r="H12" s="299"/>
      <c r="I12" s="299"/>
      <c r="J12" s="299"/>
      <c r="K12" s="299"/>
      <c r="L12" s="299"/>
      <c r="M12" s="300"/>
    </row>
    <row r="13" spans="1:13" ht="25.5" x14ac:dyDescent="0.2">
      <c r="A13" s="306">
        <v>2</v>
      </c>
      <c r="B13" s="308" t="s">
        <v>1119</v>
      </c>
      <c r="C13" s="308" t="s">
        <v>210</v>
      </c>
      <c r="D13" s="17" t="s">
        <v>1002</v>
      </c>
      <c r="E13" s="18">
        <v>94</v>
      </c>
      <c r="F13" s="19" t="s">
        <v>18</v>
      </c>
      <c r="G13" s="19" t="s">
        <v>18</v>
      </c>
      <c r="H13" s="19">
        <f>4500*117/100</f>
        <v>5265</v>
      </c>
      <c r="I13" s="19">
        <f>4500*117/100</f>
        <v>5265</v>
      </c>
      <c r="J13" s="17" t="s">
        <v>20</v>
      </c>
      <c r="K13" s="310" t="s">
        <v>1202</v>
      </c>
      <c r="L13" s="320" t="s">
        <v>926</v>
      </c>
      <c r="M13" s="313"/>
    </row>
    <row r="14" spans="1:13" ht="38.25" x14ac:dyDescent="0.2">
      <c r="A14" s="306"/>
      <c r="B14" s="308"/>
      <c r="C14" s="308"/>
      <c r="D14" s="7" t="s">
        <v>1120</v>
      </c>
      <c r="E14" s="20">
        <v>50.25</v>
      </c>
      <c r="F14" s="21" t="s">
        <v>18</v>
      </c>
      <c r="G14" s="21" t="s">
        <v>18</v>
      </c>
      <c r="H14" s="21">
        <f>12000*117/100</f>
        <v>14040</v>
      </c>
      <c r="I14" s="21">
        <f>12000*117/100</f>
        <v>14040</v>
      </c>
      <c r="J14" s="7"/>
      <c r="K14" s="310"/>
      <c r="L14" s="320"/>
      <c r="M14" s="313"/>
    </row>
    <row r="15" spans="1:13" ht="38.25" x14ac:dyDescent="0.2">
      <c r="A15" s="306"/>
      <c r="B15" s="308"/>
      <c r="C15" s="308"/>
      <c r="D15" s="7" t="s">
        <v>1121</v>
      </c>
      <c r="E15" s="20">
        <v>49.2</v>
      </c>
      <c r="F15" s="21" t="s">
        <v>18</v>
      </c>
      <c r="G15" s="21" t="s">
        <v>18</v>
      </c>
      <c r="H15" s="21">
        <f>12500*117/100</f>
        <v>14625</v>
      </c>
      <c r="I15" s="21">
        <f>12500*117/100</f>
        <v>14625</v>
      </c>
      <c r="J15" s="7" t="s">
        <v>20</v>
      </c>
      <c r="K15" s="310"/>
      <c r="L15" s="320"/>
      <c r="M15" s="313"/>
    </row>
    <row r="16" spans="1:13" ht="38.25" x14ac:dyDescent="0.2">
      <c r="A16" s="306"/>
      <c r="B16" s="308"/>
      <c r="C16" s="308"/>
      <c r="D16" s="7" t="s">
        <v>1122</v>
      </c>
      <c r="E16" s="20">
        <v>43.81</v>
      </c>
      <c r="F16" s="21" t="s">
        <v>18</v>
      </c>
      <c r="G16" s="21" t="s">
        <v>18</v>
      </c>
      <c r="H16" s="21">
        <f>22800*117/100</f>
        <v>26676</v>
      </c>
      <c r="I16" s="21">
        <f>22800*117/100</f>
        <v>26676</v>
      </c>
      <c r="J16" s="7" t="s">
        <v>20</v>
      </c>
      <c r="K16" s="310"/>
      <c r="L16" s="320"/>
      <c r="M16" s="313"/>
    </row>
    <row r="17" spans="1:13" ht="14.25" x14ac:dyDescent="0.2">
      <c r="A17" s="302"/>
      <c r="B17" s="303"/>
      <c r="C17" s="304"/>
      <c r="D17" s="304"/>
      <c r="E17" s="304"/>
      <c r="F17" s="304"/>
      <c r="G17" s="304"/>
      <c r="H17" s="304"/>
      <c r="I17" s="304"/>
      <c r="J17" s="304"/>
      <c r="K17" s="304"/>
      <c r="L17" s="304"/>
      <c r="M17" s="305"/>
    </row>
    <row r="18" spans="1:13" ht="15.75" x14ac:dyDescent="0.2">
      <c r="A18" s="298" t="s">
        <v>1116</v>
      </c>
      <c r="B18" s="299"/>
      <c r="C18" s="299"/>
      <c r="D18" s="299"/>
      <c r="E18" s="299"/>
      <c r="F18" s="299"/>
      <c r="G18" s="299"/>
      <c r="H18" s="299"/>
      <c r="I18" s="299"/>
      <c r="J18" s="299"/>
      <c r="K18" s="299"/>
      <c r="L18" s="299"/>
      <c r="M18" s="300"/>
    </row>
    <row r="19" spans="1:13" ht="38.25" x14ac:dyDescent="0.2">
      <c r="A19" s="306">
        <v>3</v>
      </c>
      <c r="B19" s="308" t="s">
        <v>1203</v>
      </c>
      <c r="C19" s="308" t="s">
        <v>210</v>
      </c>
      <c r="D19" s="67" t="s">
        <v>1123</v>
      </c>
      <c r="E19" s="68">
        <v>100</v>
      </c>
      <c r="F19" s="69" t="s">
        <v>18</v>
      </c>
      <c r="G19" s="69" t="s">
        <v>18</v>
      </c>
      <c r="H19" s="69">
        <f>30000*117/100</f>
        <v>35100</v>
      </c>
      <c r="I19" s="69">
        <f>30000*117/100</f>
        <v>35100</v>
      </c>
      <c r="J19" s="67" t="s">
        <v>20</v>
      </c>
      <c r="K19" s="310" t="s">
        <v>1204</v>
      </c>
      <c r="L19" s="320" t="s">
        <v>926</v>
      </c>
      <c r="M19" s="313" t="s">
        <v>1126</v>
      </c>
    </row>
    <row r="20" spans="1:13" ht="25.5" x14ac:dyDescent="0.2">
      <c r="A20" s="306"/>
      <c r="B20" s="308"/>
      <c r="C20" s="308"/>
      <c r="D20" s="7" t="s">
        <v>1124</v>
      </c>
      <c r="E20" s="20">
        <v>47</v>
      </c>
      <c r="F20" s="21" t="s">
        <v>18</v>
      </c>
      <c r="G20" s="21" t="s">
        <v>18</v>
      </c>
      <c r="H20" s="21">
        <f>72000*117/100</f>
        <v>84240</v>
      </c>
      <c r="I20" s="21">
        <f>72000*117/100</f>
        <v>84240</v>
      </c>
      <c r="J20" s="7" t="s">
        <v>20</v>
      </c>
      <c r="K20" s="310"/>
      <c r="L20" s="320"/>
      <c r="M20" s="313"/>
    </row>
    <row r="21" spans="1:13" ht="25.5" x14ac:dyDescent="0.2">
      <c r="A21" s="306"/>
      <c r="B21" s="308"/>
      <c r="C21" s="308"/>
      <c r="D21" s="7" t="s">
        <v>1002</v>
      </c>
      <c r="E21" s="20">
        <v>52</v>
      </c>
      <c r="F21" s="21" t="s">
        <v>18</v>
      </c>
      <c r="G21" s="21" t="s">
        <v>18</v>
      </c>
      <c r="H21" s="21">
        <f>73800*117/100</f>
        <v>86346</v>
      </c>
      <c r="I21" s="21">
        <f>73800*117/100</f>
        <v>86346</v>
      </c>
      <c r="J21" s="7" t="s">
        <v>20</v>
      </c>
      <c r="K21" s="310"/>
      <c r="L21" s="320"/>
      <c r="M21" s="313"/>
    </row>
    <row r="22" spans="1:13" ht="38.25" x14ac:dyDescent="0.2">
      <c r="A22" s="306"/>
      <c r="B22" s="308"/>
      <c r="C22" s="308"/>
      <c r="D22" s="7" t="s">
        <v>1125</v>
      </c>
      <c r="E22" s="20">
        <v>50</v>
      </c>
      <c r="F22" s="21" t="s">
        <v>18</v>
      </c>
      <c r="G22" s="21" t="s">
        <v>18</v>
      </c>
      <c r="H22" s="21">
        <f>82000*117/100</f>
        <v>95940</v>
      </c>
      <c r="I22" s="21">
        <f>82000*117/100</f>
        <v>95940</v>
      </c>
      <c r="J22" s="7" t="s">
        <v>20</v>
      </c>
      <c r="K22" s="310"/>
      <c r="L22" s="320"/>
      <c r="M22" s="313"/>
    </row>
    <row r="23" spans="1:13" ht="14.25" x14ac:dyDescent="0.2">
      <c r="A23" s="302"/>
      <c r="B23" s="303"/>
      <c r="C23" s="304"/>
      <c r="D23" s="304"/>
      <c r="E23" s="304"/>
      <c r="F23" s="304"/>
      <c r="G23" s="304"/>
      <c r="H23" s="304"/>
      <c r="I23" s="304"/>
      <c r="J23" s="304"/>
      <c r="K23" s="304"/>
      <c r="L23" s="304"/>
      <c r="M23" s="305"/>
    </row>
    <row r="24" spans="1:13" ht="15.75" x14ac:dyDescent="0.2">
      <c r="A24" s="298" t="s">
        <v>1117</v>
      </c>
      <c r="B24" s="299"/>
      <c r="C24" s="299"/>
      <c r="D24" s="299"/>
      <c r="E24" s="299"/>
      <c r="F24" s="299"/>
      <c r="G24" s="299"/>
      <c r="H24" s="299"/>
      <c r="I24" s="299"/>
      <c r="J24" s="299"/>
      <c r="K24" s="299"/>
      <c r="L24" s="299"/>
      <c r="M24" s="300"/>
    </row>
    <row r="25" spans="1:13" ht="63.75" x14ac:dyDescent="0.2">
      <c r="A25" s="306">
        <v>4</v>
      </c>
      <c r="B25" s="308" t="s">
        <v>1127</v>
      </c>
      <c r="C25" s="308" t="s">
        <v>27</v>
      </c>
      <c r="D25" s="67" t="s">
        <v>1148</v>
      </c>
      <c r="E25" s="68">
        <v>100</v>
      </c>
      <c r="F25" s="69" t="s">
        <v>29</v>
      </c>
      <c r="G25" s="69" t="s">
        <v>30</v>
      </c>
      <c r="H25" s="69">
        <f>250*117/100</f>
        <v>292.5</v>
      </c>
      <c r="I25" s="69">
        <f>100*H25</f>
        <v>29250</v>
      </c>
      <c r="J25" s="67" t="s">
        <v>20</v>
      </c>
      <c r="K25" s="310" t="s">
        <v>1211</v>
      </c>
      <c r="L25" s="320" t="s">
        <v>926</v>
      </c>
      <c r="M25" s="313"/>
    </row>
    <row r="26" spans="1:13" ht="51" x14ac:dyDescent="0.2">
      <c r="A26" s="306"/>
      <c r="B26" s="308"/>
      <c r="C26" s="308"/>
      <c r="D26" s="7" t="s">
        <v>678</v>
      </c>
      <c r="E26" s="20">
        <v>96</v>
      </c>
      <c r="F26" s="21" t="s">
        <v>29</v>
      </c>
      <c r="G26" s="21" t="s">
        <v>30</v>
      </c>
      <c r="H26" s="21">
        <f>265*117/100</f>
        <v>310.05</v>
      </c>
      <c r="I26" s="21">
        <f t="shared" ref="I26:I28" si="1">100*H26</f>
        <v>31005</v>
      </c>
      <c r="J26" s="7" t="s">
        <v>20</v>
      </c>
      <c r="K26" s="310"/>
      <c r="L26" s="320"/>
      <c r="M26" s="313"/>
    </row>
    <row r="27" spans="1:13" ht="51" x14ac:dyDescent="0.2">
      <c r="A27" s="306"/>
      <c r="B27" s="308"/>
      <c r="C27" s="308"/>
      <c r="D27" s="7" t="s">
        <v>1128</v>
      </c>
      <c r="E27" s="20">
        <v>95</v>
      </c>
      <c r="F27" s="21" t="s">
        <v>29</v>
      </c>
      <c r="G27" s="21" t="s">
        <v>30</v>
      </c>
      <c r="H27" s="21">
        <f>267.9*117/100</f>
        <v>313.44299999999998</v>
      </c>
      <c r="I27" s="21">
        <f t="shared" si="1"/>
        <v>31344.3</v>
      </c>
      <c r="J27" s="7"/>
      <c r="K27" s="310"/>
      <c r="L27" s="320"/>
      <c r="M27" s="313"/>
    </row>
    <row r="28" spans="1:13" ht="51" x14ac:dyDescent="0.2">
      <c r="A28" s="306"/>
      <c r="B28" s="308"/>
      <c r="C28" s="308"/>
      <c r="D28" s="7" t="s">
        <v>1129</v>
      </c>
      <c r="E28" s="20">
        <v>95</v>
      </c>
      <c r="F28" s="21" t="s">
        <v>29</v>
      </c>
      <c r="G28" s="21" t="s">
        <v>30</v>
      </c>
      <c r="H28" s="21">
        <f>267.9*117/100</f>
        <v>313.44299999999998</v>
      </c>
      <c r="I28" s="21">
        <f t="shared" si="1"/>
        <v>31344.3</v>
      </c>
      <c r="J28" s="7" t="s">
        <v>20</v>
      </c>
      <c r="K28" s="310"/>
      <c r="L28" s="320"/>
      <c r="M28" s="313"/>
    </row>
    <row r="29" spans="1:13" ht="14.25" x14ac:dyDescent="0.2">
      <c r="A29" s="302"/>
      <c r="B29" s="303"/>
      <c r="C29" s="304"/>
      <c r="D29" s="304"/>
      <c r="E29" s="304"/>
      <c r="F29" s="304"/>
      <c r="G29" s="304"/>
      <c r="H29" s="304"/>
      <c r="I29" s="304"/>
      <c r="J29" s="304"/>
      <c r="K29" s="304"/>
      <c r="L29" s="304"/>
      <c r="M29" s="305"/>
    </row>
    <row r="30" spans="1:13" ht="15.75" x14ac:dyDescent="0.2">
      <c r="A30" s="298" t="s">
        <v>1118</v>
      </c>
      <c r="B30" s="299"/>
      <c r="C30" s="299"/>
      <c r="D30" s="299"/>
      <c r="E30" s="299"/>
      <c r="F30" s="299"/>
      <c r="G30" s="299"/>
      <c r="H30" s="299"/>
      <c r="I30" s="299"/>
      <c r="J30" s="299"/>
      <c r="K30" s="299"/>
      <c r="L30" s="299"/>
      <c r="M30" s="300"/>
    </row>
    <row r="31" spans="1:13" ht="13.9" customHeight="1" x14ac:dyDescent="0.2">
      <c r="A31" s="306">
        <v>5</v>
      </c>
      <c r="B31" s="307" t="s">
        <v>345</v>
      </c>
      <c r="C31" s="307" t="s">
        <v>276</v>
      </c>
      <c r="D31" s="17" t="s">
        <v>346</v>
      </c>
      <c r="E31" s="18">
        <v>94</v>
      </c>
      <c r="F31" s="19" t="s">
        <v>18</v>
      </c>
      <c r="G31" s="19" t="s">
        <v>18</v>
      </c>
      <c r="H31" s="19">
        <f>50000*117/100</f>
        <v>58500</v>
      </c>
      <c r="I31" s="19">
        <f>50000*117/100</f>
        <v>58500</v>
      </c>
      <c r="J31" s="17" t="s">
        <v>20</v>
      </c>
      <c r="K31" s="309" t="s">
        <v>426</v>
      </c>
      <c r="L31" s="311" t="s">
        <v>926</v>
      </c>
      <c r="M31" s="312" t="s">
        <v>349</v>
      </c>
    </row>
    <row r="32" spans="1:13" ht="25.5" x14ac:dyDescent="0.2">
      <c r="A32" s="306"/>
      <c r="B32" s="308"/>
      <c r="C32" s="308"/>
      <c r="D32" s="7" t="s">
        <v>209</v>
      </c>
      <c r="E32" s="20">
        <v>86</v>
      </c>
      <c r="F32" s="21" t="s">
        <v>18</v>
      </c>
      <c r="G32" s="21" t="s">
        <v>18</v>
      </c>
      <c r="H32" s="21">
        <f>56822*117/100</f>
        <v>66481.740000000005</v>
      </c>
      <c r="I32" s="21">
        <f>56822*117/100</f>
        <v>66481.740000000005</v>
      </c>
      <c r="J32" s="7" t="s">
        <v>20</v>
      </c>
      <c r="K32" s="310"/>
      <c r="L32" s="311"/>
      <c r="M32" s="313"/>
    </row>
    <row r="33" spans="1:13" ht="25.5" x14ac:dyDescent="0.2">
      <c r="A33" s="306"/>
      <c r="B33" s="308"/>
      <c r="C33" s="308"/>
      <c r="D33" s="7" t="s">
        <v>347</v>
      </c>
      <c r="E33" s="20">
        <v>72</v>
      </c>
      <c r="F33" s="21" t="s">
        <v>18</v>
      </c>
      <c r="G33" s="21" t="s">
        <v>18</v>
      </c>
      <c r="H33" s="21">
        <f>73000*117/100</f>
        <v>85410</v>
      </c>
      <c r="I33" s="21">
        <f>73000*117/100</f>
        <v>85410</v>
      </c>
      <c r="J33" s="7" t="s">
        <v>20</v>
      </c>
      <c r="K33" s="310"/>
      <c r="L33" s="311"/>
      <c r="M33" s="313"/>
    </row>
    <row r="34" spans="1:13" ht="25.5" x14ac:dyDescent="0.2">
      <c r="A34" s="306"/>
      <c r="B34" s="308"/>
      <c r="C34" s="308"/>
      <c r="D34" s="7" t="s">
        <v>348</v>
      </c>
      <c r="E34" s="20">
        <v>59</v>
      </c>
      <c r="F34" s="21" t="s">
        <v>18</v>
      </c>
      <c r="G34" s="21" t="s">
        <v>18</v>
      </c>
      <c r="H34" s="21">
        <f>100000*117/100</f>
        <v>117000</v>
      </c>
      <c r="I34" s="21">
        <f>100000*117/100</f>
        <v>117000</v>
      </c>
      <c r="J34" s="7" t="s">
        <v>20</v>
      </c>
      <c r="K34" s="310"/>
      <c r="L34" s="311"/>
      <c r="M34" s="313"/>
    </row>
    <row r="35" spans="1:13" ht="14.25" x14ac:dyDescent="0.2">
      <c r="A35" s="302"/>
      <c r="B35" s="303" t="s">
        <v>1130</v>
      </c>
      <c r="C35" s="304"/>
      <c r="D35" s="304"/>
      <c r="E35" s="304"/>
      <c r="F35" s="304"/>
      <c r="G35" s="304"/>
      <c r="H35" s="304"/>
      <c r="I35" s="304"/>
      <c r="J35" s="304"/>
      <c r="K35" s="304"/>
      <c r="L35" s="304"/>
      <c r="M35" s="305"/>
    </row>
    <row r="36" spans="1:13" ht="15.75" x14ac:dyDescent="0.2">
      <c r="A36" s="298" t="s">
        <v>1131</v>
      </c>
      <c r="B36" s="299"/>
      <c r="C36" s="299"/>
      <c r="D36" s="299"/>
      <c r="E36" s="299"/>
      <c r="F36" s="299"/>
      <c r="G36" s="299"/>
      <c r="H36" s="299"/>
      <c r="I36" s="299"/>
      <c r="J36" s="299"/>
      <c r="K36" s="299"/>
      <c r="L36" s="299"/>
      <c r="M36" s="300"/>
    </row>
    <row r="37" spans="1:13" ht="38.25" x14ac:dyDescent="0.2">
      <c r="A37" s="306">
        <v>6</v>
      </c>
      <c r="B37" s="307" t="s">
        <v>1206</v>
      </c>
      <c r="C37" s="307" t="s">
        <v>1136</v>
      </c>
      <c r="D37" s="17" t="s">
        <v>1134</v>
      </c>
      <c r="E37" s="18">
        <v>100</v>
      </c>
      <c r="F37" s="19" t="s">
        <v>1135</v>
      </c>
      <c r="G37" s="19" t="s">
        <v>69</v>
      </c>
      <c r="H37" s="19">
        <f>2000*117/100</f>
        <v>2340</v>
      </c>
      <c r="I37" s="19">
        <f>12*H37</f>
        <v>28080</v>
      </c>
      <c r="J37" s="17"/>
      <c r="K37" s="309" t="s">
        <v>426</v>
      </c>
      <c r="L37" s="319" t="s">
        <v>926</v>
      </c>
      <c r="M37" s="312">
        <v>1829200750</v>
      </c>
    </row>
    <row r="38" spans="1:13" ht="38.25" x14ac:dyDescent="0.2">
      <c r="A38" s="306"/>
      <c r="B38" s="308"/>
      <c r="C38" s="308"/>
      <c r="D38" s="7" t="s">
        <v>1132</v>
      </c>
      <c r="E38" s="20">
        <v>86</v>
      </c>
      <c r="F38" s="21" t="s">
        <v>1135</v>
      </c>
      <c r="G38" s="21" t="s">
        <v>69</v>
      </c>
      <c r="H38" s="21">
        <f>2500*117/100</f>
        <v>2925</v>
      </c>
      <c r="I38" s="21">
        <f t="shared" ref="I38:I39" si="2">12*H38</f>
        <v>35100</v>
      </c>
      <c r="J38" s="7"/>
      <c r="K38" s="310"/>
      <c r="L38" s="320"/>
      <c r="M38" s="313"/>
    </row>
    <row r="39" spans="1:13" ht="38.25" x14ac:dyDescent="0.2">
      <c r="A39" s="306"/>
      <c r="B39" s="308"/>
      <c r="C39" s="308"/>
      <c r="D39" s="7" t="s">
        <v>1133</v>
      </c>
      <c r="E39" s="20">
        <v>74</v>
      </c>
      <c r="F39" s="21" t="s">
        <v>1135</v>
      </c>
      <c r="G39" s="21" t="s">
        <v>69</v>
      </c>
      <c r="H39" s="21">
        <f>3155*117/100</f>
        <v>3691.35</v>
      </c>
      <c r="I39" s="21">
        <f t="shared" si="2"/>
        <v>44296.2</v>
      </c>
      <c r="J39" s="7"/>
      <c r="K39" s="310"/>
      <c r="L39" s="320"/>
      <c r="M39" s="313"/>
    </row>
    <row r="40" spans="1:13" ht="14.25" x14ac:dyDescent="0.2">
      <c r="A40" s="302"/>
      <c r="B40" s="303" t="s">
        <v>1164</v>
      </c>
      <c r="C40" s="304"/>
      <c r="D40" s="304"/>
      <c r="E40" s="304"/>
      <c r="F40" s="304"/>
      <c r="G40" s="304"/>
      <c r="H40" s="304"/>
      <c r="I40" s="304"/>
      <c r="J40" s="304"/>
      <c r="K40" s="304"/>
      <c r="L40" s="304"/>
      <c r="M40" s="305"/>
    </row>
    <row r="41" spans="1:13" ht="15.75" x14ac:dyDescent="0.2">
      <c r="A41" s="298" t="s">
        <v>1137</v>
      </c>
      <c r="B41" s="299"/>
      <c r="C41" s="299"/>
      <c r="D41" s="299"/>
      <c r="E41" s="299"/>
      <c r="F41" s="299"/>
      <c r="G41" s="299"/>
      <c r="H41" s="299"/>
      <c r="I41" s="299"/>
      <c r="J41" s="299"/>
      <c r="K41" s="299"/>
      <c r="L41" s="299"/>
      <c r="M41" s="300"/>
    </row>
    <row r="42" spans="1:13" ht="38.25" x14ac:dyDescent="0.2">
      <c r="A42" s="306">
        <v>7</v>
      </c>
      <c r="B42" s="307" t="s">
        <v>958</v>
      </c>
      <c r="C42" s="307" t="s">
        <v>1140</v>
      </c>
      <c r="D42" s="17" t="s">
        <v>1141</v>
      </c>
      <c r="E42" s="18">
        <v>100</v>
      </c>
      <c r="F42" s="19" t="s">
        <v>29</v>
      </c>
      <c r="G42" s="19" t="s">
        <v>1207</v>
      </c>
      <c r="H42" s="19">
        <f>200*117/100</f>
        <v>234</v>
      </c>
      <c r="I42" s="19">
        <f>H42*52*4</f>
        <v>48672</v>
      </c>
      <c r="J42" s="17"/>
      <c r="K42" s="309" t="s">
        <v>1208</v>
      </c>
      <c r="L42" s="319" t="s">
        <v>926</v>
      </c>
      <c r="M42" s="312">
        <v>1812500780</v>
      </c>
    </row>
    <row r="43" spans="1:13" ht="38.25" x14ac:dyDescent="0.2">
      <c r="A43" s="306"/>
      <c r="B43" s="308"/>
      <c r="C43" s="308"/>
      <c r="D43" s="7" t="s">
        <v>961</v>
      </c>
      <c r="E43" s="20">
        <v>77</v>
      </c>
      <c r="F43" s="21" t="s">
        <v>29</v>
      </c>
      <c r="G43" s="21" t="s">
        <v>1207</v>
      </c>
      <c r="H43" s="21">
        <f>300*117/100</f>
        <v>351</v>
      </c>
      <c r="I43" s="21">
        <f>H43*52*4</f>
        <v>73008</v>
      </c>
      <c r="J43" s="7"/>
      <c r="K43" s="310"/>
      <c r="L43" s="320"/>
      <c r="M43" s="313"/>
    </row>
    <row r="44" spans="1:13" ht="38.25" x14ac:dyDescent="0.2">
      <c r="A44" s="306"/>
      <c r="B44" s="308"/>
      <c r="C44" s="308"/>
      <c r="D44" s="7" t="s">
        <v>962</v>
      </c>
      <c r="E44" s="20">
        <v>77</v>
      </c>
      <c r="F44" s="21" t="s">
        <v>29</v>
      </c>
      <c r="G44" s="21" t="s">
        <v>1207</v>
      </c>
      <c r="H44" s="21">
        <f>300*117/100</f>
        <v>351</v>
      </c>
      <c r="I44" s="21">
        <f>H44*52*4</f>
        <v>73008</v>
      </c>
      <c r="J44" s="7" t="s">
        <v>20</v>
      </c>
      <c r="K44" s="310"/>
      <c r="L44" s="320"/>
      <c r="M44" s="313"/>
    </row>
    <row r="45" spans="1:13" ht="38.25" x14ac:dyDescent="0.2">
      <c r="A45" s="306"/>
      <c r="B45" s="308"/>
      <c r="C45" s="308"/>
      <c r="D45" s="7" t="s">
        <v>963</v>
      </c>
      <c r="E45" s="20">
        <v>74</v>
      </c>
      <c r="F45" s="21" t="s">
        <v>29</v>
      </c>
      <c r="G45" s="21" t="s">
        <v>1207</v>
      </c>
      <c r="H45" s="21">
        <f>320*117/100</f>
        <v>374.4</v>
      </c>
      <c r="I45" s="21">
        <f>H45*52*4</f>
        <v>77875.199999999997</v>
      </c>
      <c r="J45" s="7"/>
      <c r="K45" s="310"/>
      <c r="L45" s="320"/>
      <c r="M45" s="313"/>
    </row>
    <row r="46" spans="1:13" ht="14.25" x14ac:dyDescent="0.2">
      <c r="A46" s="302"/>
      <c r="B46" s="303"/>
      <c r="C46" s="304"/>
      <c r="D46" s="304"/>
      <c r="E46" s="304"/>
      <c r="F46" s="304"/>
      <c r="G46" s="304"/>
      <c r="H46" s="304"/>
      <c r="I46" s="304"/>
      <c r="J46" s="304"/>
      <c r="K46" s="304"/>
      <c r="L46" s="304"/>
      <c r="M46" s="305"/>
    </row>
    <row r="47" spans="1:13" ht="15.75" x14ac:dyDescent="0.2">
      <c r="A47" s="298" t="s">
        <v>1138</v>
      </c>
      <c r="B47" s="299"/>
      <c r="C47" s="299"/>
      <c r="D47" s="299"/>
      <c r="E47" s="299"/>
      <c r="F47" s="299"/>
      <c r="G47" s="299"/>
      <c r="H47" s="299"/>
      <c r="I47" s="299"/>
      <c r="J47" s="299"/>
      <c r="K47" s="299"/>
      <c r="L47" s="299"/>
      <c r="M47" s="300"/>
    </row>
    <row r="48" spans="1:13" ht="63.75" x14ac:dyDescent="0.2">
      <c r="A48" s="306">
        <v>8</v>
      </c>
      <c r="B48" s="186" t="s">
        <v>1142</v>
      </c>
      <c r="C48" s="186" t="s">
        <v>1143</v>
      </c>
      <c r="D48" s="17" t="s">
        <v>1144</v>
      </c>
      <c r="E48" s="18">
        <v>100</v>
      </c>
      <c r="F48" s="19" t="s">
        <v>18</v>
      </c>
      <c r="G48" s="19" t="s">
        <v>18</v>
      </c>
      <c r="H48" s="19">
        <f>11160*117/100</f>
        <v>13057.2</v>
      </c>
      <c r="I48" s="19">
        <f>11160*117/100</f>
        <v>13057.2</v>
      </c>
      <c r="J48" s="17"/>
      <c r="K48" s="187" t="s">
        <v>426</v>
      </c>
      <c r="L48" s="188" t="s">
        <v>926</v>
      </c>
      <c r="M48" s="189" t="s">
        <v>1146</v>
      </c>
    </row>
    <row r="49" spans="1:13" ht="14.25" x14ac:dyDescent="0.2">
      <c r="A49" s="302"/>
      <c r="B49" s="303" t="s">
        <v>1145</v>
      </c>
      <c r="C49" s="304"/>
      <c r="D49" s="304"/>
      <c r="E49" s="304"/>
      <c r="F49" s="304"/>
      <c r="G49" s="304"/>
      <c r="H49" s="304"/>
      <c r="I49" s="304"/>
      <c r="J49" s="304"/>
      <c r="K49" s="304"/>
      <c r="L49" s="304"/>
      <c r="M49" s="305"/>
    </row>
    <row r="50" spans="1:13" ht="15.75" x14ac:dyDescent="0.2">
      <c r="A50" s="298" t="s">
        <v>1139</v>
      </c>
      <c r="B50" s="299"/>
      <c r="C50" s="299"/>
      <c r="D50" s="299"/>
      <c r="E50" s="299"/>
      <c r="F50" s="299"/>
      <c r="G50" s="299"/>
      <c r="H50" s="299"/>
      <c r="I50" s="299"/>
      <c r="J50" s="299"/>
      <c r="K50" s="299"/>
      <c r="L50" s="299"/>
      <c r="M50" s="300"/>
    </row>
    <row r="51" spans="1:13" ht="51" x14ac:dyDescent="0.2">
      <c r="A51" s="306">
        <v>9</v>
      </c>
      <c r="B51" s="186" t="s">
        <v>26</v>
      </c>
      <c r="C51" s="186" t="s">
        <v>27</v>
      </c>
      <c r="D51" s="17" t="s">
        <v>28</v>
      </c>
      <c r="E51" s="18">
        <v>100</v>
      </c>
      <c r="F51" s="19" t="s">
        <v>1149</v>
      </c>
      <c r="G51" s="19" t="s">
        <v>30</v>
      </c>
      <c r="H51" s="19">
        <f>194*117/100</f>
        <v>226.98</v>
      </c>
      <c r="I51" s="19">
        <f>100*H51</f>
        <v>22698</v>
      </c>
      <c r="J51" s="17" t="s">
        <v>20</v>
      </c>
      <c r="K51" s="187" t="s">
        <v>426</v>
      </c>
      <c r="L51" s="188" t="s">
        <v>926</v>
      </c>
      <c r="M51" s="189">
        <v>2440052958</v>
      </c>
    </row>
    <row r="52" spans="1:13" ht="14.25" x14ac:dyDescent="0.2">
      <c r="A52" s="302"/>
      <c r="B52" s="303" t="s">
        <v>1150</v>
      </c>
      <c r="C52" s="304"/>
      <c r="D52" s="304"/>
      <c r="E52" s="304"/>
      <c r="F52" s="304"/>
      <c r="G52" s="304"/>
      <c r="H52" s="304"/>
      <c r="I52" s="304"/>
      <c r="J52" s="304"/>
      <c r="K52" s="304"/>
      <c r="L52" s="304"/>
      <c r="M52" s="305"/>
    </row>
    <row r="53" spans="1:13" ht="15.75" x14ac:dyDescent="0.2">
      <c r="A53" s="298" t="s">
        <v>1151</v>
      </c>
      <c r="B53" s="299"/>
      <c r="C53" s="299"/>
      <c r="D53" s="299"/>
      <c r="E53" s="299"/>
      <c r="F53" s="299"/>
      <c r="G53" s="299"/>
      <c r="H53" s="299"/>
      <c r="I53" s="299"/>
      <c r="J53" s="299"/>
      <c r="K53" s="299"/>
      <c r="L53" s="299"/>
      <c r="M53" s="300"/>
    </row>
    <row r="54" spans="1:13" ht="63.75" x14ac:dyDescent="0.2">
      <c r="A54" s="306">
        <v>10</v>
      </c>
      <c r="B54" s="307" t="s">
        <v>1152</v>
      </c>
      <c r="C54" s="307" t="s">
        <v>146</v>
      </c>
      <c r="D54" s="17" t="s">
        <v>1163</v>
      </c>
      <c r="E54" s="18">
        <v>100</v>
      </c>
      <c r="F54" s="19" t="s">
        <v>170</v>
      </c>
      <c r="G54" s="19" t="s">
        <v>1363</v>
      </c>
      <c r="H54" s="38">
        <v>3.7499999999999999E-2</v>
      </c>
      <c r="I54" s="19">
        <f>3.75/100*2153846 *117/100</f>
        <v>94499.99325</v>
      </c>
      <c r="J54" s="17"/>
      <c r="K54" s="309" t="s">
        <v>426</v>
      </c>
      <c r="L54" s="329"/>
      <c r="M54" s="312"/>
    </row>
    <row r="55" spans="1:13" ht="51" x14ac:dyDescent="0.2">
      <c r="A55" s="306"/>
      <c r="B55" s="308"/>
      <c r="C55" s="308"/>
      <c r="D55" s="7" t="s">
        <v>147</v>
      </c>
      <c r="E55" s="20">
        <v>94</v>
      </c>
      <c r="F55" s="21" t="s">
        <v>170</v>
      </c>
      <c r="G55" s="21" t="s">
        <v>1363</v>
      </c>
      <c r="H55" s="36">
        <v>3.7499999999999999E-2</v>
      </c>
      <c r="I55" s="21">
        <f t="shared" ref="I55:I56" si="3">3.75/100*2153846 *117/100</f>
        <v>94499.99325</v>
      </c>
      <c r="J55" s="7" t="s">
        <v>20</v>
      </c>
      <c r="K55" s="310"/>
      <c r="L55" s="329"/>
      <c r="M55" s="313"/>
    </row>
    <row r="56" spans="1:13" ht="63.75" x14ac:dyDescent="0.2">
      <c r="A56" s="306"/>
      <c r="B56" s="308"/>
      <c r="C56" s="308"/>
      <c r="D56" s="7" t="s">
        <v>1162</v>
      </c>
      <c r="E56" s="20">
        <v>94</v>
      </c>
      <c r="F56" s="21" t="s">
        <v>170</v>
      </c>
      <c r="G56" s="21" t="s">
        <v>1363</v>
      </c>
      <c r="H56" s="36">
        <v>3.7499999999999999E-2</v>
      </c>
      <c r="I56" s="21">
        <f t="shared" si="3"/>
        <v>94499.99325</v>
      </c>
      <c r="J56" s="7" t="s">
        <v>20</v>
      </c>
      <c r="K56" s="310"/>
      <c r="L56" s="329"/>
      <c r="M56" s="313"/>
    </row>
    <row r="57" spans="1:13" ht="51" x14ac:dyDescent="0.2">
      <c r="A57" s="306"/>
      <c r="B57" s="308"/>
      <c r="C57" s="308"/>
      <c r="D57" s="7" t="s">
        <v>1153</v>
      </c>
      <c r="E57" s="20">
        <v>90</v>
      </c>
      <c r="F57" s="21" t="s">
        <v>170</v>
      </c>
      <c r="G57" s="21" t="s">
        <v>1363</v>
      </c>
      <c r="H57" s="36">
        <v>0.04</v>
      </c>
      <c r="I57" s="21">
        <f>4/100*2153846 *117/100</f>
        <v>100799.99279999999</v>
      </c>
      <c r="J57" s="7"/>
      <c r="K57" s="310"/>
      <c r="L57" s="329"/>
      <c r="M57" s="313"/>
    </row>
    <row r="58" spans="1:13" ht="14.25" x14ac:dyDescent="0.2">
      <c r="A58" s="302"/>
      <c r="B58" s="303"/>
      <c r="C58" s="304"/>
      <c r="D58" s="304"/>
      <c r="E58" s="304"/>
      <c r="F58" s="304"/>
      <c r="G58" s="304"/>
      <c r="H58" s="304"/>
      <c r="I58" s="304"/>
      <c r="J58" s="304"/>
      <c r="K58" s="304"/>
      <c r="L58" s="304"/>
      <c r="M58" s="305"/>
    </row>
    <row r="59" spans="1:13" ht="15.75" x14ac:dyDescent="0.2">
      <c r="A59" s="298" t="s">
        <v>1154</v>
      </c>
      <c r="B59" s="299"/>
      <c r="C59" s="299"/>
      <c r="D59" s="299"/>
      <c r="E59" s="299"/>
      <c r="F59" s="299"/>
      <c r="G59" s="299"/>
      <c r="H59" s="299"/>
      <c r="I59" s="299"/>
      <c r="J59" s="299"/>
      <c r="K59" s="299"/>
      <c r="L59" s="299"/>
      <c r="M59" s="300"/>
    </row>
    <row r="60" spans="1:13" ht="24.6" customHeight="1" x14ac:dyDescent="0.2">
      <c r="A60" s="306">
        <v>11</v>
      </c>
      <c r="B60" s="307" t="s">
        <v>1155</v>
      </c>
      <c r="C60" s="307" t="s">
        <v>1156</v>
      </c>
      <c r="D60" s="17" t="s">
        <v>1157</v>
      </c>
      <c r="E60" s="18">
        <v>100</v>
      </c>
      <c r="F60" s="19" t="s">
        <v>1160</v>
      </c>
      <c r="G60" s="19" t="s">
        <v>1161</v>
      </c>
      <c r="H60" s="19">
        <f>1500*117/100</f>
        <v>1755</v>
      </c>
      <c r="I60" s="19">
        <f>H60*24</f>
        <v>42120</v>
      </c>
      <c r="J60" s="17"/>
      <c r="K60" s="309" t="s">
        <v>426</v>
      </c>
      <c r="L60" s="319" t="s">
        <v>926</v>
      </c>
      <c r="M60" s="312"/>
    </row>
    <row r="61" spans="1:13" ht="20.45" customHeight="1" x14ac:dyDescent="0.2">
      <c r="A61" s="306"/>
      <c r="B61" s="308"/>
      <c r="C61" s="308"/>
      <c r="D61" s="7" t="s">
        <v>1158</v>
      </c>
      <c r="E61" s="20">
        <v>69</v>
      </c>
      <c r="F61" s="21" t="s">
        <v>1160</v>
      </c>
      <c r="G61" s="21" t="s">
        <v>1161</v>
      </c>
      <c r="H61" s="21">
        <f>2500*117/100</f>
        <v>2925</v>
      </c>
      <c r="I61" s="21">
        <f t="shared" ref="I61:I63" si="4">H61*24</f>
        <v>70200</v>
      </c>
      <c r="J61" s="7"/>
      <c r="K61" s="310"/>
      <c r="L61" s="320"/>
      <c r="M61" s="313"/>
    </row>
    <row r="62" spans="1:13" ht="25.5" x14ac:dyDescent="0.2">
      <c r="A62" s="306"/>
      <c r="B62" s="308"/>
      <c r="C62" s="308"/>
      <c r="D62" s="7" t="s">
        <v>1159</v>
      </c>
      <c r="E62" s="20">
        <v>60</v>
      </c>
      <c r="F62" s="21" t="s">
        <v>1160</v>
      </c>
      <c r="G62" s="21" t="s">
        <v>1161</v>
      </c>
      <c r="H62" s="21">
        <f>3500*117/100</f>
        <v>4095</v>
      </c>
      <c r="I62" s="21">
        <f t="shared" si="4"/>
        <v>98280</v>
      </c>
      <c r="J62" s="7"/>
      <c r="K62" s="310"/>
      <c r="L62" s="320"/>
      <c r="M62" s="313"/>
    </row>
    <row r="63" spans="1:13" ht="24.6" customHeight="1" x14ac:dyDescent="0.2">
      <c r="A63" s="306"/>
      <c r="B63" s="308"/>
      <c r="C63" s="308"/>
      <c r="D63" s="7" t="s">
        <v>1179</v>
      </c>
      <c r="E63" s="20">
        <v>66</v>
      </c>
      <c r="F63" s="21" t="s">
        <v>1160</v>
      </c>
      <c r="G63" s="21" t="s">
        <v>1161</v>
      </c>
      <c r="H63" s="21">
        <f>2500*117/100</f>
        <v>2925</v>
      </c>
      <c r="I63" s="21">
        <f t="shared" si="4"/>
        <v>70200</v>
      </c>
      <c r="J63" s="7"/>
      <c r="K63" s="310"/>
      <c r="L63" s="320"/>
      <c r="M63" s="313"/>
    </row>
    <row r="64" spans="1:13" ht="14.25" x14ac:dyDescent="0.2">
      <c r="A64" s="302"/>
      <c r="B64" s="303"/>
      <c r="C64" s="304"/>
      <c r="D64" s="304"/>
      <c r="E64" s="304"/>
      <c r="F64" s="304"/>
      <c r="G64" s="304"/>
      <c r="H64" s="304"/>
      <c r="I64" s="304"/>
      <c r="J64" s="304"/>
      <c r="K64" s="304"/>
      <c r="L64" s="304"/>
      <c r="M64" s="305"/>
    </row>
    <row r="65" spans="1:13" ht="15.75" x14ac:dyDescent="0.2">
      <c r="A65" s="298" t="s">
        <v>1165</v>
      </c>
      <c r="B65" s="299"/>
      <c r="C65" s="299"/>
      <c r="D65" s="299"/>
      <c r="E65" s="299"/>
      <c r="F65" s="299"/>
      <c r="G65" s="299"/>
      <c r="H65" s="299"/>
      <c r="I65" s="299"/>
      <c r="J65" s="299"/>
      <c r="K65" s="299"/>
      <c r="L65" s="299"/>
      <c r="M65" s="300"/>
    </row>
    <row r="66" spans="1:13" ht="63" x14ac:dyDescent="0.2">
      <c r="A66" s="306">
        <v>12</v>
      </c>
      <c r="B66" s="194" t="s">
        <v>1170</v>
      </c>
      <c r="C66" s="194" t="s">
        <v>1171</v>
      </c>
      <c r="D66" s="17" t="s">
        <v>1169</v>
      </c>
      <c r="E66" s="18">
        <v>100</v>
      </c>
      <c r="F66" s="17" t="s">
        <v>68</v>
      </c>
      <c r="G66" s="197" t="s">
        <v>1210</v>
      </c>
      <c r="H66" s="137">
        <f>18000*117/100</f>
        <v>21060</v>
      </c>
      <c r="I66" s="137">
        <f>H66*2</f>
        <v>42120</v>
      </c>
      <c r="J66" s="17" t="s">
        <v>20</v>
      </c>
      <c r="K66" s="191" t="s">
        <v>1209</v>
      </c>
      <c r="L66" s="192" t="s">
        <v>926</v>
      </c>
      <c r="M66" s="193"/>
    </row>
    <row r="67" spans="1:13" ht="14.25" x14ac:dyDescent="0.2">
      <c r="A67" s="302"/>
      <c r="B67" s="303" t="s">
        <v>1178</v>
      </c>
      <c r="C67" s="304"/>
      <c r="D67" s="304"/>
      <c r="E67" s="304"/>
      <c r="F67" s="304"/>
      <c r="G67" s="304"/>
      <c r="H67" s="304"/>
      <c r="I67" s="304"/>
      <c r="J67" s="304"/>
      <c r="K67" s="304"/>
      <c r="L67" s="304"/>
      <c r="M67" s="305"/>
    </row>
    <row r="68" spans="1:13" ht="15.75" x14ac:dyDescent="0.2">
      <c r="A68" s="298" t="s">
        <v>1166</v>
      </c>
      <c r="B68" s="299"/>
      <c r="C68" s="299"/>
      <c r="D68" s="299"/>
      <c r="E68" s="299"/>
      <c r="F68" s="299"/>
      <c r="G68" s="299"/>
      <c r="H68" s="299"/>
      <c r="I68" s="299"/>
      <c r="J68" s="299"/>
      <c r="K68" s="299"/>
      <c r="L68" s="299"/>
      <c r="M68" s="300"/>
    </row>
    <row r="69" spans="1:13" ht="63" x14ac:dyDescent="0.2">
      <c r="A69" s="306">
        <v>13</v>
      </c>
      <c r="B69" s="194" t="s">
        <v>1170</v>
      </c>
      <c r="C69" s="194" t="s">
        <v>1171</v>
      </c>
      <c r="D69" s="17" t="s">
        <v>1172</v>
      </c>
      <c r="E69" s="18">
        <v>100</v>
      </c>
      <c r="F69" s="17" t="s">
        <v>18</v>
      </c>
      <c r="G69" s="73" t="s">
        <v>18</v>
      </c>
      <c r="H69" s="137">
        <v>200000</v>
      </c>
      <c r="I69" s="137">
        <v>200000</v>
      </c>
      <c r="J69" s="17" t="s">
        <v>20</v>
      </c>
      <c r="K69" s="195" t="s">
        <v>1253</v>
      </c>
      <c r="L69" s="192" t="s">
        <v>926</v>
      </c>
      <c r="M69" s="193"/>
    </row>
    <row r="70" spans="1:13" ht="14.25" x14ac:dyDescent="0.2">
      <c r="A70" s="302"/>
      <c r="B70" s="303" t="s">
        <v>1177</v>
      </c>
      <c r="C70" s="304"/>
      <c r="D70" s="304"/>
      <c r="E70" s="304"/>
      <c r="F70" s="304"/>
      <c r="G70" s="304"/>
      <c r="H70" s="304"/>
      <c r="I70" s="304"/>
      <c r="J70" s="304"/>
      <c r="K70" s="304"/>
      <c r="L70" s="304"/>
      <c r="M70" s="305"/>
    </row>
    <row r="71" spans="1:13" ht="15.75" x14ac:dyDescent="0.2">
      <c r="A71" s="298" t="s">
        <v>1167</v>
      </c>
      <c r="B71" s="299"/>
      <c r="C71" s="299"/>
      <c r="D71" s="299"/>
      <c r="E71" s="299"/>
      <c r="F71" s="299"/>
      <c r="G71" s="299"/>
      <c r="H71" s="299"/>
      <c r="I71" s="299"/>
      <c r="J71" s="299"/>
      <c r="K71" s="299"/>
      <c r="L71" s="299"/>
      <c r="M71" s="300"/>
    </row>
    <row r="72" spans="1:13" ht="63" x14ac:dyDescent="0.2">
      <c r="A72" s="306">
        <v>14</v>
      </c>
      <c r="B72" s="194" t="s">
        <v>1170</v>
      </c>
      <c r="C72" s="194" t="s">
        <v>1171</v>
      </c>
      <c r="D72" s="17" t="s">
        <v>1173</v>
      </c>
      <c r="E72" s="18">
        <v>100</v>
      </c>
      <c r="F72" s="17" t="s">
        <v>18</v>
      </c>
      <c r="G72" s="73" t="s">
        <v>18</v>
      </c>
      <c r="H72" s="137">
        <v>300000</v>
      </c>
      <c r="I72" s="137">
        <v>300000</v>
      </c>
      <c r="J72" s="17" t="s">
        <v>20</v>
      </c>
      <c r="K72" s="217" t="s">
        <v>1253</v>
      </c>
      <c r="L72" s="192" t="s">
        <v>926</v>
      </c>
      <c r="M72" s="193"/>
    </row>
    <row r="73" spans="1:13" ht="14.25" x14ac:dyDescent="0.2">
      <c r="A73" s="302"/>
      <c r="B73" s="303" t="s">
        <v>1176</v>
      </c>
      <c r="C73" s="304"/>
      <c r="D73" s="304"/>
      <c r="E73" s="304"/>
      <c r="F73" s="304"/>
      <c r="G73" s="304"/>
      <c r="H73" s="304"/>
      <c r="I73" s="304"/>
      <c r="J73" s="304"/>
      <c r="K73" s="304"/>
      <c r="L73" s="304"/>
      <c r="M73" s="305"/>
    </row>
    <row r="74" spans="1:13" ht="15.75" x14ac:dyDescent="0.2">
      <c r="A74" s="298" t="s">
        <v>1168</v>
      </c>
      <c r="B74" s="299"/>
      <c r="C74" s="299"/>
      <c r="D74" s="299"/>
      <c r="E74" s="299"/>
      <c r="F74" s="299"/>
      <c r="G74" s="299"/>
      <c r="H74" s="299"/>
      <c r="I74" s="299"/>
      <c r="J74" s="299"/>
      <c r="K74" s="299"/>
      <c r="L74" s="299"/>
      <c r="M74" s="300"/>
    </row>
    <row r="75" spans="1:13" ht="76.5" x14ac:dyDescent="0.2">
      <c r="A75" s="306">
        <v>15</v>
      </c>
      <c r="B75" s="194" t="s">
        <v>1170</v>
      </c>
      <c r="C75" s="194" t="s">
        <v>1171</v>
      </c>
      <c r="D75" s="17" t="s">
        <v>1174</v>
      </c>
      <c r="E75" s="18">
        <v>100</v>
      </c>
      <c r="F75" s="17" t="s">
        <v>18</v>
      </c>
      <c r="G75" s="73" t="s">
        <v>18</v>
      </c>
      <c r="H75" s="137">
        <v>200000</v>
      </c>
      <c r="I75" s="137">
        <v>200000</v>
      </c>
      <c r="J75" s="17" t="s">
        <v>20</v>
      </c>
      <c r="K75" s="217" t="s">
        <v>1253</v>
      </c>
      <c r="L75" s="192" t="s">
        <v>926</v>
      </c>
      <c r="M75" s="193"/>
    </row>
    <row r="76" spans="1:13" ht="14.25" x14ac:dyDescent="0.2">
      <c r="A76" s="302"/>
      <c r="B76" s="303" t="s">
        <v>1175</v>
      </c>
      <c r="C76" s="304"/>
      <c r="D76" s="304"/>
      <c r="E76" s="304"/>
      <c r="F76" s="304"/>
      <c r="G76" s="304"/>
      <c r="H76" s="304"/>
      <c r="I76" s="304"/>
      <c r="J76" s="304"/>
      <c r="K76" s="304"/>
      <c r="L76" s="304"/>
      <c r="M76" s="305"/>
    </row>
    <row r="77" spans="1:13" ht="15.75" x14ac:dyDescent="0.2">
      <c r="A77" s="298" t="s">
        <v>1180</v>
      </c>
      <c r="B77" s="299"/>
      <c r="C77" s="299"/>
      <c r="D77" s="299"/>
      <c r="E77" s="299"/>
      <c r="F77" s="299"/>
      <c r="G77" s="299"/>
      <c r="H77" s="299"/>
      <c r="I77" s="299"/>
      <c r="J77" s="299"/>
      <c r="K77" s="299"/>
      <c r="L77" s="299"/>
      <c r="M77" s="300"/>
    </row>
    <row r="78" spans="1:13" ht="96" x14ac:dyDescent="0.2">
      <c r="A78" s="301">
        <v>16</v>
      </c>
      <c r="B78" s="307" t="s">
        <v>1181</v>
      </c>
      <c r="C78" s="307" t="s">
        <v>1182</v>
      </c>
      <c r="D78" s="196" t="s">
        <v>1183</v>
      </c>
      <c r="E78" s="20">
        <v>88</v>
      </c>
      <c r="F78" s="21" t="s">
        <v>29</v>
      </c>
      <c r="G78" s="21" t="s">
        <v>128</v>
      </c>
      <c r="H78" s="21">
        <f>180*117/100</f>
        <v>210.6</v>
      </c>
      <c r="I78" s="21">
        <f>300*H78</f>
        <v>63180</v>
      </c>
      <c r="J78" s="7"/>
      <c r="K78" s="309" t="s">
        <v>426</v>
      </c>
      <c r="L78" s="319" t="s">
        <v>926</v>
      </c>
      <c r="M78" s="312" t="s">
        <v>1188</v>
      </c>
    </row>
    <row r="79" spans="1:13" ht="60" x14ac:dyDescent="0.2">
      <c r="A79" s="306"/>
      <c r="B79" s="308"/>
      <c r="C79" s="308"/>
      <c r="D79" s="198" t="s">
        <v>1184</v>
      </c>
      <c r="E79" s="18">
        <v>92</v>
      </c>
      <c r="F79" s="19" t="s">
        <v>29</v>
      </c>
      <c r="G79" s="19" t="s">
        <v>128</v>
      </c>
      <c r="H79" s="19">
        <f>204*117/100</f>
        <v>238.68</v>
      </c>
      <c r="I79" s="19">
        <f t="shared" ref="I79:I82" si="5">300*H79</f>
        <v>71604</v>
      </c>
      <c r="J79" s="17"/>
      <c r="K79" s="310"/>
      <c r="L79" s="320"/>
      <c r="M79" s="313"/>
    </row>
    <row r="80" spans="1:13" ht="60" x14ac:dyDescent="0.2">
      <c r="A80" s="306"/>
      <c r="B80" s="308"/>
      <c r="C80" s="308"/>
      <c r="D80" s="196" t="s">
        <v>1185</v>
      </c>
      <c r="E80" s="20">
        <v>87</v>
      </c>
      <c r="F80" s="21" t="s">
        <v>29</v>
      </c>
      <c r="G80" s="21" t="s">
        <v>128</v>
      </c>
      <c r="H80" s="21">
        <f>220*117/100</f>
        <v>257.39999999999998</v>
      </c>
      <c r="I80" s="21">
        <f t="shared" si="5"/>
        <v>77220</v>
      </c>
      <c r="J80" s="7"/>
      <c r="K80" s="310"/>
      <c r="L80" s="320"/>
      <c r="M80" s="313"/>
    </row>
    <row r="81" spans="1:13" ht="60" x14ac:dyDescent="0.2">
      <c r="A81" s="306"/>
      <c r="B81" s="308"/>
      <c r="C81" s="308"/>
      <c r="D81" s="196" t="s">
        <v>1186</v>
      </c>
      <c r="E81" s="20">
        <v>79</v>
      </c>
      <c r="F81" s="21" t="s">
        <v>29</v>
      </c>
      <c r="G81" s="21" t="s">
        <v>128</v>
      </c>
      <c r="H81" s="21">
        <f>228*117/100</f>
        <v>266.76</v>
      </c>
      <c r="I81" s="21">
        <f t="shared" si="5"/>
        <v>80028</v>
      </c>
      <c r="J81" s="7"/>
      <c r="K81" s="310"/>
      <c r="L81" s="320"/>
      <c r="M81" s="313"/>
    </row>
    <row r="82" spans="1:13" ht="24" x14ac:dyDescent="0.2">
      <c r="A82" s="306"/>
      <c r="B82" s="328"/>
      <c r="C82" s="328"/>
      <c r="D82" s="196" t="s">
        <v>1187</v>
      </c>
      <c r="E82" s="20">
        <v>74</v>
      </c>
      <c r="F82" s="21" t="s">
        <v>29</v>
      </c>
      <c r="G82" s="21" t="s">
        <v>128</v>
      </c>
      <c r="H82" s="21">
        <f>250*117/100</f>
        <v>292.5</v>
      </c>
      <c r="I82" s="21">
        <f t="shared" si="5"/>
        <v>87750</v>
      </c>
      <c r="J82" s="7"/>
      <c r="K82" s="323"/>
      <c r="L82" s="332"/>
      <c r="M82" s="327"/>
    </row>
    <row r="83" spans="1:13" ht="14.25" x14ac:dyDescent="0.2">
      <c r="A83" s="302"/>
      <c r="B83" s="303"/>
      <c r="C83" s="304"/>
      <c r="D83" s="304"/>
      <c r="E83" s="304"/>
      <c r="F83" s="304"/>
      <c r="G83" s="304"/>
      <c r="H83" s="304"/>
      <c r="I83" s="304"/>
      <c r="J83" s="304"/>
      <c r="K83" s="304"/>
      <c r="L83" s="304"/>
      <c r="M83" s="305"/>
    </row>
    <row r="84" spans="1:13" ht="15.75" x14ac:dyDescent="0.2">
      <c r="A84" s="298" t="s">
        <v>1194</v>
      </c>
      <c r="B84" s="299"/>
      <c r="C84" s="299"/>
      <c r="D84" s="299"/>
      <c r="E84" s="299"/>
      <c r="F84" s="299"/>
      <c r="G84" s="299"/>
      <c r="H84" s="299"/>
      <c r="I84" s="299"/>
      <c r="J84" s="299"/>
      <c r="K84" s="299"/>
      <c r="L84" s="299"/>
      <c r="M84" s="300"/>
    </row>
    <row r="85" spans="1:13" ht="24" x14ac:dyDescent="0.2">
      <c r="A85" s="301">
        <v>17</v>
      </c>
      <c r="B85" s="307" t="s">
        <v>1189</v>
      </c>
      <c r="C85" s="307" t="s">
        <v>1190</v>
      </c>
      <c r="D85" s="198" t="s">
        <v>1191</v>
      </c>
      <c r="E85" s="18">
        <v>100</v>
      </c>
      <c r="F85" s="19" t="s">
        <v>18</v>
      </c>
      <c r="G85" s="19" t="s">
        <v>18</v>
      </c>
      <c r="H85" s="19">
        <f>25000*117/100</f>
        <v>29250</v>
      </c>
      <c r="I85" s="19">
        <f>25000*117/100</f>
        <v>29250</v>
      </c>
      <c r="J85" s="17" t="s">
        <v>20</v>
      </c>
      <c r="K85" s="309" t="s">
        <v>426</v>
      </c>
      <c r="L85" s="319" t="s">
        <v>926</v>
      </c>
      <c r="M85" s="312"/>
    </row>
    <row r="86" spans="1:13" ht="24" x14ac:dyDescent="0.2">
      <c r="A86" s="306"/>
      <c r="B86" s="308"/>
      <c r="C86" s="308"/>
      <c r="D86" s="196" t="s">
        <v>286</v>
      </c>
      <c r="E86" s="20">
        <v>66</v>
      </c>
      <c r="F86" s="21" t="s">
        <v>18</v>
      </c>
      <c r="G86" s="21" t="s">
        <v>18</v>
      </c>
      <c r="H86" s="21">
        <f>48000*117/100</f>
        <v>56160</v>
      </c>
      <c r="I86" s="21">
        <f>48000*117/100</f>
        <v>56160</v>
      </c>
      <c r="J86" s="7" t="s">
        <v>20</v>
      </c>
      <c r="K86" s="310"/>
      <c r="L86" s="320"/>
      <c r="M86" s="313"/>
    </row>
    <row r="87" spans="1:13" ht="24" x14ac:dyDescent="0.2">
      <c r="A87" s="306"/>
      <c r="B87" s="308"/>
      <c r="C87" s="308"/>
      <c r="D87" s="196" t="s">
        <v>1192</v>
      </c>
      <c r="E87" s="20">
        <v>65</v>
      </c>
      <c r="F87" s="21" t="s">
        <v>18</v>
      </c>
      <c r="G87" s="21" t="s">
        <v>18</v>
      </c>
      <c r="H87" s="21">
        <f>50000*117/100</f>
        <v>58500</v>
      </c>
      <c r="I87" s="21">
        <f>50000*117/100</f>
        <v>58500</v>
      </c>
      <c r="J87" s="7" t="s">
        <v>20</v>
      </c>
      <c r="K87" s="310"/>
      <c r="L87" s="320"/>
      <c r="M87" s="313"/>
    </row>
    <row r="88" spans="1:13" ht="14.25" x14ac:dyDescent="0.2">
      <c r="A88" s="306"/>
      <c r="B88" s="308"/>
      <c r="C88" s="308"/>
      <c r="D88" s="196" t="s">
        <v>1193</v>
      </c>
      <c r="E88" s="20">
        <v>48</v>
      </c>
      <c r="F88" s="21" t="s">
        <v>18</v>
      </c>
      <c r="G88" s="21" t="s">
        <v>18</v>
      </c>
      <c r="H88" s="21">
        <f>95000*117/100</f>
        <v>111150</v>
      </c>
      <c r="I88" s="21">
        <f>95000*117/100</f>
        <v>111150</v>
      </c>
      <c r="J88" s="7" t="s">
        <v>20</v>
      </c>
      <c r="K88" s="310"/>
      <c r="L88" s="320"/>
      <c r="M88" s="313"/>
    </row>
    <row r="89" spans="1:13" ht="14.25" x14ac:dyDescent="0.2">
      <c r="A89" s="302"/>
      <c r="B89" s="303"/>
      <c r="C89" s="304"/>
      <c r="D89" s="304"/>
      <c r="E89" s="304"/>
      <c r="F89" s="304"/>
      <c r="G89" s="304"/>
      <c r="H89" s="304"/>
      <c r="I89" s="304"/>
      <c r="J89" s="304"/>
      <c r="K89" s="304"/>
      <c r="L89" s="304"/>
      <c r="M89" s="305"/>
    </row>
    <row r="90" spans="1:13" ht="15.75" x14ac:dyDescent="0.2">
      <c r="A90" s="298" t="s">
        <v>1195</v>
      </c>
      <c r="B90" s="299"/>
      <c r="C90" s="299"/>
      <c r="D90" s="299"/>
      <c r="E90" s="299"/>
      <c r="F90" s="299"/>
      <c r="G90" s="299"/>
      <c r="H90" s="299"/>
      <c r="I90" s="299"/>
      <c r="J90" s="299"/>
      <c r="K90" s="299"/>
      <c r="L90" s="299"/>
      <c r="M90" s="300"/>
    </row>
    <row r="91" spans="1:13" ht="14.25" x14ac:dyDescent="0.2">
      <c r="A91" s="301">
        <v>18</v>
      </c>
      <c r="B91" s="307" t="s">
        <v>1196</v>
      </c>
      <c r="C91" s="307" t="s">
        <v>1197</v>
      </c>
      <c r="D91" s="198" t="s">
        <v>1198</v>
      </c>
      <c r="E91" s="18">
        <v>100</v>
      </c>
      <c r="F91" s="19" t="s">
        <v>18</v>
      </c>
      <c r="G91" s="19" t="s">
        <v>18</v>
      </c>
      <c r="H91" s="19">
        <f>18000*117/100</f>
        <v>21060</v>
      </c>
      <c r="I91" s="19">
        <f>18000*117/100</f>
        <v>21060</v>
      </c>
      <c r="J91" s="17" t="s">
        <v>20</v>
      </c>
      <c r="K91" s="309" t="s">
        <v>426</v>
      </c>
      <c r="L91" s="319" t="s">
        <v>926</v>
      </c>
      <c r="M91" s="312">
        <v>2440072954</v>
      </c>
    </row>
    <row r="92" spans="1:13" ht="24" x14ac:dyDescent="0.2">
      <c r="A92" s="306"/>
      <c r="B92" s="308"/>
      <c r="C92" s="308"/>
      <c r="D92" s="196" t="s">
        <v>1199</v>
      </c>
      <c r="E92" s="20">
        <v>68</v>
      </c>
      <c r="F92" s="21" t="s">
        <v>18</v>
      </c>
      <c r="G92" s="21" t="s">
        <v>18</v>
      </c>
      <c r="H92" s="21">
        <f>33000*117/100</f>
        <v>38610</v>
      </c>
      <c r="I92" s="21">
        <f>33000*117/100</f>
        <v>38610</v>
      </c>
      <c r="J92" s="7" t="s">
        <v>20</v>
      </c>
      <c r="K92" s="310"/>
      <c r="L92" s="320"/>
      <c r="M92" s="313"/>
    </row>
    <row r="93" spans="1:13" ht="24" x14ac:dyDescent="0.2">
      <c r="A93" s="306"/>
      <c r="B93" s="308"/>
      <c r="C93" s="308"/>
      <c r="D93" s="196" t="s">
        <v>1025</v>
      </c>
      <c r="E93" s="20">
        <v>56</v>
      </c>
      <c r="F93" s="21" t="s">
        <v>18</v>
      </c>
      <c r="G93" s="21" t="s">
        <v>18</v>
      </c>
      <c r="H93" s="21">
        <f>48000*117/100</f>
        <v>56160</v>
      </c>
      <c r="I93" s="21">
        <f>48000*117/100</f>
        <v>56160</v>
      </c>
      <c r="J93" s="7" t="s">
        <v>20</v>
      </c>
      <c r="K93" s="310"/>
      <c r="L93" s="320"/>
      <c r="M93" s="313"/>
    </row>
    <row r="94" spans="1:13" ht="48" x14ac:dyDescent="0.2">
      <c r="A94" s="306"/>
      <c r="B94" s="308"/>
      <c r="C94" s="308"/>
      <c r="D94" s="196" t="s">
        <v>1200</v>
      </c>
      <c r="E94" s="20">
        <v>47</v>
      </c>
      <c r="F94" s="21" t="s">
        <v>18</v>
      </c>
      <c r="G94" s="21" t="s">
        <v>18</v>
      </c>
      <c r="H94" s="21">
        <f>75000*117/100</f>
        <v>87750</v>
      </c>
      <c r="I94" s="21">
        <f>75000*117/100</f>
        <v>87750</v>
      </c>
      <c r="J94" s="7" t="s">
        <v>20</v>
      </c>
      <c r="K94" s="310"/>
      <c r="L94" s="320"/>
      <c r="M94" s="313"/>
    </row>
    <row r="95" spans="1:13" ht="14.25" x14ac:dyDescent="0.2">
      <c r="A95" s="302"/>
      <c r="B95" s="303"/>
      <c r="C95" s="304"/>
      <c r="D95" s="304"/>
      <c r="E95" s="304"/>
      <c r="F95" s="304"/>
      <c r="G95" s="304"/>
      <c r="H95" s="304"/>
      <c r="I95" s="304"/>
      <c r="J95" s="304"/>
      <c r="K95" s="304"/>
      <c r="L95" s="304"/>
      <c r="M95" s="305"/>
    </row>
  </sheetData>
  <mergeCells count="119">
    <mergeCell ref="A59:M59"/>
    <mergeCell ref="A60:A64"/>
    <mergeCell ref="B60:B63"/>
    <mergeCell ref="C60:C63"/>
    <mergeCell ref="K60:K63"/>
    <mergeCell ref="L60:L63"/>
    <mergeCell ref="M60:M63"/>
    <mergeCell ref="A74:M74"/>
    <mergeCell ref="A75:A76"/>
    <mergeCell ref="B76:M76"/>
    <mergeCell ref="A71:M71"/>
    <mergeCell ref="A72:A73"/>
    <mergeCell ref="B73:M73"/>
    <mergeCell ref="A68:M68"/>
    <mergeCell ref="A69:A70"/>
    <mergeCell ref="B70:M70"/>
    <mergeCell ref="B46:M46"/>
    <mergeCell ref="A47:M47"/>
    <mergeCell ref="A48:A49"/>
    <mergeCell ref="B49:M49"/>
    <mergeCell ref="K37:K39"/>
    <mergeCell ref="L37:L39"/>
    <mergeCell ref="M37:M39"/>
    <mergeCell ref="B40:M40"/>
    <mergeCell ref="A42:A46"/>
    <mergeCell ref="B42:B45"/>
    <mergeCell ref="C42:C45"/>
    <mergeCell ref="K42:K45"/>
    <mergeCell ref="L42:L45"/>
    <mergeCell ref="M42:M45"/>
    <mergeCell ref="K31:K34"/>
    <mergeCell ref="L31:L34"/>
    <mergeCell ref="M31:M34"/>
    <mergeCell ref="B35:M35"/>
    <mergeCell ref="L13:L16"/>
    <mergeCell ref="M13:M16"/>
    <mergeCell ref="B17:M17"/>
    <mergeCell ref="M25:M28"/>
    <mergeCell ref="B29:M29"/>
    <mergeCell ref="C19:C22"/>
    <mergeCell ref="K19:K22"/>
    <mergeCell ref="L19:L22"/>
    <mergeCell ref="M19:M22"/>
    <mergeCell ref="B23:M23"/>
    <mergeCell ref="A24:M24"/>
    <mergeCell ref="A25:A29"/>
    <mergeCell ref="B25:B28"/>
    <mergeCell ref="C25:C28"/>
    <mergeCell ref="K25:K28"/>
    <mergeCell ref="L25:L28"/>
    <mergeCell ref="A7:A11"/>
    <mergeCell ref="B7:B10"/>
    <mergeCell ref="C7:C10"/>
    <mergeCell ref="K7:K10"/>
    <mergeCell ref="L7:L10"/>
    <mergeCell ref="M7:M10"/>
    <mergeCell ref="B11:M11"/>
    <mergeCell ref="A18:M18"/>
    <mergeCell ref="B52:M52"/>
    <mergeCell ref="A50:M50"/>
    <mergeCell ref="A51:A52"/>
    <mergeCell ref="A41:M41"/>
    <mergeCell ref="A37:A40"/>
    <mergeCell ref="B37:B39"/>
    <mergeCell ref="A36:M36"/>
    <mergeCell ref="C37:C39"/>
    <mergeCell ref="A19:A23"/>
    <mergeCell ref="B19:B22"/>
    <mergeCell ref="C13:C16"/>
    <mergeCell ref="K13:K16"/>
    <mergeCell ref="A30:M30"/>
    <mergeCell ref="A31:A35"/>
    <mergeCell ref="B31:B34"/>
    <mergeCell ref="C31:C34"/>
    <mergeCell ref="A91:A95"/>
    <mergeCell ref="B91:B94"/>
    <mergeCell ref="C91:C94"/>
    <mergeCell ref="K91:K94"/>
    <mergeCell ref="L91:L94"/>
    <mergeCell ref="M91:M94"/>
    <mergeCell ref="B95:M95"/>
    <mergeCell ref="A1:A5"/>
    <mergeCell ref="B1:M1"/>
    <mergeCell ref="B2:M2"/>
    <mergeCell ref="B3:M3"/>
    <mergeCell ref="B4:M4"/>
    <mergeCell ref="A6:M6"/>
    <mergeCell ref="A53:M53"/>
    <mergeCell ref="A54:A58"/>
    <mergeCell ref="B54:B57"/>
    <mergeCell ref="C54:C57"/>
    <mergeCell ref="K54:K57"/>
    <mergeCell ref="L54:L57"/>
    <mergeCell ref="M54:M57"/>
    <mergeCell ref="B58:M58"/>
    <mergeCell ref="A12:M12"/>
    <mergeCell ref="A13:A17"/>
    <mergeCell ref="B13:B16"/>
    <mergeCell ref="A85:A89"/>
    <mergeCell ref="B85:B88"/>
    <mergeCell ref="C85:C88"/>
    <mergeCell ref="K85:K88"/>
    <mergeCell ref="L85:L88"/>
    <mergeCell ref="M85:M88"/>
    <mergeCell ref="B89:M89"/>
    <mergeCell ref="B64:M64"/>
    <mergeCell ref="A90:M90"/>
    <mergeCell ref="A65:M65"/>
    <mergeCell ref="A66:A67"/>
    <mergeCell ref="B67:M67"/>
    <mergeCell ref="A77:M77"/>
    <mergeCell ref="A78:A83"/>
    <mergeCell ref="B78:B82"/>
    <mergeCell ref="C78:C82"/>
    <mergeCell ref="K78:K82"/>
    <mergeCell ref="L78:L82"/>
    <mergeCell ref="M78:M82"/>
    <mergeCell ref="B83:M83"/>
    <mergeCell ref="A84:M84"/>
  </mergeCells>
  <pageMargins left="0.7" right="0.7" top="0.75" bottom="0.75" header="0.3" footer="0.3"/>
  <pageSetup paperSize="9"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8"/>
  <sheetViews>
    <sheetView rightToLeft="1" zoomScaleNormal="100" workbookViewId="0">
      <pane ySplit="5" topLeftCell="A102" activePane="bottomLeft" state="frozen"/>
      <selection pane="bottomLeft" activeCell="D142" sqref="D142"/>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625"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1104</v>
      </c>
      <c r="C1" s="315"/>
      <c r="D1" s="315"/>
      <c r="E1" s="315"/>
      <c r="F1" s="315"/>
      <c r="G1" s="315"/>
      <c r="H1" s="315"/>
      <c r="I1" s="315"/>
      <c r="J1" s="315"/>
      <c r="K1" s="315"/>
      <c r="L1" s="315"/>
      <c r="M1" s="315"/>
    </row>
    <row r="2" spans="1:13" ht="29.45" customHeight="1" x14ac:dyDescent="0.2">
      <c r="A2" s="314"/>
      <c r="B2" s="316" t="s">
        <v>840</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47.25" x14ac:dyDescent="0.2">
      <c r="A5" s="314"/>
      <c r="B5" s="166" t="s">
        <v>2</v>
      </c>
      <c r="C5" s="2" t="s">
        <v>3</v>
      </c>
      <c r="D5" s="3" t="s">
        <v>4</v>
      </c>
      <c r="E5" s="3" t="s">
        <v>5</v>
      </c>
      <c r="F5" s="3" t="s">
        <v>6</v>
      </c>
      <c r="G5" s="3" t="s">
        <v>7</v>
      </c>
      <c r="H5" s="4" t="s">
        <v>8</v>
      </c>
      <c r="I5" s="5" t="s">
        <v>9</v>
      </c>
      <c r="J5" s="3" t="s">
        <v>10</v>
      </c>
      <c r="K5" s="3" t="s">
        <v>11</v>
      </c>
      <c r="L5" s="130" t="s">
        <v>12</v>
      </c>
      <c r="M5" s="3" t="s">
        <v>13</v>
      </c>
    </row>
    <row r="6" spans="1:13" ht="15.75" x14ac:dyDescent="0.2">
      <c r="A6" s="298" t="s">
        <v>957</v>
      </c>
      <c r="B6" s="299"/>
      <c r="C6" s="299"/>
      <c r="D6" s="299"/>
      <c r="E6" s="299"/>
      <c r="F6" s="299"/>
      <c r="G6" s="299"/>
      <c r="H6" s="299"/>
      <c r="I6" s="299"/>
      <c r="J6" s="299"/>
      <c r="K6" s="299"/>
      <c r="L6" s="299"/>
      <c r="M6" s="300"/>
    </row>
    <row r="7" spans="1:13" ht="38.25" x14ac:dyDescent="0.2">
      <c r="A7" s="306">
        <v>1</v>
      </c>
      <c r="B7" s="308" t="s">
        <v>958</v>
      </c>
      <c r="C7" s="308" t="s">
        <v>959</v>
      </c>
      <c r="D7" s="17" t="s">
        <v>960</v>
      </c>
      <c r="E7" s="18">
        <v>100</v>
      </c>
      <c r="F7" s="19" t="s">
        <v>29</v>
      </c>
      <c r="G7" s="19" t="s">
        <v>1058</v>
      </c>
      <c r="H7" s="19">
        <f>200*117/100</f>
        <v>234</v>
      </c>
      <c r="I7" s="19">
        <f>H7*52*12</f>
        <v>146016</v>
      </c>
      <c r="J7" s="17" t="s">
        <v>20</v>
      </c>
      <c r="K7" s="310" t="s">
        <v>426</v>
      </c>
      <c r="L7" s="320" t="s">
        <v>926</v>
      </c>
      <c r="M7" s="313">
        <v>1812500780</v>
      </c>
    </row>
    <row r="8" spans="1:13" ht="38.25" x14ac:dyDescent="0.2">
      <c r="A8" s="306"/>
      <c r="B8" s="308"/>
      <c r="C8" s="308"/>
      <c r="D8" s="7" t="s">
        <v>961</v>
      </c>
      <c r="E8" s="20">
        <v>90</v>
      </c>
      <c r="F8" s="21" t="s">
        <v>29</v>
      </c>
      <c r="G8" s="21" t="s">
        <v>1058</v>
      </c>
      <c r="H8" s="21">
        <f>300*117/100</f>
        <v>351</v>
      </c>
      <c r="I8" s="21">
        <f t="shared" ref="I8:I10" si="0">H8*52*12</f>
        <v>219024</v>
      </c>
      <c r="J8" s="7"/>
      <c r="K8" s="310"/>
      <c r="L8" s="320"/>
      <c r="M8" s="313"/>
    </row>
    <row r="9" spans="1:13" ht="38.25" x14ac:dyDescent="0.2">
      <c r="A9" s="306"/>
      <c r="B9" s="308"/>
      <c r="C9" s="308"/>
      <c r="D9" s="7" t="s">
        <v>962</v>
      </c>
      <c r="E9" s="20">
        <v>80</v>
      </c>
      <c r="F9" s="21" t="s">
        <v>29</v>
      </c>
      <c r="G9" s="21" t="s">
        <v>1058</v>
      </c>
      <c r="H9" s="21">
        <f>300*117/100</f>
        <v>351</v>
      </c>
      <c r="I9" s="21">
        <f t="shared" si="0"/>
        <v>219024</v>
      </c>
      <c r="J9" s="7" t="s">
        <v>20</v>
      </c>
      <c r="K9" s="310"/>
      <c r="L9" s="320"/>
      <c r="M9" s="313"/>
    </row>
    <row r="10" spans="1:13" ht="38.25" x14ac:dyDescent="0.2">
      <c r="A10" s="306"/>
      <c r="B10" s="308"/>
      <c r="C10" s="308"/>
      <c r="D10" s="7" t="s">
        <v>963</v>
      </c>
      <c r="E10" s="20">
        <v>70</v>
      </c>
      <c r="F10" s="21" t="s">
        <v>29</v>
      </c>
      <c r="G10" s="21" t="s">
        <v>1058</v>
      </c>
      <c r="H10" s="21">
        <f>320*117/100</f>
        <v>374.4</v>
      </c>
      <c r="I10" s="21">
        <f t="shared" si="0"/>
        <v>233625.59999999998</v>
      </c>
      <c r="J10" s="7"/>
      <c r="K10" s="310"/>
      <c r="L10" s="320"/>
      <c r="M10" s="313"/>
    </row>
    <row r="11" spans="1:13" ht="14.25" x14ac:dyDescent="0.2">
      <c r="A11" s="302"/>
      <c r="B11" s="303"/>
      <c r="C11" s="304"/>
      <c r="D11" s="304"/>
      <c r="E11" s="304"/>
      <c r="F11" s="304"/>
      <c r="G11" s="304"/>
      <c r="H11" s="304"/>
      <c r="I11" s="304"/>
      <c r="J11" s="304"/>
      <c r="K11" s="304"/>
      <c r="L11" s="304"/>
      <c r="M11" s="305"/>
    </row>
    <row r="12" spans="1:13" ht="15.75" x14ac:dyDescent="0.2">
      <c r="A12" s="298" t="s">
        <v>964</v>
      </c>
      <c r="B12" s="299"/>
      <c r="C12" s="299"/>
      <c r="D12" s="299"/>
      <c r="E12" s="299"/>
      <c r="F12" s="299"/>
      <c r="G12" s="299"/>
      <c r="H12" s="299"/>
      <c r="I12" s="299"/>
      <c r="J12" s="299"/>
      <c r="K12" s="299"/>
      <c r="L12" s="299"/>
      <c r="M12" s="300"/>
    </row>
    <row r="13" spans="1:13" ht="25.5" x14ac:dyDescent="0.2">
      <c r="A13" s="306">
        <v>2</v>
      </c>
      <c r="B13" s="308" t="s">
        <v>968</v>
      </c>
      <c r="C13" s="308" t="s">
        <v>210</v>
      </c>
      <c r="D13" s="17" t="s">
        <v>297</v>
      </c>
      <c r="E13" s="18">
        <v>94</v>
      </c>
      <c r="F13" s="19" t="s">
        <v>18</v>
      </c>
      <c r="G13" s="19" t="s">
        <v>18</v>
      </c>
      <c r="H13" s="19">
        <f>30000*117/100</f>
        <v>35100</v>
      </c>
      <c r="I13" s="19">
        <f>30000*117/100</f>
        <v>35100</v>
      </c>
      <c r="J13" s="17" t="s">
        <v>20</v>
      </c>
      <c r="K13" s="310" t="s">
        <v>426</v>
      </c>
      <c r="L13" s="320" t="s">
        <v>926</v>
      </c>
      <c r="M13" s="313" t="s">
        <v>974</v>
      </c>
    </row>
    <row r="14" spans="1:13" ht="14.25" x14ac:dyDescent="0.2">
      <c r="A14" s="306"/>
      <c r="B14" s="308"/>
      <c r="C14" s="308"/>
      <c r="D14" s="7" t="s">
        <v>969</v>
      </c>
      <c r="E14" s="20">
        <v>66</v>
      </c>
      <c r="F14" s="21" t="s">
        <v>18</v>
      </c>
      <c r="G14" s="21" t="s">
        <v>18</v>
      </c>
      <c r="H14" s="21">
        <f>32547*117/100</f>
        <v>38079.99</v>
      </c>
      <c r="I14" s="21">
        <f>32547*117/100</f>
        <v>38079.99</v>
      </c>
      <c r="J14" s="7" t="s">
        <v>20</v>
      </c>
      <c r="K14" s="310"/>
      <c r="L14" s="320"/>
      <c r="M14" s="313"/>
    </row>
    <row r="15" spans="1:13" ht="14.25" x14ac:dyDescent="0.2">
      <c r="A15" s="306"/>
      <c r="B15" s="308"/>
      <c r="C15" s="308"/>
      <c r="D15" s="7" t="s">
        <v>346</v>
      </c>
      <c r="E15" s="20">
        <v>80</v>
      </c>
      <c r="F15" s="21" t="s">
        <v>18</v>
      </c>
      <c r="G15" s="21" t="s">
        <v>18</v>
      </c>
      <c r="H15" s="21">
        <f>37000*117/100</f>
        <v>43290</v>
      </c>
      <c r="I15" s="21">
        <f>37000*117/100</f>
        <v>43290</v>
      </c>
      <c r="J15" s="7" t="s">
        <v>20</v>
      </c>
      <c r="K15" s="310"/>
      <c r="L15" s="320"/>
      <c r="M15" s="313"/>
    </row>
    <row r="16" spans="1:13" ht="25.5" x14ac:dyDescent="0.2">
      <c r="A16" s="306"/>
      <c r="B16" s="308"/>
      <c r="C16" s="308"/>
      <c r="D16" s="7" t="s">
        <v>970</v>
      </c>
      <c r="E16" s="20">
        <v>70</v>
      </c>
      <c r="F16" s="21" t="s">
        <v>18</v>
      </c>
      <c r="G16" s="21" t="s">
        <v>18</v>
      </c>
      <c r="H16" s="21">
        <f>37000*117/100</f>
        <v>43290</v>
      </c>
      <c r="I16" s="21">
        <f>37000*117/100</f>
        <v>43290</v>
      </c>
      <c r="J16" s="7" t="s">
        <v>20</v>
      </c>
      <c r="K16" s="310"/>
      <c r="L16" s="320"/>
      <c r="M16" s="313"/>
    </row>
    <row r="17" spans="1:13" ht="14.25" x14ac:dyDescent="0.2">
      <c r="A17" s="306"/>
      <c r="B17" s="308"/>
      <c r="C17" s="308"/>
      <c r="D17" s="7" t="s">
        <v>971</v>
      </c>
      <c r="E17" s="20">
        <v>60</v>
      </c>
      <c r="F17" s="21" t="s">
        <v>18</v>
      </c>
      <c r="G17" s="21" t="s">
        <v>18</v>
      </c>
      <c r="H17" s="21">
        <f>50000*117/100</f>
        <v>58500</v>
      </c>
      <c r="I17" s="21">
        <f>50000*117/100</f>
        <v>58500</v>
      </c>
      <c r="J17" s="7" t="s">
        <v>20</v>
      </c>
      <c r="K17" s="310"/>
      <c r="L17" s="320"/>
      <c r="M17" s="313"/>
    </row>
    <row r="18" spans="1:13" ht="14.25" x14ac:dyDescent="0.2">
      <c r="A18" s="306"/>
      <c r="B18" s="308"/>
      <c r="C18" s="308"/>
      <c r="D18" s="7" t="s">
        <v>578</v>
      </c>
      <c r="E18" s="20">
        <v>50</v>
      </c>
      <c r="F18" s="21" t="s">
        <v>18</v>
      </c>
      <c r="G18" s="21" t="s">
        <v>18</v>
      </c>
      <c r="H18" s="21">
        <f>55000*117/100</f>
        <v>64350</v>
      </c>
      <c r="I18" s="21">
        <f>55000*117/100</f>
        <v>64350</v>
      </c>
      <c r="J18" s="7" t="s">
        <v>20</v>
      </c>
      <c r="K18" s="310"/>
      <c r="L18" s="320"/>
      <c r="M18" s="313"/>
    </row>
    <row r="19" spans="1:13" ht="14.25" x14ac:dyDescent="0.2">
      <c r="A19" s="306"/>
      <c r="B19" s="308"/>
      <c r="C19" s="308"/>
      <c r="D19" s="7" t="s">
        <v>972</v>
      </c>
      <c r="E19" s="20">
        <v>40</v>
      </c>
      <c r="F19" s="21" t="s">
        <v>18</v>
      </c>
      <c r="G19" s="21" t="s">
        <v>18</v>
      </c>
      <c r="H19" s="21">
        <f>70000*117/100</f>
        <v>81900</v>
      </c>
      <c r="I19" s="21">
        <f>70000*117/100</f>
        <v>81900</v>
      </c>
      <c r="J19" s="7" t="s">
        <v>20</v>
      </c>
      <c r="K19" s="310"/>
      <c r="L19" s="320"/>
      <c r="M19" s="313"/>
    </row>
    <row r="20" spans="1:13" ht="14.25" x14ac:dyDescent="0.2">
      <c r="A20" s="306"/>
      <c r="B20" s="308"/>
      <c r="C20" s="308"/>
      <c r="D20" s="7" t="s">
        <v>973</v>
      </c>
      <c r="E20" s="20">
        <v>30</v>
      </c>
      <c r="F20" s="21" t="s">
        <v>18</v>
      </c>
      <c r="G20" s="21" t="s">
        <v>18</v>
      </c>
      <c r="H20" s="21">
        <f>98700*117/100</f>
        <v>115479</v>
      </c>
      <c r="I20" s="21">
        <f>98700*117/100</f>
        <v>115479</v>
      </c>
      <c r="J20" s="7" t="s">
        <v>20</v>
      </c>
      <c r="K20" s="310"/>
      <c r="L20" s="320"/>
      <c r="M20" s="313"/>
    </row>
    <row r="21" spans="1:13" ht="14.25" x14ac:dyDescent="0.2">
      <c r="A21" s="302"/>
      <c r="B21" s="303"/>
      <c r="C21" s="304"/>
      <c r="D21" s="304"/>
      <c r="E21" s="304"/>
      <c r="F21" s="304"/>
      <c r="G21" s="304"/>
      <c r="H21" s="304"/>
      <c r="I21" s="304"/>
      <c r="J21" s="304"/>
      <c r="K21" s="304"/>
      <c r="L21" s="304"/>
      <c r="M21" s="305"/>
    </row>
    <row r="22" spans="1:13" ht="15.75" x14ac:dyDescent="0.2">
      <c r="A22" s="298" t="s">
        <v>965</v>
      </c>
      <c r="B22" s="299"/>
      <c r="C22" s="299"/>
      <c r="D22" s="299"/>
      <c r="E22" s="299"/>
      <c r="F22" s="299"/>
      <c r="G22" s="299"/>
      <c r="H22" s="299"/>
      <c r="I22" s="299"/>
      <c r="J22" s="299"/>
      <c r="K22" s="299"/>
      <c r="L22" s="299"/>
      <c r="M22" s="300"/>
    </row>
    <row r="23" spans="1:13" ht="14.25" x14ac:dyDescent="0.2">
      <c r="A23" s="306">
        <v>3</v>
      </c>
      <c r="B23" s="308" t="s">
        <v>975</v>
      </c>
      <c r="C23" s="308" t="s">
        <v>210</v>
      </c>
      <c r="D23" s="17" t="s">
        <v>346</v>
      </c>
      <c r="E23" s="18">
        <v>100</v>
      </c>
      <c r="F23" s="19" t="s">
        <v>18</v>
      </c>
      <c r="G23" s="19" t="s">
        <v>18</v>
      </c>
      <c r="H23" s="19">
        <f>65000*117/100</f>
        <v>76050</v>
      </c>
      <c r="I23" s="19">
        <f>65000*117/100</f>
        <v>76050</v>
      </c>
      <c r="J23" s="17" t="s">
        <v>20</v>
      </c>
      <c r="K23" s="310" t="s">
        <v>426</v>
      </c>
      <c r="L23" s="320" t="s">
        <v>926</v>
      </c>
      <c r="M23" s="313" t="s">
        <v>977</v>
      </c>
    </row>
    <row r="24" spans="1:13" ht="14.25" x14ac:dyDescent="0.2">
      <c r="A24" s="306"/>
      <c r="B24" s="308"/>
      <c r="C24" s="308"/>
      <c r="D24" s="7" t="s">
        <v>969</v>
      </c>
      <c r="E24" s="20">
        <v>66</v>
      </c>
      <c r="F24" s="21" t="s">
        <v>18</v>
      </c>
      <c r="G24" s="21" t="s">
        <v>18</v>
      </c>
      <c r="H24" s="21">
        <f>81269*117/100</f>
        <v>95084.73</v>
      </c>
      <c r="I24" s="21">
        <f>81269*117/100</f>
        <v>95084.73</v>
      </c>
      <c r="J24" s="7" t="s">
        <v>20</v>
      </c>
      <c r="K24" s="310"/>
      <c r="L24" s="320"/>
      <c r="M24" s="313"/>
    </row>
    <row r="25" spans="1:13" ht="25.5" x14ac:dyDescent="0.2">
      <c r="A25" s="306"/>
      <c r="B25" s="308"/>
      <c r="C25" s="308"/>
      <c r="D25" s="7" t="s">
        <v>297</v>
      </c>
      <c r="E25" s="20">
        <v>74</v>
      </c>
      <c r="F25" s="21" t="s">
        <v>18</v>
      </c>
      <c r="G25" s="21" t="s">
        <v>18</v>
      </c>
      <c r="H25" s="21">
        <f>107550*117/100</f>
        <v>125833.5</v>
      </c>
      <c r="I25" s="21">
        <f>107550*117/100</f>
        <v>125833.5</v>
      </c>
      <c r="J25" s="7" t="s">
        <v>20</v>
      </c>
      <c r="K25" s="310"/>
      <c r="L25" s="320"/>
      <c r="M25" s="313"/>
    </row>
    <row r="26" spans="1:13" ht="25.5" x14ac:dyDescent="0.2">
      <c r="A26" s="306"/>
      <c r="B26" s="308"/>
      <c r="C26" s="308"/>
      <c r="D26" s="7" t="s">
        <v>970</v>
      </c>
      <c r="E26" s="20">
        <v>70</v>
      </c>
      <c r="F26" s="21" t="s">
        <v>18</v>
      </c>
      <c r="G26" s="21" t="s">
        <v>18</v>
      </c>
      <c r="H26" s="21">
        <f>150000*117/100</f>
        <v>175500</v>
      </c>
      <c r="I26" s="21">
        <f>150000*117/100</f>
        <v>175500</v>
      </c>
      <c r="J26" s="7" t="s">
        <v>20</v>
      </c>
      <c r="K26" s="310"/>
      <c r="L26" s="320"/>
      <c r="M26" s="313"/>
    </row>
    <row r="27" spans="1:13" ht="14.25" x14ac:dyDescent="0.2">
      <c r="A27" s="306"/>
      <c r="B27" s="308"/>
      <c r="C27" s="308"/>
      <c r="D27" s="7" t="s">
        <v>578</v>
      </c>
      <c r="E27" s="20">
        <v>60</v>
      </c>
      <c r="F27" s="21" t="s">
        <v>18</v>
      </c>
      <c r="G27" s="21" t="s">
        <v>18</v>
      </c>
      <c r="H27" s="21">
        <f>220000*117/100</f>
        <v>257400</v>
      </c>
      <c r="I27" s="21">
        <f>220000*117/100</f>
        <v>257400</v>
      </c>
      <c r="J27" s="7" t="s">
        <v>20</v>
      </c>
      <c r="K27" s="310"/>
      <c r="L27" s="320"/>
      <c r="M27" s="313"/>
    </row>
    <row r="28" spans="1:13" ht="25.5" x14ac:dyDescent="0.2">
      <c r="A28" s="306"/>
      <c r="B28" s="308"/>
      <c r="C28" s="308"/>
      <c r="D28" s="7" t="s">
        <v>976</v>
      </c>
      <c r="E28" s="20">
        <v>50</v>
      </c>
      <c r="F28" s="21" t="s">
        <v>18</v>
      </c>
      <c r="G28" s="21" t="s">
        <v>18</v>
      </c>
      <c r="H28" s="21">
        <f>244700*117/100</f>
        <v>286299</v>
      </c>
      <c r="I28" s="21">
        <f>244700*117/100</f>
        <v>286299</v>
      </c>
      <c r="J28" s="7" t="s">
        <v>20</v>
      </c>
      <c r="K28" s="310"/>
      <c r="L28" s="320"/>
      <c r="M28" s="313"/>
    </row>
    <row r="29" spans="1:13" ht="14.25" x14ac:dyDescent="0.2">
      <c r="A29" s="306"/>
      <c r="B29" s="308"/>
      <c r="C29" s="308"/>
      <c r="D29" s="7" t="s">
        <v>971</v>
      </c>
      <c r="E29" s="20">
        <v>40</v>
      </c>
      <c r="F29" s="21" t="s">
        <v>18</v>
      </c>
      <c r="G29" s="21" t="s">
        <v>18</v>
      </c>
      <c r="H29" s="21">
        <f>245834*117/100</f>
        <v>287625.78000000003</v>
      </c>
      <c r="I29" s="21">
        <f>245834*117/100</f>
        <v>287625.78000000003</v>
      </c>
      <c r="J29" s="7" t="s">
        <v>20</v>
      </c>
      <c r="K29" s="310"/>
      <c r="L29" s="320"/>
      <c r="M29" s="313"/>
    </row>
    <row r="30" spans="1:13" ht="14.25" x14ac:dyDescent="0.2">
      <c r="A30" s="306"/>
      <c r="B30" s="308"/>
      <c r="C30" s="308"/>
      <c r="D30" s="7" t="s">
        <v>972</v>
      </c>
      <c r="E30" s="20">
        <v>30</v>
      </c>
      <c r="F30" s="21" t="s">
        <v>18</v>
      </c>
      <c r="G30" s="21" t="s">
        <v>18</v>
      </c>
      <c r="H30" s="21">
        <f>325000*117/100</f>
        <v>380250</v>
      </c>
      <c r="I30" s="21">
        <f>325000*117/100</f>
        <v>380250</v>
      </c>
      <c r="J30" s="7" t="s">
        <v>20</v>
      </c>
      <c r="K30" s="310"/>
      <c r="L30" s="320"/>
      <c r="M30" s="313"/>
    </row>
    <row r="31" spans="1:13" ht="14.25" x14ac:dyDescent="0.2">
      <c r="A31" s="302"/>
      <c r="B31" s="303"/>
      <c r="C31" s="304"/>
      <c r="D31" s="304"/>
      <c r="E31" s="304"/>
      <c r="F31" s="304"/>
      <c r="G31" s="304"/>
      <c r="H31" s="304"/>
      <c r="I31" s="304"/>
      <c r="J31" s="304"/>
      <c r="K31" s="304"/>
      <c r="L31" s="304"/>
      <c r="M31" s="305"/>
    </row>
    <row r="32" spans="1:13" ht="15.75" x14ac:dyDescent="0.2">
      <c r="A32" s="298" t="s">
        <v>966</v>
      </c>
      <c r="B32" s="299"/>
      <c r="C32" s="299"/>
      <c r="D32" s="299"/>
      <c r="E32" s="299"/>
      <c r="F32" s="299"/>
      <c r="G32" s="299"/>
      <c r="H32" s="299"/>
      <c r="I32" s="299"/>
      <c r="J32" s="299"/>
      <c r="K32" s="299"/>
      <c r="L32" s="299"/>
      <c r="M32" s="300"/>
    </row>
    <row r="33" spans="1:13" ht="38.25" x14ac:dyDescent="0.2">
      <c r="A33" s="306">
        <v>4</v>
      </c>
      <c r="B33" s="308" t="s">
        <v>978</v>
      </c>
      <c r="C33" s="308" t="s">
        <v>210</v>
      </c>
      <c r="D33" s="17" t="s">
        <v>979</v>
      </c>
      <c r="E33" s="18">
        <v>100</v>
      </c>
      <c r="F33" s="19" t="s">
        <v>18</v>
      </c>
      <c r="G33" s="19" t="s">
        <v>18</v>
      </c>
      <c r="H33" s="19">
        <f>19500*117/100</f>
        <v>22815</v>
      </c>
      <c r="I33" s="19">
        <f>19500*117/100</f>
        <v>22815</v>
      </c>
      <c r="J33" s="17" t="s">
        <v>20</v>
      </c>
      <c r="K33" s="310" t="s">
        <v>426</v>
      </c>
      <c r="L33" s="320" t="s">
        <v>926</v>
      </c>
      <c r="M33" s="313" t="s">
        <v>985</v>
      </c>
    </row>
    <row r="34" spans="1:13" ht="25.5" x14ac:dyDescent="0.2">
      <c r="A34" s="306"/>
      <c r="B34" s="308"/>
      <c r="C34" s="308"/>
      <c r="D34" s="7" t="s">
        <v>176</v>
      </c>
      <c r="E34" s="20">
        <v>90</v>
      </c>
      <c r="F34" s="21" t="s">
        <v>18</v>
      </c>
      <c r="G34" s="21" t="s">
        <v>18</v>
      </c>
      <c r="H34" s="21">
        <f>21000*117/100</f>
        <v>24570</v>
      </c>
      <c r="I34" s="21">
        <f>21000*117/100</f>
        <v>24570</v>
      </c>
      <c r="J34" s="7" t="s">
        <v>20</v>
      </c>
      <c r="K34" s="310"/>
      <c r="L34" s="320"/>
      <c r="M34" s="313"/>
    </row>
    <row r="35" spans="1:13" ht="14.25" x14ac:dyDescent="0.2">
      <c r="A35" s="306"/>
      <c r="B35" s="308"/>
      <c r="C35" s="308"/>
      <c r="D35" s="7" t="s">
        <v>980</v>
      </c>
      <c r="E35" s="20">
        <v>80</v>
      </c>
      <c r="F35" s="21" t="s">
        <v>18</v>
      </c>
      <c r="G35" s="21" t="s">
        <v>18</v>
      </c>
      <c r="H35" s="21">
        <f>22400*117/100</f>
        <v>26208</v>
      </c>
      <c r="I35" s="21">
        <f>22400*117/100</f>
        <v>26208</v>
      </c>
      <c r="J35" s="7" t="s">
        <v>20</v>
      </c>
      <c r="K35" s="310"/>
      <c r="L35" s="320"/>
      <c r="M35" s="313"/>
    </row>
    <row r="36" spans="1:13" ht="14.25" x14ac:dyDescent="0.2">
      <c r="A36" s="306"/>
      <c r="B36" s="308"/>
      <c r="C36" s="308"/>
      <c r="D36" s="7" t="s">
        <v>981</v>
      </c>
      <c r="E36" s="20">
        <v>70</v>
      </c>
      <c r="F36" s="21" t="s">
        <v>18</v>
      </c>
      <c r="G36" s="21" t="s">
        <v>18</v>
      </c>
      <c r="H36" s="21">
        <f>23287*117/100</f>
        <v>27245.79</v>
      </c>
      <c r="I36" s="21">
        <f>23287*117/100</f>
        <v>27245.79</v>
      </c>
      <c r="J36" s="7" t="s">
        <v>20</v>
      </c>
      <c r="K36" s="310"/>
      <c r="L36" s="320"/>
      <c r="M36" s="313"/>
    </row>
    <row r="37" spans="1:13" ht="25.5" x14ac:dyDescent="0.2">
      <c r="A37" s="306"/>
      <c r="B37" s="308"/>
      <c r="C37" s="308"/>
      <c r="D37" s="7" t="s">
        <v>982</v>
      </c>
      <c r="E37" s="20">
        <v>60</v>
      </c>
      <c r="F37" s="21" t="s">
        <v>18</v>
      </c>
      <c r="G37" s="21" t="s">
        <v>18</v>
      </c>
      <c r="H37" s="21">
        <f>45000*117/100</f>
        <v>52650</v>
      </c>
      <c r="I37" s="21">
        <f>45000*117/100</f>
        <v>52650</v>
      </c>
      <c r="J37" s="7" t="s">
        <v>20</v>
      </c>
      <c r="K37" s="310"/>
      <c r="L37" s="320"/>
      <c r="M37" s="313"/>
    </row>
    <row r="38" spans="1:13" ht="14.25" x14ac:dyDescent="0.2">
      <c r="A38" s="306"/>
      <c r="B38" s="308"/>
      <c r="C38" s="308"/>
      <c r="D38" s="7" t="s">
        <v>983</v>
      </c>
      <c r="E38" s="20">
        <v>50</v>
      </c>
      <c r="F38" s="21" t="s">
        <v>18</v>
      </c>
      <c r="G38" s="21" t="s">
        <v>18</v>
      </c>
      <c r="H38" s="21">
        <f>52000*117/100</f>
        <v>60840</v>
      </c>
      <c r="I38" s="21">
        <f>52000*117/100</f>
        <v>60840</v>
      </c>
      <c r="J38" s="7" t="s">
        <v>20</v>
      </c>
      <c r="K38" s="310"/>
      <c r="L38" s="320"/>
      <c r="M38" s="313"/>
    </row>
    <row r="39" spans="1:13" ht="14.25" x14ac:dyDescent="0.2">
      <c r="A39" s="306"/>
      <c r="B39" s="308"/>
      <c r="C39" s="308"/>
      <c r="D39" s="7" t="s">
        <v>984</v>
      </c>
      <c r="E39" s="20">
        <v>40</v>
      </c>
      <c r="F39" s="21" t="s">
        <v>18</v>
      </c>
      <c r="G39" s="21" t="s">
        <v>18</v>
      </c>
      <c r="H39" s="21">
        <f>60000*117/100</f>
        <v>70200</v>
      </c>
      <c r="I39" s="21">
        <f>60000*117/100</f>
        <v>70200</v>
      </c>
      <c r="J39" s="7" t="s">
        <v>20</v>
      </c>
      <c r="K39" s="310"/>
      <c r="L39" s="320"/>
      <c r="M39" s="313"/>
    </row>
    <row r="40" spans="1:13" ht="14.25" x14ac:dyDescent="0.2">
      <c r="A40" s="302"/>
      <c r="B40" s="303"/>
      <c r="C40" s="304"/>
      <c r="D40" s="304"/>
      <c r="E40" s="304"/>
      <c r="F40" s="304"/>
      <c r="G40" s="304"/>
      <c r="H40" s="304"/>
      <c r="I40" s="304"/>
      <c r="J40" s="304"/>
      <c r="K40" s="304"/>
      <c r="L40" s="304"/>
      <c r="M40" s="305"/>
    </row>
    <row r="41" spans="1:13" ht="15.75" x14ac:dyDescent="0.2">
      <c r="A41" s="298" t="s">
        <v>967</v>
      </c>
      <c r="B41" s="299"/>
      <c r="C41" s="299"/>
      <c r="D41" s="299"/>
      <c r="E41" s="299"/>
      <c r="F41" s="299"/>
      <c r="G41" s="299"/>
      <c r="H41" s="299"/>
      <c r="I41" s="299"/>
      <c r="J41" s="299"/>
      <c r="K41" s="299"/>
      <c r="L41" s="299"/>
      <c r="M41" s="300"/>
    </row>
    <row r="42" spans="1:13" ht="38.25" x14ac:dyDescent="0.2">
      <c r="A42" s="306">
        <v>5</v>
      </c>
      <c r="B42" s="308" t="s">
        <v>986</v>
      </c>
      <c r="C42" s="308" t="s">
        <v>210</v>
      </c>
      <c r="D42" s="17" t="s">
        <v>979</v>
      </c>
      <c r="E42" s="18">
        <v>100</v>
      </c>
      <c r="F42" s="19" t="s">
        <v>18</v>
      </c>
      <c r="G42" s="19" t="s">
        <v>18</v>
      </c>
      <c r="H42" s="19">
        <f>37500*117/100</f>
        <v>43875</v>
      </c>
      <c r="I42" s="19">
        <f>37500*117/100</f>
        <v>43875</v>
      </c>
      <c r="J42" s="17" t="s">
        <v>20</v>
      </c>
      <c r="K42" s="310" t="s">
        <v>426</v>
      </c>
      <c r="L42" s="320" t="s">
        <v>926</v>
      </c>
      <c r="M42" s="313" t="s">
        <v>989</v>
      </c>
    </row>
    <row r="43" spans="1:13" ht="14.25" x14ac:dyDescent="0.2">
      <c r="A43" s="306"/>
      <c r="B43" s="308"/>
      <c r="C43" s="308"/>
      <c r="D43" s="7" t="s">
        <v>981</v>
      </c>
      <c r="E43" s="20">
        <v>90</v>
      </c>
      <c r="F43" s="21" t="s">
        <v>18</v>
      </c>
      <c r="G43" s="21" t="s">
        <v>18</v>
      </c>
      <c r="H43" s="21">
        <f>42525*117/100</f>
        <v>49754.25</v>
      </c>
      <c r="I43" s="21">
        <f>42525*117/100</f>
        <v>49754.25</v>
      </c>
      <c r="J43" s="7" t="s">
        <v>20</v>
      </c>
      <c r="K43" s="310"/>
      <c r="L43" s="320"/>
      <c r="M43" s="313"/>
    </row>
    <row r="44" spans="1:13" ht="25.5" x14ac:dyDescent="0.2">
      <c r="A44" s="306"/>
      <c r="B44" s="308"/>
      <c r="C44" s="308"/>
      <c r="D44" s="7" t="s">
        <v>176</v>
      </c>
      <c r="E44" s="20">
        <v>80</v>
      </c>
      <c r="F44" s="21" t="s">
        <v>18</v>
      </c>
      <c r="G44" s="21" t="s">
        <v>18</v>
      </c>
      <c r="H44" s="21">
        <f>59000*117/100</f>
        <v>69030</v>
      </c>
      <c r="I44" s="21">
        <f>59000*117/100</f>
        <v>69030</v>
      </c>
      <c r="J44" s="7" t="s">
        <v>20</v>
      </c>
      <c r="K44" s="310"/>
      <c r="L44" s="320"/>
      <c r="M44" s="313"/>
    </row>
    <row r="45" spans="1:13" ht="25.5" x14ac:dyDescent="0.2">
      <c r="A45" s="306"/>
      <c r="B45" s="308"/>
      <c r="C45" s="308"/>
      <c r="D45" s="7" t="s">
        <v>982</v>
      </c>
      <c r="E45" s="20">
        <v>70</v>
      </c>
      <c r="F45" s="21" t="s">
        <v>18</v>
      </c>
      <c r="G45" s="21" t="s">
        <v>18</v>
      </c>
      <c r="H45" s="21">
        <f>60750*117/100</f>
        <v>71077.5</v>
      </c>
      <c r="I45" s="21">
        <f>60750*117/100</f>
        <v>71077.5</v>
      </c>
      <c r="J45" s="7" t="s">
        <v>20</v>
      </c>
      <c r="K45" s="310"/>
      <c r="L45" s="320"/>
      <c r="M45" s="313"/>
    </row>
    <row r="46" spans="1:13" ht="14.25" x14ac:dyDescent="0.2">
      <c r="A46" s="306"/>
      <c r="B46" s="308"/>
      <c r="C46" s="308"/>
      <c r="D46" s="7" t="s">
        <v>984</v>
      </c>
      <c r="E46" s="20">
        <v>60</v>
      </c>
      <c r="F46" s="21" t="s">
        <v>18</v>
      </c>
      <c r="G46" s="21" t="s">
        <v>18</v>
      </c>
      <c r="H46" s="21">
        <f>84560*117/100</f>
        <v>98935.2</v>
      </c>
      <c r="I46" s="21">
        <f>84560*117/100</f>
        <v>98935.2</v>
      </c>
      <c r="J46" s="7" t="s">
        <v>20</v>
      </c>
      <c r="K46" s="310"/>
      <c r="L46" s="320"/>
      <c r="M46" s="313"/>
    </row>
    <row r="47" spans="1:13" ht="14.25" x14ac:dyDescent="0.2">
      <c r="A47" s="306"/>
      <c r="B47" s="308"/>
      <c r="C47" s="308"/>
      <c r="D47" s="7" t="s">
        <v>987</v>
      </c>
      <c r="E47" s="20">
        <v>50</v>
      </c>
      <c r="F47" s="21" t="s">
        <v>18</v>
      </c>
      <c r="G47" s="21" t="s">
        <v>18</v>
      </c>
      <c r="H47" s="21">
        <f>88000*117/100</f>
        <v>102960</v>
      </c>
      <c r="I47" s="21">
        <f>88000*117/100</f>
        <v>102960</v>
      </c>
      <c r="J47" s="7" t="s">
        <v>20</v>
      </c>
      <c r="K47" s="310"/>
      <c r="L47" s="320"/>
      <c r="M47" s="313"/>
    </row>
    <row r="48" spans="1:13" ht="14.25" x14ac:dyDescent="0.2">
      <c r="A48" s="306"/>
      <c r="B48" s="308"/>
      <c r="C48" s="308"/>
      <c r="D48" s="7" t="s">
        <v>988</v>
      </c>
      <c r="E48" s="20">
        <v>40</v>
      </c>
      <c r="F48" s="21" t="s">
        <v>18</v>
      </c>
      <c r="G48" s="21" t="s">
        <v>18</v>
      </c>
      <c r="H48" s="21">
        <f>112000*117/100</f>
        <v>131040</v>
      </c>
      <c r="I48" s="21">
        <f>112000*117/100</f>
        <v>131040</v>
      </c>
      <c r="J48" s="7" t="s">
        <v>20</v>
      </c>
      <c r="K48" s="310"/>
      <c r="L48" s="320"/>
      <c r="M48" s="313"/>
    </row>
    <row r="49" spans="1:13" ht="14.25" x14ac:dyDescent="0.2">
      <c r="A49" s="302"/>
      <c r="B49" s="303"/>
      <c r="C49" s="304"/>
      <c r="D49" s="304"/>
      <c r="E49" s="304"/>
      <c r="F49" s="304"/>
      <c r="G49" s="304"/>
      <c r="H49" s="304"/>
      <c r="I49" s="304"/>
      <c r="J49" s="304"/>
      <c r="K49" s="304"/>
      <c r="L49" s="304"/>
      <c r="M49" s="305"/>
    </row>
    <row r="50" spans="1:13" ht="15.75" x14ac:dyDescent="0.2">
      <c r="A50" s="298" t="s">
        <v>990</v>
      </c>
      <c r="B50" s="299"/>
      <c r="C50" s="299"/>
      <c r="D50" s="299"/>
      <c r="E50" s="299"/>
      <c r="F50" s="299"/>
      <c r="G50" s="299"/>
      <c r="H50" s="299"/>
      <c r="I50" s="299"/>
      <c r="J50" s="299"/>
      <c r="K50" s="299"/>
      <c r="L50" s="299"/>
      <c r="M50" s="300"/>
    </row>
    <row r="51" spans="1:13" ht="38.25" x14ac:dyDescent="0.2">
      <c r="A51" s="306">
        <v>6</v>
      </c>
      <c r="B51" s="308" t="s">
        <v>991</v>
      </c>
      <c r="C51" s="308" t="s">
        <v>210</v>
      </c>
      <c r="D51" s="17" t="s">
        <v>979</v>
      </c>
      <c r="E51" s="18">
        <v>100</v>
      </c>
      <c r="F51" s="19" t="s">
        <v>18</v>
      </c>
      <c r="G51" s="19" t="s">
        <v>18</v>
      </c>
      <c r="H51" s="19">
        <f>90000*117/100</f>
        <v>105300</v>
      </c>
      <c r="I51" s="19">
        <f>90000*117/100</f>
        <v>105300</v>
      </c>
      <c r="J51" s="17" t="s">
        <v>20</v>
      </c>
      <c r="K51" s="310" t="s">
        <v>426</v>
      </c>
      <c r="L51" s="320" t="s">
        <v>926</v>
      </c>
      <c r="M51" s="313" t="s">
        <v>995</v>
      </c>
    </row>
    <row r="52" spans="1:13" ht="25.5" x14ac:dyDescent="0.2">
      <c r="A52" s="306"/>
      <c r="B52" s="308"/>
      <c r="C52" s="308"/>
      <c r="D52" s="7" t="s">
        <v>176</v>
      </c>
      <c r="E52" s="20">
        <v>90</v>
      </c>
      <c r="F52" s="21" t="s">
        <v>18</v>
      </c>
      <c r="G52" s="21" t="s">
        <v>18</v>
      </c>
      <c r="H52" s="21">
        <f>95000*117/100</f>
        <v>111150</v>
      </c>
      <c r="I52" s="21">
        <f>95000*117/100</f>
        <v>111150</v>
      </c>
      <c r="J52" s="7" t="s">
        <v>20</v>
      </c>
      <c r="K52" s="310"/>
      <c r="L52" s="320"/>
      <c r="M52" s="313"/>
    </row>
    <row r="53" spans="1:13" ht="14.25" x14ac:dyDescent="0.2">
      <c r="A53" s="306"/>
      <c r="B53" s="308"/>
      <c r="C53" s="308"/>
      <c r="D53" s="7" t="s">
        <v>980</v>
      </c>
      <c r="E53" s="20">
        <v>80</v>
      </c>
      <c r="F53" s="21" t="s">
        <v>18</v>
      </c>
      <c r="G53" s="21" t="s">
        <v>18</v>
      </c>
      <c r="H53" s="21">
        <f>140000*117/100</f>
        <v>163800</v>
      </c>
      <c r="I53" s="21">
        <f>140000*117/100</f>
        <v>163800</v>
      </c>
      <c r="J53" s="7" t="s">
        <v>20</v>
      </c>
      <c r="K53" s="310"/>
      <c r="L53" s="320"/>
      <c r="M53" s="313"/>
    </row>
    <row r="54" spans="1:13" ht="25.5" x14ac:dyDescent="0.2">
      <c r="A54" s="306"/>
      <c r="B54" s="308"/>
      <c r="C54" s="308"/>
      <c r="D54" s="7" t="s">
        <v>982</v>
      </c>
      <c r="E54" s="20">
        <v>70</v>
      </c>
      <c r="F54" s="21" t="s">
        <v>18</v>
      </c>
      <c r="G54" s="21" t="s">
        <v>18</v>
      </c>
      <c r="H54" s="21">
        <f>144800*117/100</f>
        <v>169416</v>
      </c>
      <c r="I54" s="21">
        <f>144800*117/100</f>
        <v>169416</v>
      </c>
      <c r="J54" s="7" t="s">
        <v>20</v>
      </c>
      <c r="K54" s="310"/>
      <c r="L54" s="320"/>
      <c r="M54" s="313"/>
    </row>
    <row r="55" spans="1:13" ht="14.25" x14ac:dyDescent="0.2">
      <c r="A55" s="306"/>
      <c r="B55" s="308"/>
      <c r="C55" s="308"/>
      <c r="D55" s="7" t="s">
        <v>981</v>
      </c>
      <c r="E55" s="20">
        <v>60</v>
      </c>
      <c r="F55" s="21" t="s">
        <v>18</v>
      </c>
      <c r="G55" s="21" t="s">
        <v>18</v>
      </c>
      <c r="H55" s="21">
        <f>144888*117/100</f>
        <v>169518.96</v>
      </c>
      <c r="I55" s="21">
        <f>144888*117/100</f>
        <v>169518.96</v>
      </c>
      <c r="J55" s="7" t="s">
        <v>20</v>
      </c>
      <c r="K55" s="310"/>
      <c r="L55" s="320"/>
      <c r="M55" s="313"/>
    </row>
    <row r="56" spans="1:13" ht="14.25" x14ac:dyDescent="0.2">
      <c r="A56" s="306"/>
      <c r="B56" s="308"/>
      <c r="C56" s="308"/>
      <c r="D56" s="7" t="s">
        <v>984</v>
      </c>
      <c r="E56" s="20">
        <v>50</v>
      </c>
      <c r="F56" s="21" t="s">
        <v>18</v>
      </c>
      <c r="G56" s="21" t="s">
        <v>18</v>
      </c>
      <c r="H56" s="21">
        <f>165060*117/100</f>
        <v>193120.2</v>
      </c>
      <c r="I56" s="21">
        <f>165060*117/100</f>
        <v>193120.2</v>
      </c>
      <c r="J56" s="7" t="s">
        <v>20</v>
      </c>
      <c r="K56" s="310"/>
      <c r="L56" s="320"/>
      <c r="M56" s="313"/>
    </row>
    <row r="57" spans="1:13" ht="14.25" x14ac:dyDescent="0.2">
      <c r="A57" s="306"/>
      <c r="B57" s="308"/>
      <c r="C57" s="308"/>
      <c r="D57" s="7" t="s">
        <v>987</v>
      </c>
      <c r="E57" s="20">
        <v>40</v>
      </c>
      <c r="F57" s="21" t="s">
        <v>18</v>
      </c>
      <c r="G57" s="21" t="s">
        <v>18</v>
      </c>
      <c r="H57" s="21">
        <f>180000*117/100</f>
        <v>210600</v>
      </c>
      <c r="I57" s="21">
        <f>180000*117/100</f>
        <v>210600</v>
      </c>
      <c r="J57" s="7" t="s">
        <v>20</v>
      </c>
      <c r="K57" s="310"/>
      <c r="L57" s="320"/>
      <c r="M57" s="313"/>
    </row>
    <row r="58" spans="1:13" ht="14.25" x14ac:dyDescent="0.2">
      <c r="A58" s="302"/>
      <c r="B58" s="303"/>
      <c r="C58" s="304"/>
      <c r="D58" s="304"/>
      <c r="E58" s="304"/>
      <c r="F58" s="304"/>
      <c r="G58" s="304"/>
      <c r="H58" s="304"/>
      <c r="I58" s="304"/>
      <c r="J58" s="304"/>
      <c r="K58" s="304"/>
      <c r="L58" s="304"/>
      <c r="M58" s="305"/>
    </row>
    <row r="59" spans="1:13" ht="15.75" x14ac:dyDescent="0.2">
      <c r="A59" s="298" t="s">
        <v>992</v>
      </c>
      <c r="B59" s="299"/>
      <c r="C59" s="299"/>
      <c r="D59" s="299"/>
      <c r="E59" s="299"/>
      <c r="F59" s="299"/>
      <c r="G59" s="299"/>
      <c r="H59" s="299"/>
      <c r="I59" s="299"/>
      <c r="J59" s="299"/>
      <c r="K59" s="299"/>
      <c r="L59" s="299"/>
      <c r="M59" s="300"/>
    </row>
    <row r="60" spans="1:13" ht="38.25" x14ac:dyDescent="0.2">
      <c r="A60" s="306">
        <v>7</v>
      </c>
      <c r="B60" s="308" t="s">
        <v>993</v>
      </c>
      <c r="C60" s="308" t="s">
        <v>210</v>
      </c>
      <c r="D60" s="17" t="s">
        <v>979</v>
      </c>
      <c r="E60" s="18">
        <v>100</v>
      </c>
      <c r="F60" s="19" t="s">
        <v>18</v>
      </c>
      <c r="G60" s="19" t="s">
        <v>18</v>
      </c>
      <c r="H60" s="19">
        <f>90000*117/100</f>
        <v>105300</v>
      </c>
      <c r="I60" s="19">
        <f>90000*117/100</f>
        <v>105300</v>
      </c>
      <c r="J60" s="17" t="s">
        <v>20</v>
      </c>
      <c r="K60" s="310" t="s">
        <v>426</v>
      </c>
      <c r="L60" s="320" t="s">
        <v>926</v>
      </c>
      <c r="M60" s="313" t="s">
        <v>996</v>
      </c>
    </row>
    <row r="61" spans="1:13" ht="25.5" x14ac:dyDescent="0.2">
      <c r="A61" s="306"/>
      <c r="B61" s="308"/>
      <c r="C61" s="308"/>
      <c r="D61" s="7" t="s">
        <v>176</v>
      </c>
      <c r="E61" s="20">
        <v>90</v>
      </c>
      <c r="F61" s="21" t="s">
        <v>18</v>
      </c>
      <c r="G61" s="21" t="s">
        <v>18</v>
      </c>
      <c r="H61" s="21">
        <f>109000*117/100</f>
        <v>127530</v>
      </c>
      <c r="I61" s="21">
        <f>109000*117/100</f>
        <v>127530</v>
      </c>
      <c r="J61" s="7" t="s">
        <v>20</v>
      </c>
      <c r="K61" s="310"/>
      <c r="L61" s="320"/>
      <c r="M61" s="313"/>
    </row>
    <row r="62" spans="1:13" ht="14.25" x14ac:dyDescent="0.2">
      <c r="A62" s="306"/>
      <c r="B62" s="308"/>
      <c r="C62" s="308"/>
      <c r="D62" s="7" t="s">
        <v>981</v>
      </c>
      <c r="E62" s="20">
        <v>80</v>
      </c>
      <c r="F62" s="21" t="s">
        <v>18</v>
      </c>
      <c r="G62" s="21" t="s">
        <v>18</v>
      </c>
      <c r="H62" s="21">
        <f>133650*117/100</f>
        <v>156370.5</v>
      </c>
      <c r="I62" s="21">
        <f>133650*117/100</f>
        <v>156370.5</v>
      </c>
      <c r="J62" s="7" t="s">
        <v>20</v>
      </c>
      <c r="K62" s="310"/>
      <c r="L62" s="320"/>
      <c r="M62" s="313"/>
    </row>
    <row r="63" spans="1:13" ht="25.5" x14ac:dyDescent="0.2">
      <c r="A63" s="306"/>
      <c r="B63" s="308"/>
      <c r="C63" s="308"/>
      <c r="D63" s="7" t="s">
        <v>982</v>
      </c>
      <c r="E63" s="20">
        <v>70</v>
      </c>
      <c r="F63" s="21" t="s">
        <v>18</v>
      </c>
      <c r="G63" s="21" t="s">
        <v>18</v>
      </c>
      <c r="H63" s="21">
        <f>146800*117/100</f>
        <v>171756</v>
      </c>
      <c r="I63" s="21">
        <f>146800*117/100</f>
        <v>171756</v>
      </c>
      <c r="J63" s="7" t="s">
        <v>20</v>
      </c>
      <c r="K63" s="310"/>
      <c r="L63" s="320"/>
      <c r="M63" s="313"/>
    </row>
    <row r="64" spans="1:13" ht="14.25" x14ac:dyDescent="0.2">
      <c r="A64" s="306"/>
      <c r="B64" s="308"/>
      <c r="C64" s="308"/>
      <c r="D64" s="7" t="s">
        <v>980</v>
      </c>
      <c r="E64" s="20">
        <v>60</v>
      </c>
      <c r="F64" s="21" t="s">
        <v>18</v>
      </c>
      <c r="G64" s="21" t="s">
        <v>18</v>
      </c>
      <c r="H64" s="21">
        <f>154000*117/100</f>
        <v>180180</v>
      </c>
      <c r="I64" s="21">
        <f>154000*117/100</f>
        <v>180180</v>
      </c>
      <c r="J64" s="7" t="s">
        <v>20</v>
      </c>
      <c r="K64" s="310"/>
      <c r="L64" s="320"/>
      <c r="M64" s="313"/>
    </row>
    <row r="65" spans="1:13" ht="14.25" x14ac:dyDescent="0.2">
      <c r="A65" s="306"/>
      <c r="B65" s="308"/>
      <c r="C65" s="308"/>
      <c r="D65" s="7" t="s">
        <v>987</v>
      </c>
      <c r="E65" s="20">
        <v>50</v>
      </c>
      <c r="F65" s="21" t="s">
        <v>18</v>
      </c>
      <c r="G65" s="21" t="s">
        <v>18</v>
      </c>
      <c r="H65" s="21">
        <f>174060*117/100</f>
        <v>203650.2</v>
      </c>
      <c r="I65" s="21">
        <f>174060*117/100</f>
        <v>203650.2</v>
      </c>
      <c r="J65" s="7" t="s">
        <v>20</v>
      </c>
      <c r="K65" s="310"/>
      <c r="L65" s="320"/>
      <c r="M65" s="313"/>
    </row>
    <row r="66" spans="1:13" ht="14.25" x14ac:dyDescent="0.2">
      <c r="A66" s="306"/>
      <c r="B66" s="308"/>
      <c r="C66" s="308"/>
      <c r="D66" s="7" t="s">
        <v>984</v>
      </c>
      <c r="E66" s="20">
        <v>40</v>
      </c>
      <c r="F66" s="21" t="s">
        <v>18</v>
      </c>
      <c r="G66" s="21" t="s">
        <v>18</v>
      </c>
      <c r="H66" s="21">
        <f>178360*117/100</f>
        <v>208681.2</v>
      </c>
      <c r="I66" s="21">
        <f>178360*117/100</f>
        <v>208681.2</v>
      </c>
      <c r="J66" s="7" t="s">
        <v>20</v>
      </c>
      <c r="K66" s="310"/>
      <c r="L66" s="320"/>
      <c r="M66" s="313"/>
    </row>
    <row r="67" spans="1:13" ht="14.25" x14ac:dyDescent="0.2">
      <c r="A67" s="302"/>
      <c r="B67" s="303"/>
      <c r="C67" s="304"/>
      <c r="D67" s="304"/>
      <c r="E67" s="304"/>
      <c r="F67" s="304"/>
      <c r="G67" s="304"/>
      <c r="H67" s="304"/>
      <c r="I67" s="304"/>
      <c r="J67" s="304"/>
      <c r="K67" s="304"/>
      <c r="L67" s="304"/>
      <c r="M67" s="305"/>
    </row>
    <row r="68" spans="1:13" ht="15.75" x14ac:dyDescent="0.2">
      <c r="A68" s="298" t="s">
        <v>994</v>
      </c>
      <c r="B68" s="299"/>
      <c r="C68" s="299"/>
      <c r="D68" s="299"/>
      <c r="E68" s="299"/>
      <c r="F68" s="299"/>
      <c r="G68" s="299"/>
      <c r="H68" s="299"/>
      <c r="I68" s="299"/>
      <c r="J68" s="299"/>
      <c r="K68" s="299"/>
      <c r="L68" s="299"/>
      <c r="M68" s="300"/>
    </row>
    <row r="69" spans="1:13" ht="14.25" x14ac:dyDescent="0.2">
      <c r="A69" s="306">
        <v>8</v>
      </c>
      <c r="B69" s="308" t="s">
        <v>1086</v>
      </c>
      <c r="C69" s="308" t="s">
        <v>210</v>
      </c>
      <c r="D69" s="67" t="s">
        <v>1087</v>
      </c>
      <c r="E69" s="68">
        <v>100</v>
      </c>
      <c r="F69" s="69" t="s">
        <v>18</v>
      </c>
      <c r="G69" s="69" t="s">
        <v>18</v>
      </c>
      <c r="H69" s="176">
        <f>19490*117/100</f>
        <v>22803.3</v>
      </c>
      <c r="I69" s="176">
        <f>19490*117/100</f>
        <v>22803.3</v>
      </c>
      <c r="J69" s="67" t="s">
        <v>20</v>
      </c>
      <c r="K69" s="310" t="s">
        <v>1102</v>
      </c>
      <c r="L69" s="320" t="s">
        <v>926</v>
      </c>
      <c r="M69" s="313" t="s">
        <v>1013</v>
      </c>
    </row>
    <row r="70" spans="1:13" ht="25.5" x14ac:dyDescent="0.2">
      <c r="A70" s="306"/>
      <c r="B70" s="308"/>
      <c r="C70" s="308"/>
      <c r="D70" s="7" t="s">
        <v>1088</v>
      </c>
      <c r="E70" s="20">
        <v>78</v>
      </c>
      <c r="F70" s="21" t="s">
        <v>18</v>
      </c>
      <c r="G70" s="21" t="s">
        <v>18</v>
      </c>
      <c r="H70" s="171">
        <f>38000*117/100</f>
        <v>44460</v>
      </c>
      <c r="I70" s="171">
        <f>38000*117/100</f>
        <v>44460</v>
      </c>
      <c r="J70" s="7" t="s">
        <v>20</v>
      </c>
      <c r="K70" s="310"/>
      <c r="L70" s="320"/>
      <c r="M70" s="313"/>
    </row>
    <row r="71" spans="1:13" ht="25.5" x14ac:dyDescent="0.2">
      <c r="A71" s="306"/>
      <c r="B71" s="308"/>
      <c r="C71" s="308"/>
      <c r="D71" s="7" t="s">
        <v>1089</v>
      </c>
      <c r="E71" s="20">
        <v>68</v>
      </c>
      <c r="F71" s="21" t="s">
        <v>18</v>
      </c>
      <c r="G71" s="21" t="s">
        <v>18</v>
      </c>
      <c r="H71" s="171">
        <f>40000*117/100</f>
        <v>46800</v>
      </c>
      <c r="I71" s="171">
        <f>40000*117/100</f>
        <v>46800</v>
      </c>
      <c r="J71" s="7" t="s">
        <v>20</v>
      </c>
      <c r="K71" s="310"/>
      <c r="L71" s="320"/>
      <c r="M71" s="313"/>
    </row>
    <row r="72" spans="1:13" ht="14.25" x14ac:dyDescent="0.2">
      <c r="A72" s="302"/>
      <c r="B72" s="303" t="s">
        <v>1090</v>
      </c>
      <c r="C72" s="304"/>
      <c r="D72" s="304"/>
      <c r="E72" s="304"/>
      <c r="F72" s="304"/>
      <c r="G72" s="304"/>
      <c r="H72" s="304"/>
      <c r="I72" s="304"/>
      <c r="J72" s="304"/>
      <c r="K72" s="304"/>
      <c r="L72" s="304"/>
      <c r="M72" s="305"/>
    </row>
    <row r="73" spans="1:13" ht="15.75" x14ac:dyDescent="0.2">
      <c r="A73" s="298" t="s">
        <v>998</v>
      </c>
      <c r="B73" s="299"/>
      <c r="C73" s="299"/>
      <c r="D73" s="299"/>
      <c r="E73" s="299"/>
      <c r="F73" s="299"/>
      <c r="G73" s="299"/>
      <c r="H73" s="299"/>
      <c r="I73" s="299"/>
      <c r="J73" s="299"/>
      <c r="K73" s="299"/>
      <c r="L73" s="299"/>
      <c r="M73" s="300"/>
    </row>
    <row r="74" spans="1:13" ht="38.25" x14ac:dyDescent="0.2">
      <c r="A74" s="306">
        <v>9</v>
      </c>
      <c r="B74" s="167" t="s">
        <v>1003</v>
      </c>
      <c r="C74" s="167" t="s">
        <v>997</v>
      </c>
      <c r="D74" s="17" t="s">
        <v>1002</v>
      </c>
      <c r="E74" s="18">
        <v>100</v>
      </c>
      <c r="F74" s="19" t="s">
        <v>18</v>
      </c>
      <c r="G74" s="19" t="s">
        <v>18</v>
      </c>
      <c r="H74" s="19">
        <f>7500*117/100</f>
        <v>8775</v>
      </c>
      <c r="I74" s="19">
        <f>7500*117/100</f>
        <v>8775</v>
      </c>
      <c r="J74" s="17" t="s">
        <v>20</v>
      </c>
      <c r="K74" s="168" t="s">
        <v>1105</v>
      </c>
      <c r="L74" s="169" t="s">
        <v>926</v>
      </c>
      <c r="M74" s="170" t="s">
        <v>1001</v>
      </c>
    </row>
    <row r="75" spans="1:13" ht="14.25" x14ac:dyDescent="0.2">
      <c r="A75" s="302"/>
      <c r="B75" s="303"/>
      <c r="C75" s="304"/>
      <c r="D75" s="304"/>
      <c r="E75" s="304"/>
      <c r="F75" s="304"/>
      <c r="G75" s="304"/>
      <c r="H75" s="304"/>
      <c r="I75" s="304"/>
      <c r="J75" s="304"/>
      <c r="K75" s="304"/>
      <c r="L75" s="304"/>
      <c r="M75" s="305"/>
    </row>
    <row r="76" spans="1:13" ht="15.75" x14ac:dyDescent="0.2">
      <c r="A76" s="298" t="s">
        <v>999</v>
      </c>
      <c r="B76" s="299"/>
      <c r="C76" s="299"/>
      <c r="D76" s="299"/>
      <c r="E76" s="299"/>
      <c r="F76" s="299"/>
      <c r="G76" s="299"/>
      <c r="H76" s="299"/>
      <c r="I76" s="299"/>
      <c r="J76" s="299"/>
      <c r="K76" s="299"/>
      <c r="L76" s="299"/>
      <c r="M76" s="300"/>
    </row>
    <row r="77" spans="1:13" ht="14.25" x14ac:dyDescent="0.2">
      <c r="A77" s="306">
        <v>10</v>
      </c>
      <c r="B77" s="308" t="s">
        <v>1010</v>
      </c>
      <c r="C77" s="308" t="s">
        <v>997</v>
      </c>
      <c r="D77" s="7" t="s">
        <v>1011</v>
      </c>
      <c r="E77" s="20">
        <v>100</v>
      </c>
      <c r="F77" s="21" t="s">
        <v>18</v>
      </c>
      <c r="G77" s="21" t="s">
        <v>18</v>
      </c>
      <c r="H77" s="21">
        <f>29000*117/100</f>
        <v>33930</v>
      </c>
      <c r="I77" s="21">
        <f>29000*117/100</f>
        <v>33930</v>
      </c>
      <c r="J77" s="7" t="s">
        <v>20</v>
      </c>
      <c r="K77" s="310" t="s">
        <v>1102</v>
      </c>
      <c r="L77" s="320" t="s">
        <v>926</v>
      </c>
      <c r="M77" s="313" t="s">
        <v>1013</v>
      </c>
    </row>
    <row r="78" spans="1:13" ht="25.5" x14ac:dyDescent="0.2">
      <c r="A78" s="306"/>
      <c r="B78" s="308"/>
      <c r="C78" s="308"/>
      <c r="D78" s="67" t="s">
        <v>1012</v>
      </c>
      <c r="E78" s="68">
        <v>90</v>
      </c>
      <c r="F78" s="69" t="s">
        <v>18</v>
      </c>
      <c r="G78" s="69" t="s">
        <v>18</v>
      </c>
      <c r="H78" s="69">
        <f>30000*117/100</f>
        <v>35100</v>
      </c>
      <c r="I78" s="69">
        <f>30000*117/100</f>
        <v>35100</v>
      </c>
      <c r="J78" s="67" t="s">
        <v>20</v>
      </c>
      <c r="K78" s="310"/>
      <c r="L78" s="320"/>
      <c r="M78" s="313"/>
    </row>
    <row r="79" spans="1:13" ht="14.25" x14ac:dyDescent="0.2">
      <c r="A79" s="306"/>
      <c r="B79" s="308"/>
      <c r="C79" s="308"/>
      <c r="D79" s="7" t="s">
        <v>972</v>
      </c>
      <c r="E79" s="20">
        <v>80</v>
      </c>
      <c r="F79" s="21" t="s">
        <v>18</v>
      </c>
      <c r="G79" s="21" t="s">
        <v>18</v>
      </c>
      <c r="H79" s="21">
        <f>43856*117/100</f>
        <v>51311.519999999997</v>
      </c>
      <c r="I79" s="21">
        <f>43856*117/100</f>
        <v>51311.519999999997</v>
      </c>
      <c r="J79" s="7" t="s">
        <v>20</v>
      </c>
      <c r="K79" s="310"/>
      <c r="L79" s="320"/>
      <c r="M79" s="313"/>
    </row>
    <row r="80" spans="1:13" ht="25.5" x14ac:dyDescent="0.2">
      <c r="A80" s="306"/>
      <c r="B80" s="308"/>
      <c r="C80" s="308"/>
      <c r="D80" s="7" t="s">
        <v>209</v>
      </c>
      <c r="E80" s="20">
        <v>70</v>
      </c>
      <c r="F80" s="21" t="s">
        <v>18</v>
      </c>
      <c r="G80" s="21" t="s">
        <v>18</v>
      </c>
      <c r="H80" s="21">
        <f>58555*117/100</f>
        <v>68509.350000000006</v>
      </c>
      <c r="I80" s="21">
        <f>58555*117/100</f>
        <v>68509.350000000006</v>
      </c>
      <c r="J80" s="7" t="s">
        <v>20</v>
      </c>
      <c r="K80" s="310"/>
      <c r="L80" s="320"/>
      <c r="M80" s="313"/>
    </row>
    <row r="81" spans="1:13" ht="14.25" x14ac:dyDescent="0.2">
      <c r="A81" s="302"/>
      <c r="B81" s="303"/>
      <c r="C81" s="304"/>
      <c r="D81" s="304"/>
      <c r="E81" s="304"/>
      <c r="F81" s="304"/>
      <c r="G81" s="304"/>
      <c r="H81" s="304"/>
      <c r="I81" s="304"/>
      <c r="J81" s="304"/>
      <c r="K81" s="304"/>
      <c r="L81" s="304"/>
      <c r="M81" s="305"/>
    </row>
    <row r="82" spans="1:13" ht="15.75" x14ac:dyDescent="0.2">
      <c r="A82" s="298" t="s">
        <v>1000</v>
      </c>
      <c r="B82" s="299"/>
      <c r="C82" s="299"/>
      <c r="D82" s="299"/>
      <c r="E82" s="299"/>
      <c r="F82" s="299"/>
      <c r="G82" s="299"/>
      <c r="H82" s="299"/>
      <c r="I82" s="299"/>
      <c r="J82" s="299"/>
      <c r="K82" s="299"/>
      <c r="L82" s="299"/>
      <c r="M82" s="300"/>
    </row>
    <row r="83" spans="1:13" ht="13.9" customHeight="1" x14ac:dyDescent="0.2">
      <c r="A83" s="306">
        <v>11</v>
      </c>
      <c r="B83" s="308" t="s">
        <v>1014</v>
      </c>
      <c r="C83" s="308" t="s">
        <v>997</v>
      </c>
      <c r="D83" s="17" t="s">
        <v>1011</v>
      </c>
      <c r="E83" s="18">
        <v>100</v>
      </c>
      <c r="F83" s="19" t="s">
        <v>18</v>
      </c>
      <c r="G83" s="19" t="s">
        <v>18</v>
      </c>
      <c r="H83" s="19">
        <f>92000*117/100</f>
        <v>107640</v>
      </c>
      <c r="I83" s="19">
        <f>92000*117/100</f>
        <v>107640</v>
      </c>
      <c r="J83" s="17" t="s">
        <v>20</v>
      </c>
      <c r="K83" s="325" t="s">
        <v>1106</v>
      </c>
      <c r="L83" s="320" t="s">
        <v>926</v>
      </c>
      <c r="M83" s="313" t="s">
        <v>1015</v>
      </c>
    </row>
    <row r="84" spans="1:13" ht="25.5" x14ac:dyDescent="0.2">
      <c r="A84" s="306"/>
      <c r="B84" s="308"/>
      <c r="C84" s="308"/>
      <c r="D84" s="7" t="s">
        <v>1012</v>
      </c>
      <c r="E84" s="20">
        <v>90</v>
      </c>
      <c r="F84" s="21" t="s">
        <v>18</v>
      </c>
      <c r="G84" s="21" t="s">
        <v>18</v>
      </c>
      <c r="H84" s="21">
        <f>125000*117/100</f>
        <v>146250</v>
      </c>
      <c r="I84" s="21">
        <f>125000*117/100</f>
        <v>146250</v>
      </c>
      <c r="J84" s="7" t="s">
        <v>20</v>
      </c>
      <c r="K84" s="325"/>
      <c r="L84" s="320"/>
      <c r="M84" s="313"/>
    </row>
    <row r="85" spans="1:13" ht="14.25" x14ac:dyDescent="0.2">
      <c r="A85" s="306"/>
      <c r="B85" s="308"/>
      <c r="C85" s="308"/>
      <c r="D85" s="7" t="s">
        <v>972</v>
      </c>
      <c r="E85" s="20">
        <v>80</v>
      </c>
      <c r="F85" s="21" t="s">
        <v>18</v>
      </c>
      <c r="G85" s="21" t="s">
        <v>18</v>
      </c>
      <c r="H85" s="21">
        <f>125356*117/100</f>
        <v>146666.51999999999</v>
      </c>
      <c r="I85" s="21">
        <f>125356*117/100</f>
        <v>146666.51999999999</v>
      </c>
      <c r="J85" s="7" t="s">
        <v>20</v>
      </c>
      <c r="K85" s="325"/>
      <c r="L85" s="320"/>
      <c r="M85" s="313"/>
    </row>
    <row r="86" spans="1:13" ht="25.5" x14ac:dyDescent="0.2">
      <c r="A86" s="306"/>
      <c r="B86" s="308"/>
      <c r="C86" s="308"/>
      <c r="D86" s="7" t="s">
        <v>209</v>
      </c>
      <c r="E86" s="20">
        <v>70</v>
      </c>
      <c r="F86" s="21" t="s">
        <v>18</v>
      </c>
      <c r="G86" s="21" t="s">
        <v>18</v>
      </c>
      <c r="H86" s="21">
        <f>153897*117/100</f>
        <v>180059.49</v>
      </c>
      <c r="I86" s="21">
        <f>153897*117/100</f>
        <v>180059.49</v>
      </c>
      <c r="J86" s="7" t="s">
        <v>20</v>
      </c>
      <c r="K86" s="325"/>
      <c r="L86" s="320"/>
      <c r="M86" s="313"/>
    </row>
    <row r="87" spans="1:13" ht="14.25" x14ac:dyDescent="0.2">
      <c r="A87" s="302"/>
      <c r="B87" s="303"/>
      <c r="C87" s="304"/>
      <c r="D87" s="304"/>
      <c r="E87" s="304"/>
      <c r="F87" s="304"/>
      <c r="G87" s="304"/>
      <c r="H87" s="304"/>
      <c r="I87" s="304"/>
      <c r="J87" s="304"/>
      <c r="K87" s="304"/>
      <c r="L87" s="304"/>
      <c r="M87" s="305"/>
    </row>
    <row r="88" spans="1:13" ht="15.75" x14ac:dyDescent="0.2">
      <c r="A88" s="298" t="s">
        <v>1005</v>
      </c>
      <c r="B88" s="299"/>
      <c r="C88" s="299"/>
      <c r="D88" s="299"/>
      <c r="E88" s="299"/>
      <c r="F88" s="299"/>
      <c r="G88" s="299"/>
      <c r="H88" s="299"/>
      <c r="I88" s="299"/>
      <c r="J88" s="299"/>
      <c r="K88" s="299"/>
      <c r="L88" s="299"/>
      <c r="M88" s="300"/>
    </row>
    <row r="89" spans="1:13" ht="13.9" customHeight="1" x14ac:dyDescent="0.2">
      <c r="A89" s="306">
        <v>12</v>
      </c>
      <c r="B89" s="308" t="s">
        <v>1016</v>
      </c>
      <c r="C89" s="308" t="s">
        <v>997</v>
      </c>
      <c r="D89" s="7" t="s">
        <v>1011</v>
      </c>
      <c r="E89" s="20">
        <v>100</v>
      </c>
      <c r="F89" s="21" t="s">
        <v>18</v>
      </c>
      <c r="G89" s="21" t="s">
        <v>18</v>
      </c>
      <c r="H89" s="21">
        <f>149000*117/100</f>
        <v>174330</v>
      </c>
      <c r="I89" s="21">
        <f>149000*117/100</f>
        <v>174330</v>
      </c>
      <c r="J89" s="7" t="s">
        <v>20</v>
      </c>
      <c r="K89" s="325" t="s">
        <v>1106</v>
      </c>
      <c r="L89" s="320" t="s">
        <v>926</v>
      </c>
      <c r="M89" s="313" t="s">
        <v>757</v>
      </c>
    </row>
    <row r="90" spans="1:13" ht="25.5" x14ac:dyDescent="0.2">
      <c r="A90" s="306"/>
      <c r="B90" s="308"/>
      <c r="C90" s="308"/>
      <c r="D90" s="17" t="s">
        <v>1012</v>
      </c>
      <c r="E90" s="18">
        <v>100</v>
      </c>
      <c r="F90" s="19" t="s">
        <v>18</v>
      </c>
      <c r="G90" s="19" t="s">
        <v>18</v>
      </c>
      <c r="H90" s="19">
        <f>149000*117/100</f>
        <v>174330</v>
      </c>
      <c r="I90" s="19">
        <f>149000*117/100</f>
        <v>174330</v>
      </c>
      <c r="J90" s="17" t="s">
        <v>20</v>
      </c>
      <c r="K90" s="325"/>
      <c r="L90" s="320"/>
      <c r="M90" s="313"/>
    </row>
    <row r="91" spans="1:13" ht="25.5" x14ac:dyDescent="0.2">
      <c r="A91" s="306"/>
      <c r="B91" s="308"/>
      <c r="C91" s="308"/>
      <c r="D91" s="7" t="s">
        <v>209</v>
      </c>
      <c r="E91" s="20">
        <v>80</v>
      </c>
      <c r="F91" s="21" t="s">
        <v>18</v>
      </c>
      <c r="G91" s="21" t="s">
        <v>18</v>
      </c>
      <c r="H91" s="21">
        <f>236664*117/100</f>
        <v>276896.88</v>
      </c>
      <c r="I91" s="21">
        <f>236664*117/100</f>
        <v>276896.88</v>
      </c>
      <c r="J91" s="7" t="s">
        <v>20</v>
      </c>
      <c r="K91" s="325"/>
      <c r="L91" s="320"/>
      <c r="M91" s="313"/>
    </row>
    <row r="92" spans="1:13" ht="13.9" customHeight="1" x14ac:dyDescent="0.2">
      <c r="A92" s="306"/>
      <c r="B92" s="308"/>
      <c r="C92" s="308"/>
      <c r="D92" s="7" t="s">
        <v>972</v>
      </c>
      <c r="E92" s="20">
        <v>70</v>
      </c>
      <c r="F92" s="21" t="s">
        <v>18</v>
      </c>
      <c r="G92" s="21" t="s">
        <v>18</v>
      </c>
      <c r="H92" s="21">
        <f>399340*117/100</f>
        <v>467227.8</v>
      </c>
      <c r="I92" s="21">
        <f>399340*117/100</f>
        <v>467227.8</v>
      </c>
      <c r="J92" s="7" t="s">
        <v>20</v>
      </c>
      <c r="K92" s="325"/>
      <c r="L92" s="320"/>
      <c r="M92" s="313"/>
    </row>
    <row r="93" spans="1:13" ht="14.25" x14ac:dyDescent="0.2">
      <c r="A93" s="302"/>
      <c r="B93" s="303"/>
      <c r="C93" s="304"/>
      <c r="D93" s="304"/>
      <c r="E93" s="304"/>
      <c r="F93" s="304"/>
      <c r="G93" s="304"/>
      <c r="H93" s="304"/>
      <c r="I93" s="304"/>
      <c r="J93" s="304"/>
      <c r="K93" s="304"/>
      <c r="L93" s="304"/>
      <c r="M93" s="305"/>
    </row>
    <row r="94" spans="1:13" ht="15.75" x14ac:dyDescent="0.2">
      <c r="A94" s="298" t="s">
        <v>1006</v>
      </c>
      <c r="B94" s="299"/>
      <c r="C94" s="299"/>
      <c r="D94" s="299"/>
      <c r="E94" s="299"/>
      <c r="F94" s="299"/>
      <c r="G94" s="299"/>
      <c r="H94" s="299"/>
      <c r="I94" s="299"/>
      <c r="J94" s="299"/>
      <c r="K94" s="299"/>
      <c r="L94" s="299"/>
      <c r="M94" s="300"/>
    </row>
    <row r="95" spans="1:13" ht="13.9" customHeight="1" x14ac:dyDescent="0.2">
      <c r="A95" s="306">
        <v>13</v>
      </c>
      <c r="B95" s="308" t="s">
        <v>1017</v>
      </c>
      <c r="C95" s="308" t="s">
        <v>997</v>
      </c>
      <c r="D95" s="17" t="s">
        <v>1011</v>
      </c>
      <c r="E95" s="18">
        <v>100</v>
      </c>
      <c r="F95" s="19" t="s">
        <v>18</v>
      </c>
      <c r="G95" s="19" t="s">
        <v>18</v>
      </c>
      <c r="H95" s="19">
        <f>173000*117/100</f>
        <v>202410</v>
      </c>
      <c r="I95" s="19">
        <f>173000*117/100</f>
        <v>202410</v>
      </c>
      <c r="J95" s="17" t="s">
        <v>20</v>
      </c>
      <c r="K95" s="325" t="s">
        <v>1106</v>
      </c>
      <c r="L95" s="320" t="s">
        <v>926</v>
      </c>
      <c r="M95" s="313" t="s">
        <v>1018</v>
      </c>
    </row>
    <row r="96" spans="1:13" ht="25.5" x14ac:dyDescent="0.2">
      <c r="A96" s="306"/>
      <c r="B96" s="308"/>
      <c r="C96" s="308"/>
      <c r="D96" s="7" t="s">
        <v>1012</v>
      </c>
      <c r="E96" s="20">
        <v>90</v>
      </c>
      <c r="F96" s="21" t="s">
        <v>18</v>
      </c>
      <c r="G96" s="21" t="s">
        <v>18</v>
      </c>
      <c r="H96" s="21">
        <f>265000*117/100</f>
        <v>310050</v>
      </c>
      <c r="I96" s="21">
        <f>265000*117/100</f>
        <v>310050</v>
      </c>
      <c r="J96" s="7" t="s">
        <v>20</v>
      </c>
      <c r="K96" s="325"/>
      <c r="L96" s="320"/>
      <c r="M96" s="313"/>
    </row>
    <row r="97" spans="1:13" ht="25.5" x14ac:dyDescent="0.2">
      <c r="A97" s="306"/>
      <c r="B97" s="308"/>
      <c r="C97" s="308"/>
      <c r="D97" s="7" t="s">
        <v>209</v>
      </c>
      <c r="E97" s="20">
        <v>80</v>
      </c>
      <c r="F97" s="21" t="s">
        <v>18</v>
      </c>
      <c r="G97" s="21" t="s">
        <v>18</v>
      </c>
      <c r="H97" s="21">
        <f>293566*117/100</f>
        <v>343472.22</v>
      </c>
      <c r="I97" s="21">
        <f>293566*117/100</f>
        <v>343472.22</v>
      </c>
      <c r="J97" s="7" t="s">
        <v>20</v>
      </c>
      <c r="K97" s="325"/>
      <c r="L97" s="320"/>
      <c r="M97" s="313"/>
    </row>
    <row r="98" spans="1:13" ht="14.25" x14ac:dyDescent="0.2">
      <c r="A98" s="306"/>
      <c r="B98" s="308"/>
      <c r="C98" s="308"/>
      <c r="D98" s="7" t="s">
        <v>972</v>
      </c>
      <c r="E98" s="20">
        <v>70</v>
      </c>
      <c r="F98" s="21" t="s">
        <v>18</v>
      </c>
      <c r="G98" s="21" t="s">
        <v>18</v>
      </c>
      <c r="H98" s="21">
        <f>294272*117/100</f>
        <v>344298.23999999999</v>
      </c>
      <c r="I98" s="21">
        <f>294272*117/100</f>
        <v>344298.23999999999</v>
      </c>
      <c r="J98" s="7" t="s">
        <v>20</v>
      </c>
      <c r="K98" s="325"/>
      <c r="L98" s="320"/>
      <c r="M98" s="313"/>
    </row>
    <row r="99" spans="1:13" ht="14.25" x14ac:dyDescent="0.2">
      <c r="A99" s="302"/>
      <c r="B99" s="303"/>
      <c r="C99" s="304"/>
      <c r="D99" s="304"/>
      <c r="E99" s="304"/>
      <c r="F99" s="304"/>
      <c r="G99" s="304"/>
      <c r="H99" s="304"/>
      <c r="I99" s="304"/>
      <c r="J99" s="304"/>
      <c r="K99" s="304"/>
      <c r="L99" s="304"/>
      <c r="M99" s="305"/>
    </row>
    <row r="100" spans="1:13" ht="15.75" x14ac:dyDescent="0.2">
      <c r="A100" s="298" t="s">
        <v>1007</v>
      </c>
      <c r="B100" s="299"/>
      <c r="C100" s="299"/>
      <c r="D100" s="299"/>
      <c r="E100" s="299"/>
      <c r="F100" s="299"/>
      <c r="G100" s="299"/>
      <c r="H100" s="299"/>
      <c r="I100" s="299"/>
      <c r="J100" s="299"/>
      <c r="K100" s="299"/>
      <c r="L100" s="299"/>
      <c r="M100" s="300"/>
    </row>
    <row r="101" spans="1:13" ht="25.5" x14ac:dyDescent="0.2">
      <c r="A101" s="306">
        <v>14</v>
      </c>
      <c r="B101" s="308" t="s">
        <v>1024</v>
      </c>
      <c r="C101" s="308" t="s">
        <v>997</v>
      </c>
      <c r="D101" s="7" t="s">
        <v>1023</v>
      </c>
      <c r="E101" s="20">
        <v>76</v>
      </c>
      <c r="F101" s="21" t="s">
        <v>18</v>
      </c>
      <c r="G101" s="21" t="s">
        <v>18</v>
      </c>
      <c r="H101" s="171">
        <f>105000*117/100</f>
        <v>122850</v>
      </c>
      <c r="I101" s="171">
        <f>105000*117/100</f>
        <v>122850</v>
      </c>
      <c r="J101" s="7" t="s">
        <v>20</v>
      </c>
      <c r="K101" s="310" t="s">
        <v>1102</v>
      </c>
      <c r="L101" s="320" t="s">
        <v>926</v>
      </c>
      <c r="M101" s="313" t="s">
        <v>1013</v>
      </c>
    </row>
    <row r="102" spans="1:13" ht="14.25" x14ac:dyDescent="0.2">
      <c r="A102" s="306"/>
      <c r="B102" s="308"/>
      <c r="C102" s="308"/>
      <c r="D102" s="7" t="s">
        <v>675</v>
      </c>
      <c r="E102" s="20">
        <v>72</v>
      </c>
      <c r="F102" s="21" t="s">
        <v>18</v>
      </c>
      <c r="G102" s="21" t="s">
        <v>18</v>
      </c>
      <c r="H102" s="171">
        <f>198000*117/100</f>
        <v>231660</v>
      </c>
      <c r="I102" s="171">
        <f>198000*117/100</f>
        <v>231660</v>
      </c>
      <c r="J102" s="7" t="s">
        <v>20</v>
      </c>
      <c r="K102" s="310"/>
      <c r="L102" s="320"/>
      <c r="M102" s="313"/>
    </row>
    <row r="103" spans="1:13" ht="25.5" x14ac:dyDescent="0.2">
      <c r="A103" s="306"/>
      <c r="B103" s="308"/>
      <c r="C103" s="308"/>
      <c r="D103" s="67" t="s">
        <v>1025</v>
      </c>
      <c r="E103" s="68">
        <v>80</v>
      </c>
      <c r="F103" s="69" t="s">
        <v>18</v>
      </c>
      <c r="G103" s="69" t="s">
        <v>18</v>
      </c>
      <c r="H103" s="176">
        <f>205000*117/100</f>
        <v>239850</v>
      </c>
      <c r="I103" s="176">
        <f>205000*117/100</f>
        <v>239850</v>
      </c>
      <c r="J103" s="67" t="s">
        <v>20</v>
      </c>
      <c r="K103" s="310"/>
      <c r="L103" s="320"/>
      <c r="M103" s="313"/>
    </row>
    <row r="104" spans="1:13" ht="25.5" x14ac:dyDescent="0.2">
      <c r="A104" s="306"/>
      <c r="B104" s="308"/>
      <c r="C104" s="308"/>
      <c r="D104" s="7" t="s">
        <v>1026</v>
      </c>
      <c r="E104" s="20">
        <v>58</v>
      </c>
      <c r="F104" s="21" t="s">
        <v>18</v>
      </c>
      <c r="G104" s="21" t="s">
        <v>18</v>
      </c>
      <c r="H104" s="171">
        <f>238000*117/100</f>
        <v>278460</v>
      </c>
      <c r="I104" s="171">
        <f>238000*117/100</f>
        <v>278460</v>
      </c>
      <c r="J104" s="7" t="s">
        <v>20</v>
      </c>
      <c r="K104" s="310"/>
      <c r="L104" s="320"/>
      <c r="M104" s="313"/>
    </row>
    <row r="105" spans="1:13" ht="25.5" x14ac:dyDescent="0.2">
      <c r="A105" s="306"/>
      <c r="B105" s="308"/>
      <c r="C105" s="308"/>
      <c r="D105" s="7" t="s">
        <v>1027</v>
      </c>
      <c r="E105" s="20">
        <v>60</v>
      </c>
      <c r="F105" s="21" t="s">
        <v>18</v>
      </c>
      <c r="G105" s="21" t="s">
        <v>18</v>
      </c>
      <c r="H105" s="171">
        <f>310494*117/100</f>
        <v>363277.98</v>
      </c>
      <c r="I105" s="171">
        <f>310494*117/100</f>
        <v>363277.98</v>
      </c>
      <c r="J105" s="7" t="s">
        <v>20</v>
      </c>
      <c r="K105" s="310"/>
      <c r="L105" s="320"/>
      <c r="M105" s="313"/>
    </row>
    <row r="106" spans="1:13" ht="14.25" x14ac:dyDescent="0.2">
      <c r="A106" s="302"/>
      <c r="B106" s="303"/>
      <c r="C106" s="304"/>
      <c r="D106" s="304"/>
      <c r="E106" s="304"/>
      <c r="F106" s="304"/>
      <c r="G106" s="304"/>
      <c r="H106" s="304"/>
      <c r="I106" s="304"/>
      <c r="J106" s="304"/>
      <c r="K106" s="304"/>
      <c r="L106" s="304"/>
      <c r="M106" s="305"/>
    </row>
    <row r="107" spans="1:13" ht="15.75" x14ac:dyDescent="0.2">
      <c r="A107" s="298" t="s">
        <v>1008</v>
      </c>
      <c r="B107" s="299"/>
      <c r="C107" s="299"/>
      <c r="D107" s="299"/>
      <c r="E107" s="299"/>
      <c r="F107" s="299"/>
      <c r="G107" s="299"/>
      <c r="H107" s="299"/>
      <c r="I107" s="299"/>
      <c r="J107" s="299"/>
      <c r="K107" s="299"/>
      <c r="L107" s="299"/>
      <c r="M107" s="300"/>
    </row>
    <row r="108" spans="1:13" ht="63.75" x14ac:dyDescent="0.2">
      <c r="A108" s="306">
        <v>15</v>
      </c>
      <c r="B108" s="308" t="s">
        <v>1028</v>
      </c>
      <c r="C108" s="308" t="s">
        <v>997</v>
      </c>
      <c r="D108" s="17" t="s">
        <v>1078</v>
      </c>
      <c r="E108" s="18">
        <v>100</v>
      </c>
      <c r="F108" s="19" t="s">
        <v>18</v>
      </c>
      <c r="G108" s="19" t="s">
        <v>18</v>
      </c>
      <c r="H108" s="177">
        <f>20000*117/100</f>
        <v>23400</v>
      </c>
      <c r="I108" s="177">
        <f>20000*117/100</f>
        <v>23400</v>
      </c>
      <c r="J108" s="17" t="s">
        <v>20</v>
      </c>
      <c r="K108" s="310" t="s">
        <v>426</v>
      </c>
      <c r="L108" s="320" t="s">
        <v>926</v>
      </c>
      <c r="M108" s="313" t="s">
        <v>1015</v>
      </c>
    </row>
    <row r="109" spans="1:13" ht="51" x14ac:dyDescent="0.2">
      <c r="A109" s="306"/>
      <c r="B109" s="308"/>
      <c r="C109" s="308"/>
      <c r="D109" s="7" t="s">
        <v>1079</v>
      </c>
      <c r="E109" s="20">
        <v>84</v>
      </c>
      <c r="F109" s="21" t="s">
        <v>18</v>
      </c>
      <c r="G109" s="21" t="s">
        <v>18</v>
      </c>
      <c r="H109" s="171">
        <f>35000*117/100</f>
        <v>40950</v>
      </c>
      <c r="I109" s="171">
        <f>35000*117/100</f>
        <v>40950</v>
      </c>
      <c r="J109" s="7" t="s">
        <v>20</v>
      </c>
      <c r="K109" s="310"/>
      <c r="L109" s="320"/>
      <c r="M109" s="313"/>
    </row>
    <row r="110" spans="1:13" ht="25.5" x14ac:dyDescent="0.2">
      <c r="A110" s="306"/>
      <c r="B110" s="308"/>
      <c r="C110" s="308"/>
      <c r="D110" s="7" t="s">
        <v>176</v>
      </c>
      <c r="E110" s="20">
        <v>80</v>
      </c>
      <c r="F110" s="21" t="s">
        <v>18</v>
      </c>
      <c r="G110" s="21" t="s">
        <v>18</v>
      </c>
      <c r="H110" s="171">
        <f>45000*117/100</f>
        <v>52650</v>
      </c>
      <c r="I110" s="171">
        <f>45000*117/100</f>
        <v>52650</v>
      </c>
      <c r="J110" s="7" t="s">
        <v>20</v>
      </c>
      <c r="K110" s="310"/>
      <c r="L110" s="320"/>
      <c r="M110" s="313"/>
    </row>
    <row r="111" spans="1:13" ht="25.5" x14ac:dyDescent="0.2">
      <c r="A111" s="306"/>
      <c r="B111" s="308"/>
      <c r="C111" s="308"/>
      <c r="D111" s="7" t="s">
        <v>1026</v>
      </c>
      <c r="E111" s="20">
        <v>58</v>
      </c>
      <c r="F111" s="21" t="s">
        <v>18</v>
      </c>
      <c r="G111" s="21" t="s">
        <v>18</v>
      </c>
      <c r="H111" s="171">
        <f>52000*117/100</f>
        <v>60840</v>
      </c>
      <c r="I111" s="171">
        <f>52000*117/100</f>
        <v>60840</v>
      </c>
      <c r="J111" s="7" t="s">
        <v>20</v>
      </c>
      <c r="K111" s="310"/>
      <c r="L111" s="320"/>
      <c r="M111" s="313"/>
    </row>
    <row r="112" spans="1:13" ht="14.25" x14ac:dyDescent="0.2">
      <c r="A112" s="306"/>
      <c r="B112" s="308"/>
      <c r="C112" s="308"/>
      <c r="D112" s="7" t="s">
        <v>984</v>
      </c>
      <c r="E112" s="20">
        <v>60</v>
      </c>
      <c r="F112" s="21" t="s">
        <v>18</v>
      </c>
      <c r="G112" s="21" t="s">
        <v>18</v>
      </c>
      <c r="H112" s="171">
        <f>65000*117/100</f>
        <v>76050</v>
      </c>
      <c r="I112" s="171">
        <f>65000*117/100</f>
        <v>76050</v>
      </c>
      <c r="J112" s="7" t="s">
        <v>20</v>
      </c>
      <c r="K112" s="310"/>
      <c r="L112" s="320"/>
      <c r="M112" s="313"/>
    </row>
    <row r="113" spans="1:13" ht="14.25" x14ac:dyDescent="0.2">
      <c r="A113" s="302"/>
      <c r="B113" s="303"/>
      <c r="C113" s="304"/>
      <c r="D113" s="304"/>
      <c r="E113" s="304"/>
      <c r="F113" s="304"/>
      <c r="G113" s="304"/>
      <c r="H113" s="304"/>
      <c r="I113" s="304"/>
      <c r="J113" s="304"/>
      <c r="K113" s="304"/>
      <c r="L113" s="304"/>
      <c r="M113" s="305"/>
    </row>
    <row r="114" spans="1:13" ht="15.75" x14ac:dyDescent="0.2">
      <c r="A114" s="298" t="s">
        <v>1009</v>
      </c>
      <c r="B114" s="299"/>
      <c r="C114" s="299"/>
      <c r="D114" s="299"/>
      <c r="E114" s="299"/>
      <c r="F114" s="299"/>
      <c r="G114" s="299"/>
      <c r="H114" s="299"/>
      <c r="I114" s="299"/>
      <c r="J114" s="299"/>
      <c r="K114" s="299"/>
      <c r="L114" s="299"/>
      <c r="M114" s="300"/>
    </row>
    <row r="115" spans="1:13" ht="51" x14ac:dyDescent="0.2">
      <c r="A115" s="306">
        <v>16</v>
      </c>
      <c r="B115" s="308" t="s">
        <v>1029</v>
      </c>
      <c r="C115" s="308" t="s">
        <v>997</v>
      </c>
      <c r="D115" s="199" t="s">
        <v>1079</v>
      </c>
      <c r="E115" s="200">
        <v>94</v>
      </c>
      <c r="F115" s="201" t="s">
        <v>18</v>
      </c>
      <c r="G115" s="201" t="s">
        <v>18</v>
      </c>
      <c r="H115" s="202">
        <f>30000*117/100</f>
        <v>35100</v>
      </c>
      <c r="I115" s="202">
        <f>30000*117/100</f>
        <v>35100</v>
      </c>
      <c r="J115" s="199" t="s">
        <v>20</v>
      </c>
      <c r="K115" s="310" t="s">
        <v>426</v>
      </c>
      <c r="L115" s="335" t="s">
        <v>926</v>
      </c>
      <c r="M115" s="313" t="s">
        <v>1201</v>
      </c>
    </row>
    <row r="116" spans="1:13" ht="25.5" x14ac:dyDescent="0.2">
      <c r="A116" s="306"/>
      <c r="B116" s="308"/>
      <c r="C116" s="308"/>
      <c r="D116" s="7" t="s">
        <v>176</v>
      </c>
      <c r="E116" s="20">
        <v>90</v>
      </c>
      <c r="F116" s="21" t="s">
        <v>18</v>
      </c>
      <c r="G116" s="21" t="s">
        <v>18</v>
      </c>
      <c r="H116" s="171">
        <f>49000*117/100</f>
        <v>57330</v>
      </c>
      <c r="I116" s="171">
        <f>49000*117/100</f>
        <v>57330</v>
      </c>
      <c r="J116" s="7" t="s">
        <v>20</v>
      </c>
      <c r="K116" s="310"/>
      <c r="L116" s="335"/>
      <c r="M116" s="313"/>
    </row>
    <row r="117" spans="1:13" ht="63.75" x14ac:dyDescent="0.2">
      <c r="A117" s="306"/>
      <c r="B117" s="308"/>
      <c r="C117" s="308"/>
      <c r="D117" s="7" t="s">
        <v>1078</v>
      </c>
      <c r="E117" s="20">
        <v>80</v>
      </c>
      <c r="F117" s="21" t="s">
        <v>18</v>
      </c>
      <c r="G117" s="21" t="s">
        <v>18</v>
      </c>
      <c r="H117" s="171">
        <f>94000*117/100</f>
        <v>109980</v>
      </c>
      <c r="I117" s="171">
        <f>94000*117/100</f>
        <v>109980</v>
      </c>
      <c r="J117" s="7" t="s">
        <v>20</v>
      </c>
      <c r="K117" s="310"/>
      <c r="L117" s="335"/>
      <c r="M117" s="313"/>
    </row>
    <row r="118" spans="1:13" ht="14.25" x14ac:dyDescent="0.2">
      <c r="A118" s="306"/>
      <c r="B118" s="308"/>
      <c r="C118" s="308"/>
      <c r="D118" s="7" t="s">
        <v>984</v>
      </c>
      <c r="E118" s="20">
        <v>70</v>
      </c>
      <c r="F118" s="21" t="s">
        <v>18</v>
      </c>
      <c r="G118" s="21" t="s">
        <v>18</v>
      </c>
      <c r="H118" s="171">
        <f>120000*117/100</f>
        <v>140400</v>
      </c>
      <c r="I118" s="171">
        <f>120000*117/100</f>
        <v>140400</v>
      </c>
      <c r="J118" s="7" t="s">
        <v>20</v>
      </c>
      <c r="K118" s="310"/>
      <c r="L118" s="335"/>
      <c r="M118" s="313"/>
    </row>
    <row r="119" spans="1:13" ht="25.5" x14ac:dyDescent="0.2">
      <c r="A119" s="306"/>
      <c r="B119" s="308"/>
      <c r="C119" s="308"/>
      <c r="D119" s="7" t="s">
        <v>1026</v>
      </c>
      <c r="E119" s="20">
        <v>48</v>
      </c>
      <c r="F119" s="21" t="s">
        <v>18</v>
      </c>
      <c r="G119" s="21" t="s">
        <v>18</v>
      </c>
      <c r="H119" s="171">
        <f>173000*117/100</f>
        <v>202410</v>
      </c>
      <c r="I119" s="171">
        <f>173000*117/100</f>
        <v>202410</v>
      </c>
      <c r="J119" s="7" t="s">
        <v>20</v>
      </c>
      <c r="K119" s="310"/>
      <c r="L119" s="335"/>
      <c r="M119" s="313"/>
    </row>
    <row r="120" spans="1:13" ht="14.25" x14ac:dyDescent="0.2">
      <c r="A120" s="302"/>
      <c r="B120" s="303"/>
      <c r="C120" s="304"/>
      <c r="D120" s="304"/>
      <c r="E120" s="304"/>
      <c r="F120" s="304"/>
      <c r="G120" s="304"/>
      <c r="H120" s="304"/>
      <c r="I120" s="304"/>
      <c r="J120" s="304"/>
      <c r="K120" s="304"/>
      <c r="L120" s="304"/>
      <c r="M120" s="305"/>
    </row>
    <row r="121" spans="1:13" ht="15.75" x14ac:dyDescent="0.2">
      <c r="A121" s="298" t="s">
        <v>1019</v>
      </c>
      <c r="B121" s="299"/>
      <c r="C121" s="299"/>
      <c r="D121" s="299"/>
      <c r="E121" s="299"/>
      <c r="F121" s="299"/>
      <c r="G121" s="299"/>
      <c r="H121" s="299"/>
      <c r="I121" s="299"/>
      <c r="J121" s="299"/>
      <c r="K121" s="299"/>
      <c r="L121" s="299"/>
      <c r="M121" s="300"/>
    </row>
    <row r="122" spans="1:13" ht="51" x14ac:dyDescent="0.2">
      <c r="A122" s="306">
        <v>17</v>
      </c>
      <c r="B122" s="308" t="s">
        <v>1030</v>
      </c>
      <c r="C122" s="308" t="s">
        <v>997</v>
      </c>
      <c r="D122" s="199" t="s">
        <v>1079</v>
      </c>
      <c r="E122" s="200">
        <v>94</v>
      </c>
      <c r="F122" s="201" t="s">
        <v>18</v>
      </c>
      <c r="G122" s="201" t="s">
        <v>18</v>
      </c>
      <c r="H122" s="202">
        <f>25000*117/100</f>
        <v>29250</v>
      </c>
      <c r="I122" s="202">
        <f>25000*117/100</f>
        <v>29250</v>
      </c>
      <c r="J122" s="199" t="s">
        <v>20</v>
      </c>
      <c r="K122" s="310" t="s">
        <v>426</v>
      </c>
      <c r="L122" s="335" t="s">
        <v>926</v>
      </c>
      <c r="M122" s="313" t="s">
        <v>1031</v>
      </c>
    </row>
    <row r="123" spans="1:13" ht="14.25" x14ac:dyDescent="0.2">
      <c r="A123" s="306"/>
      <c r="B123" s="308"/>
      <c r="C123" s="308"/>
      <c r="D123" s="7" t="s">
        <v>984</v>
      </c>
      <c r="E123" s="20">
        <v>90</v>
      </c>
      <c r="F123" s="21" t="s">
        <v>18</v>
      </c>
      <c r="G123" s="21" t="s">
        <v>18</v>
      </c>
      <c r="H123" s="171">
        <f>55000*117/100</f>
        <v>64350</v>
      </c>
      <c r="I123" s="171">
        <f>55000*117/100</f>
        <v>64350</v>
      </c>
      <c r="J123" s="7" t="s">
        <v>20</v>
      </c>
      <c r="K123" s="310"/>
      <c r="L123" s="335"/>
      <c r="M123" s="313"/>
    </row>
    <row r="124" spans="1:13" ht="25.5" x14ac:dyDescent="0.2">
      <c r="A124" s="306"/>
      <c r="B124" s="308"/>
      <c r="C124" s="308"/>
      <c r="D124" s="7" t="s">
        <v>176</v>
      </c>
      <c r="E124" s="20">
        <v>80</v>
      </c>
      <c r="F124" s="21" t="s">
        <v>18</v>
      </c>
      <c r="G124" s="21" t="s">
        <v>18</v>
      </c>
      <c r="H124" s="171">
        <f>99000*117/100</f>
        <v>115830</v>
      </c>
      <c r="I124" s="171">
        <f>99000*117/100</f>
        <v>115830</v>
      </c>
      <c r="J124" s="7" t="s">
        <v>20</v>
      </c>
      <c r="K124" s="310"/>
      <c r="L124" s="335"/>
      <c r="M124" s="313"/>
    </row>
    <row r="125" spans="1:13" ht="63.75" x14ac:dyDescent="0.2">
      <c r="A125" s="306"/>
      <c r="B125" s="308"/>
      <c r="C125" s="308"/>
      <c r="D125" s="7" t="s">
        <v>1078</v>
      </c>
      <c r="E125" s="20">
        <v>70</v>
      </c>
      <c r="F125" s="21" t="s">
        <v>18</v>
      </c>
      <c r="G125" s="21" t="s">
        <v>18</v>
      </c>
      <c r="H125" s="171">
        <f>150000*117/100</f>
        <v>175500</v>
      </c>
      <c r="I125" s="171">
        <f>150000*117/100</f>
        <v>175500</v>
      </c>
      <c r="J125" s="7" t="s">
        <v>20</v>
      </c>
      <c r="K125" s="310"/>
      <c r="L125" s="335"/>
      <c r="M125" s="313"/>
    </row>
    <row r="126" spans="1:13" ht="25.5" x14ac:dyDescent="0.2">
      <c r="A126" s="306"/>
      <c r="B126" s="308"/>
      <c r="C126" s="308"/>
      <c r="D126" s="7" t="s">
        <v>1026</v>
      </c>
      <c r="E126" s="20">
        <v>48</v>
      </c>
      <c r="F126" s="21" t="s">
        <v>18</v>
      </c>
      <c r="G126" s="21" t="s">
        <v>18</v>
      </c>
      <c r="H126" s="171">
        <f>190000*117/100</f>
        <v>222300</v>
      </c>
      <c r="I126" s="171">
        <f>190000*117/100</f>
        <v>222300</v>
      </c>
      <c r="J126" s="7" t="s">
        <v>20</v>
      </c>
      <c r="K126" s="310"/>
      <c r="L126" s="335"/>
      <c r="M126" s="313"/>
    </row>
    <row r="127" spans="1:13" ht="14.25" x14ac:dyDescent="0.2">
      <c r="A127" s="302"/>
      <c r="B127" s="303"/>
      <c r="C127" s="304"/>
      <c r="D127" s="304"/>
      <c r="E127" s="304"/>
      <c r="F127" s="304"/>
      <c r="G127" s="304"/>
      <c r="H127" s="304"/>
      <c r="I127" s="304"/>
      <c r="J127" s="304"/>
      <c r="K127" s="304"/>
      <c r="L127" s="304"/>
      <c r="M127" s="305"/>
    </row>
    <row r="128" spans="1:13" ht="15.75" x14ac:dyDescent="0.2">
      <c r="A128" s="298" t="s">
        <v>1020</v>
      </c>
      <c r="B128" s="299"/>
      <c r="C128" s="299"/>
      <c r="D128" s="299"/>
      <c r="E128" s="299"/>
      <c r="F128" s="299"/>
      <c r="G128" s="299"/>
      <c r="H128" s="299"/>
      <c r="I128" s="299"/>
      <c r="J128" s="299"/>
      <c r="K128" s="299"/>
      <c r="L128" s="299"/>
      <c r="M128" s="300"/>
    </row>
    <row r="129" spans="1:13" ht="14.25" x14ac:dyDescent="0.2">
      <c r="A129" s="306">
        <v>18</v>
      </c>
      <c r="B129" s="308" t="s">
        <v>1033</v>
      </c>
      <c r="C129" s="308" t="s">
        <v>997</v>
      </c>
      <c r="D129" s="7" t="s">
        <v>285</v>
      </c>
      <c r="E129" s="20">
        <v>76</v>
      </c>
      <c r="F129" s="21" t="s">
        <v>18</v>
      </c>
      <c r="G129" s="21" t="s">
        <v>18</v>
      </c>
      <c r="H129" s="171">
        <f>67000*117/100</f>
        <v>78390</v>
      </c>
      <c r="I129" s="171">
        <f>67000*117/100</f>
        <v>78390</v>
      </c>
      <c r="J129" s="7" t="s">
        <v>20</v>
      </c>
      <c r="K129" s="310" t="s">
        <v>1102</v>
      </c>
      <c r="L129" s="320" t="s">
        <v>926</v>
      </c>
      <c r="M129" s="313" t="s">
        <v>1013</v>
      </c>
    </row>
    <row r="130" spans="1:13" ht="14.25" x14ac:dyDescent="0.2">
      <c r="A130" s="306"/>
      <c r="B130" s="308"/>
      <c r="C130" s="308"/>
      <c r="D130" s="67" t="s">
        <v>1034</v>
      </c>
      <c r="E130" s="68">
        <v>90</v>
      </c>
      <c r="F130" s="69" t="s">
        <v>18</v>
      </c>
      <c r="G130" s="69" t="s">
        <v>18</v>
      </c>
      <c r="H130" s="176">
        <f>99000*117/100</f>
        <v>115830</v>
      </c>
      <c r="I130" s="176">
        <f>99000*117/100</f>
        <v>115830</v>
      </c>
      <c r="J130" s="67" t="s">
        <v>20</v>
      </c>
      <c r="K130" s="310"/>
      <c r="L130" s="320"/>
      <c r="M130" s="313"/>
    </row>
    <row r="131" spans="1:13" ht="25.5" x14ac:dyDescent="0.2">
      <c r="A131" s="306"/>
      <c r="B131" s="308"/>
      <c r="C131" s="308"/>
      <c r="D131" s="7" t="s">
        <v>1035</v>
      </c>
      <c r="E131" s="20">
        <v>80</v>
      </c>
      <c r="F131" s="21" t="s">
        <v>18</v>
      </c>
      <c r="G131" s="21" t="s">
        <v>18</v>
      </c>
      <c r="H131" s="171">
        <f>164000*117/100</f>
        <v>191880</v>
      </c>
      <c r="I131" s="171">
        <f>164000*117/100</f>
        <v>191880</v>
      </c>
      <c r="J131" s="7" t="s">
        <v>20</v>
      </c>
      <c r="K131" s="310"/>
      <c r="L131" s="320"/>
      <c r="M131" s="313"/>
    </row>
    <row r="132" spans="1:13" ht="25.5" x14ac:dyDescent="0.2">
      <c r="A132" s="306"/>
      <c r="B132" s="308"/>
      <c r="C132" s="308"/>
      <c r="D132" s="7" t="s">
        <v>560</v>
      </c>
      <c r="E132" s="20">
        <v>70</v>
      </c>
      <c r="F132" s="21" t="s">
        <v>18</v>
      </c>
      <c r="G132" s="21" t="s">
        <v>18</v>
      </c>
      <c r="H132" s="171">
        <f>200475*117/100</f>
        <v>234555.75</v>
      </c>
      <c r="I132" s="171">
        <f>200475*117/100</f>
        <v>234555.75</v>
      </c>
      <c r="J132" s="7" t="s">
        <v>20</v>
      </c>
      <c r="K132" s="310"/>
      <c r="L132" s="320"/>
      <c r="M132" s="313"/>
    </row>
    <row r="133" spans="1:13" ht="14.25" x14ac:dyDescent="0.2">
      <c r="A133" s="302"/>
      <c r="B133" s="303"/>
      <c r="C133" s="304"/>
      <c r="D133" s="304"/>
      <c r="E133" s="304"/>
      <c r="F133" s="304"/>
      <c r="G133" s="304"/>
      <c r="H133" s="304"/>
      <c r="I133" s="304"/>
      <c r="J133" s="304"/>
      <c r="K133" s="304"/>
      <c r="L133" s="304"/>
      <c r="M133" s="305"/>
    </row>
    <row r="134" spans="1:13" ht="15.75" x14ac:dyDescent="0.2">
      <c r="A134" s="298" t="s">
        <v>1021</v>
      </c>
      <c r="B134" s="299"/>
      <c r="C134" s="299"/>
      <c r="D134" s="299"/>
      <c r="E134" s="299"/>
      <c r="F134" s="299"/>
      <c r="G134" s="299"/>
      <c r="H134" s="299"/>
      <c r="I134" s="299"/>
      <c r="J134" s="299"/>
      <c r="K134" s="299"/>
      <c r="L134" s="299"/>
      <c r="M134" s="300"/>
    </row>
    <row r="135" spans="1:13" ht="25.5" x14ac:dyDescent="0.2">
      <c r="A135" s="306">
        <v>19</v>
      </c>
      <c r="B135" s="308" t="s">
        <v>1041</v>
      </c>
      <c r="C135" s="308" t="s">
        <v>997</v>
      </c>
      <c r="D135" s="67" t="s">
        <v>290</v>
      </c>
      <c r="E135" s="68">
        <v>100</v>
      </c>
      <c r="F135" s="69" t="s">
        <v>18</v>
      </c>
      <c r="G135" s="69" t="s">
        <v>18</v>
      </c>
      <c r="H135" s="176">
        <f>6000*117/100</f>
        <v>7020</v>
      </c>
      <c r="I135" s="176">
        <f>6000*117/100</f>
        <v>7020</v>
      </c>
      <c r="J135" s="67" t="s">
        <v>20</v>
      </c>
      <c r="K135" s="310" t="s">
        <v>1102</v>
      </c>
      <c r="L135" s="320" t="s">
        <v>926</v>
      </c>
      <c r="M135" s="313" t="s">
        <v>1042</v>
      </c>
    </row>
    <row r="136" spans="1:13" ht="25.5" x14ac:dyDescent="0.2">
      <c r="A136" s="306"/>
      <c r="B136" s="308"/>
      <c r="C136" s="308"/>
      <c r="D136" s="184" t="s">
        <v>355</v>
      </c>
      <c r="E136" s="178">
        <v>90</v>
      </c>
      <c r="F136" s="179" t="s">
        <v>18</v>
      </c>
      <c r="G136" s="179" t="s">
        <v>18</v>
      </c>
      <c r="H136" s="185">
        <f>10000*117/100</f>
        <v>11700</v>
      </c>
      <c r="I136" s="185">
        <f>10000*117/100</f>
        <v>11700</v>
      </c>
      <c r="J136" s="184" t="s">
        <v>20</v>
      </c>
      <c r="K136" s="310"/>
      <c r="L136" s="320"/>
      <c r="M136" s="313"/>
    </row>
    <row r="137" spans="1:13" ht="25.5" x14ac:dyDescent="0.2">
      <c r="A137" s="306"/>
      <c r="B137" s="308"/>
      <c r="C137" s="308"/>
      <c r="D137" s="7" t="s">
        <v>291</v>
      </c>
      <c r="E137" s="20">
        <v>80</v>
      </c>
      <c r="F137" s="21" t="s">
        <v>18</v>
      </c>
      <c r="G137" s="21" t="s">
        <v>18</v>
      </c>
      <c r="H137" s="171">
        <f>10833*117/100</f>
        <v>12674.61</v>
      </c>
      <c r="I137" s="171">
        <f>10833*117/100</f>
        <v>12674.61</v>
      </c>
      <c r="J137" s="7" t="s">
        <v>20</v>
      </c>
      <c r="K137" s="310"/>
      <c r="L137" s="320"/>
      <c r="M137" s="313"/>
    </row>
    <row r="138" spans="1:13" ht="14.25" x14ac:dyDescent="0.2">
      <c r="A138" s="306"/>
      <c r="B138" s="308"/>
      <c r="C138" s="308"/>
      <c r="D138" s="7" t="s">
        <v>1040</v>
      </c>
      <c r="E138" s="20">
        <v>70</v>
      </c>
      <c r="F138" s="21" t="s">
        <v>18</v>
      </c>
      <c r="G138" s="21" t="s">
        <v>18</v>
      </c>
      <c r="H138" s="171">
        <f>20000*117/100</f>
        <v>23400</v>
      </c>
      <c r="I138" s="171">
        <f>20000*117/100</f>
        <v>23400</v>
      </c>
      <c r="J138" s="7" t="s">
        <v>20</v>
      </c>
      <c r="K138" s="310"/>
      <c r="L138" s="320"/>
      <c r="M138" s="313"/>
    </row>
    <row r="139" spans="1:13" ht="14.25" x14ac:dyDescent="0.2">
      <c r="A139" s="302"/>
      <c r="B139" s="303"/>
      <c r="C139" s="304"/>
      <c r="D139" s="304"/>
      <c r="E139" s="304"/>
      <c r="F139" s="304"/>
      <c r="G139" s="304"/>
      <c r="H139" s="304"/>
      <c r="I139" s="304"/>
      <c r="J139" s="304"/>
      <c r="K139" s="304"/>
      <c r="L139" s="304"/>
      <c r="M139" s="305"/>
    </row>
    <row r="140" spans="1:13" ht="15.75" x14ac:dyDescent="0.2">
      <c r="A140" s="298" t="s">
        <v>1022</v>
      </c>
      <c r="B140" s="299"/>
      <c r="C140" s="299"/>
      <c r="D140" s="299"/>
      <c r="E140" s="299"/>
      <c r="F140" s="299"/>
      <c r="G140" s="299"/>
      <c r="H140" s="299"/>
      <c r="I140" s="299"/>
      <c r="J140" s="299"/>
      <c r="K140" s="299"/>
      <c r="L140" s="299"/>
      <c r="M140" s="300"/>
    </row>
    <row r="141" spans="1:13" ht="33.6" customHeight="1" x14ac:dyDescent="0.2">
      <c r="A141" s="306">
        <v>20</v>
      </c>
      <c r="B141" s="308" t="s">
        <v>1039</v>
      </c>
      <c r="C141" s="308" t="s">
        <v>997</v>
      </c>
      <c r="D141" s="17" t="s">
        <v>290</v>
      </c>
      <c r="E141" s="18">
        <v>100</v>
      </c>
      <c r="F141" s="19" t="s">
        <v>18</v>
      </c>
      <c r="G141" s="19" t="s">
        <v>18</v>
      </c>
      <c r="H141" s="177">
        <f>9000*117/100</f>
        <v>10530</v>
      </c>
      <c r="I141" s="177">
        <f>9000*117/100</f>
        <v>10530</v>
      </c>
      <c r="J141" s="17" t="s">
        <v>20</v>
      </c>
      <c r="K141" s="310" t="s">
        <v>426</v>
      </c>
      <c r="L141" s="320" t="s">
        <v>926</v>
      </c>
      <c r="M141" s="313" t="s">
        <v>1043</v>
      </c>
    </row>
    <row r="142" spans="1:13" ht="25.5" x14ac:dyDescent="0.2">
      <c r="A142" s="306"/>
      <c r="B142" s="308"/>
      <c r="C142" s="308"/>
      <c r="D142" s="184" t="s">
        <v>355</v>
      </c>
      <c r="E142" s="178">
        <v>72</v>
      </c>
      <c r="F142" s="179" t="s">
        <v>18</v>
      </c>
      <c r="G142" s="179" t="s">
        <v>18</v>
      </c>
      <c r="H142" s="185">
        <f>15000*117/100</f>
        <v>17550</v>
      </c>
      <c r="I142" s="185">
        <f>15000*117/100</f>
        <v>17550</v>
      </c>
      <c r="J142" s="184" t="s">
        <v>20</v>
      </c>
      <c r="K142" s="310"/>
      <c r="L142" s="320"/>
      <c r="M142" s="313"/>
    </row>
    <row r="143" spans="1:13" ht="25.5" x14ac:dyDescent="0.2">
      <c r="A143" s="306"/>
      <c r="B143" s="308"/>
      <c r="C143" s="308"/>
      <c r="D143" s="180" t="s">
        <v>291</v>
      </c>
      <c r="E143" s="203">
        <v>80</v>
      </c>
      <c r="F143" s="204" t="s">
        <v>18</v>
      </c>
      <c r="G143" s="204" t="s">
        <v>18</v>
      </c>
      <c r="H143" s="205">
        <f>19821*117/100</f>
        <v>23190.57</v>
      </c>
      <c r="I143" s="205">
        <f>19821*117/100</f>
        <v>23190.57</v>
      </c>
      <c r="J143" s="180" t="s">
        <v>20</v>
      </c>
      <c r="K143" s="310"/>
      <c r="L143" s="320"/>
      <c r="M143" s="313"/>
    </row>
    <row r="144" spans="1:13" ht="14.25" x14ac:dyDescent="0.2">
      <c r="A144" s="306"/>
      <c r="B144" s="308"/>
      <c r="C144" s="308"/>
      <c r="D144" s="7" t="s">
        <v>1040</v>
      </c>
      <c r="E144" s="20">
        <v>70</v>
      </c>
      <c r="F144" s="21" t="s">
        <v>18</v>
      </c>
      <c r="G144" s="21" t="s">
        <v>18</v>
      </c>
      <c r="H144" s="171">
        <f>45000*117/100</f>
        <v>52650</v>
      </c>
      <c r="I144" s="171">
        <f>45000*117/100</f>
        <v>52650</v>
      </c>
      <c r="J144" s="7" t="s">
        <v>20</v>
      </c>
      <c r="K144" s="310"/>
      <c r="L144" s="320"/>
      <c r="M144" s="313"/>
    </row>
    <row r="145" spans="1:13" ht="14.25" x14ac:dyDescent="0.2">
      <c r="A145" s="302"/>
      <c r="B145" s="303"/>
      <c r="C145" s="304"/>
      <c r="D145" s="304"/>
      <c r="E145" s="304"/>
      <c r="F145" s="304"/>
      <c r="G145" s="304"/>
      <c r="H145" s="304"/>
      <c r="I145" s="304"/>
      <c r="J145" s="304"/>
      <c r="K145" s="304"/>
      <c r="L145" s="304"/>
      <c r="M145" s="305"/>
    </row>
    <row r="146" spans="1:13" ht="15.75" x14ac:dyDescent="0.2">
      <c r="A146" s="298" t="s">
        <v>1032</v>
      </c>
      <c r="B146" s="299"/>
      <c r="C146" s="299"/>
      <c r="D146" s="299"/>
      <c r="E146" s="299"/>
      <c r="F146" s="299"/>
      <c r="G146" s="299"/>
      <c r="H146" s="299"/>
      <c r="I146" s="299"/>
      <c r="J146" s="299"/>
      <c r="K146" s="299"/>
      <c r="L146" s="299"/>
      <c r="M146" s="300"/>
    </row>
    <row r="147" spans="1:13" ht="25.5" x14ac:dyDescent="0.2">
      <c r="A147" s="306">
        <v>21</v>
      </c>
      <c r="B147" s="308" t="s">
        <v>1044</v>
      </c>
      <c r="C147" s="308" t="s">
        <v>997</v>
      </c>
      <c r="D147" s="17" t="s">
        <v>290</v>
      </c>
      <c r="E147" s="18">
        <v>100</v>
      </c>
      <c r="F147" s="19" t="s">
        <v>18</v>
      </c>
      <c r="G147" s="19" t="s">
        <v>18</v>
      </c>
      <c r="H147" s="177">
        <f>23500*117/100</f>
        <v>27495</v>
      </c>
      <c r="I147" s="177">
        <f>23500*117/100</f>
        <v>27495</v>
      </c>
      <c r="J147" s="17" t="s">
        <v>20</v>
      </c>
      <c r="K147" s="310" t="s">
        <v>426</v>
      </c>
      <c r="L147" s="320" t="s">
        <v>926</v>
      </c>
      <c r="M147" s="313" t="s">
        <v>1045</v>
      </c>
    </row>
    <row r="148" spans="1:13" ht="25.5" x14ac:dyDescent="0.2">
      <c r="A148" s="306"/>
      <c r="B148" s="308"/>
      <c r="C148" s="308"/>
      <c r="D148" s="184" t="s">
        <v>355</v>
      </c>
      <c r="E148" s="178">
        <v>72</v>
      </c>
      <c r="F148" s="179" t="s">
        <v>18</v>
      </c>
      <c r="G148" s="179" t="s">
        <v>18</v>
      </c>
      <c r="H148" s="185">
        <f>35000*117/100</f>
        <v>40950</v>
      </c>
      <c r="I148" s="185">
        <f>35000*117/100</f>
        <v>40950</v>
      </c>
      <c r="J148" s="184" t="s">
        <v>20</v>
      </c>
      <c r="K148" s="310"/>
      <c r="L148" s="320"/>
      <c r="M148" s="313"/>
    </row>
    <row r="149" spans="1:13" ht="25.5" x14ac:dyDescent="0.2">
      <c r="A149" s="306"/>
      <c r="B149" s="308"/>
      <c r="C149" s="308"/>
      <c r="D149" s="7" t="s">
        <v>291</v>
      </c>
      <c r="E149" s="20">
        <v>80</v>
      </c>
      <c r="F149" s="21" t="s">
        <v>18</v>
      </c>
      <c r="G149" s="21" t="s">
        <v>18</v>
      </c>
      <c r="H149" s="171">
        <f>35494*117/100</f>
        <v>41527.980000000003</v>
      </c>
      <c r="I149" s="171">
        <f>35494*117/100</f>
        <v>41527.980000000003</v>
      </c>
      <c r="J149" s="7" t="s">
        <v>20</v>
      </c>
      <c r="K149" s="310"/>
      <c r="L149" s="320"/>
      <c r="M149" s="313"/>
    </row>
    <row r="150" spans="1:13" ht="14.25" x14ac:dyDescent="0.2">
      <c r="A150" s="306"/>
      <c r="B150" s="308"/>
      <c r="C150" s="308"/>
      <c r="D150" s="7" t="s">
        <v>1040</v>
      </c>
      <c r="E150" s="20">
        <v>70</v>
      </c>
      <c r="F150" s="21" t="s">
        <v>18</v>
      </c>
      <c r="G150" s="21" t="s">
        <v>18</v>
      </c>
      <c r="H150" s="171">
        <f>80000*117/100</f>
        <v>93600</v>
      </c>
      <c r="I150" s="171">
        <f>80000*117/100</f>
        <v>93600</v>
      </c>
      <c r="J150" s="7" t="s">
        <v>20</v>
      </c>
      <c r="K150" s="310"/>
      <c r="L150" s="320"/>
      <c r="M150" s="313"/>
    </row>
    <row r="151" spans="1:13" ht="14.25" x14ac:dyDescent="0.2">
      <c r="A151" s="302"/>
      <c r="B151" s="303"/>
      <c r="C151" s="304"/>
      <c r="D151" s="304"/>
      <c r="E151" s="304"/>
      <c r="F151" s="304"/>
      <c r="G151" s="304"/>
      <c r="H151" s="304"/>
      <c r="I151" s="304"/>
      <c r="J151" s="304"/>
      <c r="K151" s="304"/>
      <c r="L151" s="304"/>
      <c r="M151" s="305"/>
    </row>
    <row r="152" spans="1:13" ht="15.75" x14ac:dyDescent="0.2">
      <c r="A152" s="298" t="s">
        <v>1036</v>
      </c>
      <c r="B152" s="299"/>
      <c r="C152" s="299"/>
      <c r="D152" s="299"/>
      <c r="E152" s="299"/>
      <c r="F152" s="299"/>
      <c r="G152" s="299"/>
      <c r="H152" s="299"/>
      <c r="I152" s="299"/>
      <c r="J152" s="299"/>
      <c r="K152" s="299"/>
      <c r="L152" s="299"/>
      <c r="M152" s="300"/>
    </row>
    <row r="153" spans="1:13" ht="25.5" x14ac:dyDescent="0.2">
      <c r="A153" s="306">
        <v>22</v>
      </c>
      <c r="B153" s="308" t="s">
        <v>1047</v>
      </c>
      <c r="C153" s="308" t="s">
        <v>997</v>
      </c>
      <c r="D153" s="184" t="s">
        <v>355</v>
      </c>
      <c r="E153" s="178">
        <v>82</v>
      </c>
      <c r="F153" s="179" t="s">
        <v>18</v>
      </c>
      <c r="G153" s="179" t="s">
        <v>18</v>
      </c>
      <c r="H153" s="185">
        <f>39000*117/100</f>
        <v>45630</v>
      </c>
      <c r="I153" s="185">
        <f>39000*117/100</f>
        <v>45630</v>
      </c>
      <c r="J153" s="184" t="s">
        <v>20</v>
      </c>
      <c r="K153" s="310" t="s">
        <v>426</v>
      </c>
      <c r="L153" s="320" t="s">
        <v>926</v>
      </c>
      <c r="M153" s="313" t="s">
        <v>1201</v>
      </c>
    </row>
    <row r="154" spans="1:13" ht="25.5" x14ac:dyDescent="0.2">
      <c r="A154" s="306"/>
      <c r="B154" s="308"/>
      <c r="C154" s="308"/>
      <c r="D154" s="17" t="s">
        <v>290</v>
      </c>
      <c r="E154" s="18">
        <v>90</v>
      </c>
      <c r="F154" s="19" t="s">
        <v>18</v>
      </c>
      <c r="G154" s="19" t="s">
        <v>18</v>
      </c>
      <c r="H154" s="177">
        <f>39500*117/100</f>
        <v>46215</v>
      </c>
      <c r="I154" s="177">
        <f>39500*117/100</f>
        <v>46215</v>
      </c>
      <c r="J154" s="17" t="s">
        <v>20</v>
      </c>
      <c r="K154" s="310"/>
      <c r="L154" s="320"/>
      <c r="M154" s="313"/>
    </row>
    <row r="155" spans="1:13" ht="14.25" x14ac:dyDescent="0.2">
      <c r="A155" s="306"/>
      <c r="B155" s="308"/>
      <c r="C155" s="308"/>
      <c r="D155" s="7" t="s">
        <v>1040</v>
      </c>
      <c r="E155" s="20">
        <v>80</v>
      </c>
      <c r="F155" s="21" t="s">
        <v>18</v>
      </c>
      <c r="G155" s="21" t="s">
        <v>18</v>
      </c>
      <c r="H155" s="171">
        <f>40000*117/100</f>
        <v>46800</v>
      </c>
      <c r="I155" s="171">
        <f>40000*117/100</f>
        <v>46800</v>
      </c>
      <c r="J155" s="7" t="s">
        <v>20</v>
      </c>
      <c r="K155" s="310"/>
      <c r="L155" s="320"/>
      <c r="M155" s="313"/>
    </row>
    <row r="156" spans="1:13" ht="25.5" x14ac:dyDescent="0.2">
      <c r="A156" s="306"/>
      <c r="B156" s="308"/>
      <c r="C156" s="308"/>
      <c r="D156" s="7" t="s">
        <v>291</v>
      </c>
      <c r="E156" s="20">
        <v>70</v>
      </c>
      <c r="F156" s="21" t="s">
        <v>18</v>
      </c>
      <c r="G156" s="21" t="s">
        <v>18</v>
      </c>
      <c r="H156" s="171">
        <f>62198*117/100</f>
        <v>72771.66</v>
      </c>
      <c r="I156" s="171">
        <f>62198*117/100</f>
        <v>72771.66</v>
      </c>
      <c r="J156" s="7" t="s">
        <v>20</v>
      </c>
      <c r="K156" s="310"/>
      <c r="L156" s="320"/>
      <c r="M156" s="313"/>
    </row>
    <row r="157" spans="1:13" ht="14.25" x14ac:dyDescent="0.2">
      <c r="A157" s="302"/>
      <c r="B157" s="303"/>
      <c r="C157" s="304"/>
      <c r="D157" s="304"/>
      <c r="E157" s="304"/>
      <c r="F157" s="304"/>
      <c r="G157" s="304"/>
      <c r="H157" s="304"/>
      <c r="I157" s="304"/>
      <c r="J157" s="304"/>
      <c r="K157" s="304"/>
      <c r="L157" s="304"/>
      <c r="M157" s="305"/>
    </row>
    <row r="158" spans="1:13" ht="15.75" x14ac:dyDescent="0.2">
      <c r="A158" s="298" t="s">
        <v>1037</v>
      </c>
      <c r="B158" s="299"/>
      <c r="C158" s="299"/>
      <c r="D158" s="299"/>
      <c r="E158" s="299"/>
      <c r="F158" s="299"/>
      <c r="G158" s="299"/>
      <c r="H158" s="299"/>
      <c r="I158" s="299"/>
      <c r="J158" s="299"/>
      <c r="K158" s="299"/>
      <c r="L158" s="299"/>
      <c r="M158" s="300"/>
    </row>
    <row r="159" spans="1:13" ht="27.6" customHeight="1" x14ac:dyDescent="0.2">
      <c r="A159" s="306">
        <v>23</v>
      </c>
      <c r="B159" s="308" t="s">
        <v>1049</v>
      </c>
      <c r="C159" s="308" t="s">
        <v>1048</v>
      </c>
      <c r="D159" s="17" t="s">
        <v>1052</v>
      </c>
      <c r="E159" s="18">
        <v>100</v>
      </c>
      <c r="F159" s="19" t="s">
        <v>18</v>
      </c>
      <c r="G159" s="19" t="s">
        <v>18</v>
      </c>
      <c r="H159" s="177">
        <f>86000*117/100</f>
        <v>100620</v>
      </c>
      <c r="I159" s="177">
        <f>86000*117/100</f>
        <v>100620</v>
      </c>
      <c r="J159" s="17" t="s">
        <v>20</v>
      </c>
      <c r="K159" s="310" t="s">
        <v>426</v>
      </c>
      <c r="L159" s="320" t="s">
        <v>926</v>
      </c>
      <c r="M159" s="313"/>
    </row>
    <row r="160" spans="1:13" ht="27.6" customHeight="1" x14ac:dyDescent="0.2">
      <c r="A160" s="306"/>
      <c r="B160" s="308"/>
      <c r="C160" s="308"/>
      <c r="D160" s="184" t="s">
        <v>1050</v>
      </c>
      <c r="E160" s="178">
        <v>90</v>
      </c>
      <c r="F160" s="179" t="s">
        <v>18</v>
      </c>
      <c r="G160" s="179" t="s">
        <v>18</v>
      </c>
      <c r="H160" s="185">
        <f>91300*117/100</f>
        <v>106821</v>
      </c>
      <c r="I160" s="185">
        <f>91300*117/100</f>
        <v>106821</v>
      </c>
      <c r="J160" s="184" t="s">
        <v>20</v>
      </c>
      <c r="K160" s="310"/>
      <c r="L160" s="320"/>
      <c r="M160" s="313"/>
    </row>
    <row r="161" spans="1:13" ht="32.450000000000003" customHeight="1" x14ac:dyDescent="0.2">
      <c r="A161" s="306"/>
      <c r="B161" s="308"/>
      <c r="C161" s="308"/>
      <c r="D161" s="7" t="s">
        <v>1051</v>
      </c>
      <c r="E161" s="20">
        <v>80</v>
      </c>
      <c r="F161" s="21" t="s">
        <v>18</v>
      </c>
      <c r="G161" s="21" t="s">
        <v>18</v>
      </c>
      <c r="H161" s="171">
        <f>91400*117/100</f>
        <v>106938</v>
      </c>
      <c r="I161" s="171">
        <f>91400*117/100</f>
        <v>106938</v>
      </c>
      <c r="J161" s="7" t="s">
        <v>20</v>
      </c>
      <c r="K161" s="310"/>
      <c r="L161" s="320"/>
      <c r="M161" s="313"/>
    </row>
    <row r="162" spans="1:13" ht="25.5" x14ac:dyDescent="0.2">
      <c r="A162" s="306"/>
      <c r="B162" s="308"/>
      <c r="C162" s="308"/>
      <c r="D162" s="7" t="s">
        <v>1053</v>
      </c>
      <c r="E162" s="20">
        <v>70</v>
      </c>
      <c r="F162" s="21" t="s">
        <v>18</v>
      </c>
      <c r="G162" s="21" t="s">
        <v>18</v>
      </c>
      <c r="H162" s="171">
        <f>135000*117/100</f>
        <v>157950</v>
      </c>
      <c r="I162" s="171">
        <f>135000*117/100</f>
        <v>157950</v>
      </c>
      <c r="J162" s="7" t="s">
        <v>20</v>
      </c>
      <c r="K162" s="310"/>
      <c r="L162" s="320"/>
      <c r="M162" s="313"/>
    </row>
    <row r="163" spans="1:13" ht="14.25" x14ac:dyDescent="0.2">
      <c r="A163" s="302"/>
      <c r="B163" s="303"/>
      <c r="C163" s="304"/>
      <c r="D163" s="304"/>
      <c r="E163" s="304"/>
      <c r="F163" s="304"/>
      <c r="G163" s="304"/>
      <c r="H163" s="304"/>
      <c r="I163" s="304"/>
      <c r="J163" s="304"/>
      <c r="K163" s="304"/>
      <c r="L163" s="304"/>
      <c r="M163" s="305"/>
    </row>
    <row r="164" spans="1:13" ht="15.75" x14ac:dyDescent="0.2">
      <c r="A164" s="298" t="s">
        <v>1038</v>
      </c>
      <c r="B164" s="299"/>
      <c r="C164" s="299"/>
      <c r="D164" s="299"/>
      <c r="E164" s="299"/>
      <c r="F164" s="299"/>
      <c r="G164" s="299"/>
      <c r="H164" s="299"/>
      <c r="I164" s="299"/>
      <c r="J164" s="299"/>
      <c r="K164" s="299"/>
      <c r="L164" s="299"/>
      <c r="M164" s="300"/>
    </row>
    <row r="165" spans="1:13" ht="51" x14ac:dyDescent="0.2">
      <c r="A165" s="306">
        <v>24</v>
      </c>
      <c r="B165" s="308" t="s">
        <v>1055</v>
      </c>
      <c r="C165" s="308" t="s">
        <v>1048</v>
      </c>
      <c r="D165" s="17" t="s">
        <v>1056</v>
      </c>
      <c r="E165" s="18">
        <v>100</v>
      </c>
      <c r="F165" s="19" t="s">
        <v>18</v>
      </c>
      <c r="G165" s="19" t="s">
        <v>18</v>
      </c>
      <c r="H165" s="19">
        <f>350000*117/100</f>
        <v>409500</v>
      </c>
      <c r="I165" s="19">
        <f>350000*117/100</f>
        <v>409500</v>
      </c>
      <c r="J165" s="17" t="s">
        <v>20</v>
      </c>
      <c r="K165" s="310" t="s">
        <v>426</v>
      </c>
      <c r="L165" s="320" t="s">
        <v>926</v>
      </c>
      <c r="M165" s="313"/>
    </row>
    <row r="166" spans="1:13" ht="25.5" x14ac:dyDescent="0.2">
      <c r="A166" s="306"/>
      <c r="B166" s="308"/>
      <c r="C166" s="308"/>
      <c r="D166" s="7" t="s">
        <v>19</v>
      </c>
      <c r="E166" s="20">
        <v>90</v>
      </c>
      <c r="F166" s="21" t="s">
        <v>18</v>
      </c>
      <c r="G166" s="21" t="s">
        <v>18</v>
      </c>
      <c r="H166" s="21">
        <f>364000*117/100</f>
        <v>425880</v>
      </c>
      <c r="I166" s="21">
        <f>364000*117/100</f>
        <v>425880</v>
      </c>
      <c r="J166" s="7" t="s">
        <v>20</v>
      </c>
      <c r="K166" s="310"/>
      <c r="L166" s="320"/>
      <c r="M166" s="313"/>
    </row>
    <row r="167" spans="1:13" ht="38.25" x14ac:dyDescent="0.2">
      <c r="A167" s="306"/>
      <c r="B167" s="308"/>
      <c r="C167" s="308"/>
      <c r="D167" s="7" t="s">
        <v>442</v>
      </c>
      <c r="E167" s="20">
        <v>80</v>
      </c>
      <c r="F167" s="21" t="s">
        <v>18</v>
      </c>
      <c r="G167" s="21" t="s">
        <v>18</v>
      </c>
      <c r="H167" s="21">
        <f>392000*117/100</f>
        <v>458640</v>
      </c>
      <c r="I167" s="21">
        <f>392000*117/100</f>
        <v>458640</v>
      </c>
      <c r="J167" s="7" t="s">
        <v>20</v>
      </c>
      <c r="K167" s="310"/>
      <c r="L167" s="320"/>
      <c r="M167" s="313"/>
    </row>
    <row r="168" spans="1:13" ht="25.5" x14ac:dyDescent="0.2">
      <c r="A168" s="306"/>
      <c r="B168" s="308"/>
      <c r="C168" s="308"/>
      <c r="D168" s="7" t="s">
        <v>1057</v>
      </c>
      <c r="E168" s="20">
        <v>70</v>
      </c>
      <c r="F168" s="21" t="s">
        <v>18</v>
      </c>
      <c r="G168" s="21" t="s">
        <v>18</v>
      </c>
      <c r="H168" s="21">
        <f>476000*117/100</f>
        <v>556920</v>
      </c>
      <c r="I168" s="21">
        <f>476000*117/100</f>
        <v>556920</v>
      </c>
      <c r="J168" s="7" t="s">
        <v>20</v>
      </c>
      <c r="K168" s="310"/>
      <c r="L168" s="320"/>
      <c r="M168" s="313"/>
    </row>
    <row r="169" spans="1:13" ht="14.25" x14ac:dyDescent="0.2">
      <c r="A169" s="302"/>
      <c r="B169" s="303"/>
      <c r="C169" s="304"/>
      <c r="D169" s="304"/>
      <c r="E169" s="304"/>
      <c r="F169" s="304"/>
      <c r="G169" s="304"/>
      <c r="H169" s="304"/>
      <c r="I169" s="304"/>
      <c r="J169" s="304"/>
      <c r="K169" s="304"/>
      <c r="L169" s="304"/>
      <c r="M169" s="305"/>
    </row>
    <row r="170" spans="1:13" ht="15.75" x14ac:dyDescent="0.2">
      <c r="A170" s="298" t="s">
        <v>1046</v>
      </c>
      <c r="B170" s="299"/>
      <c r="C170" s="299"/>
      <c r="D170" s="299"/>
      <c r="E170" s="299"/>
      <c r="F170" s="299"/>
      <c r="G170" s="299"/>
      <c r="H170" s="299"/>
      <c r="I170" s="299"/>
      <c r="J170" s="299"/>
      <c r="K170" s="299"/>
      <c r="L170" s="299"/>
      <c r="M170" s="300"/>
    </row>
    <row r="171" spans="1:13" ht="23.45" customHeight="1" x14ac:dyDescent="0.2">
      <c r="A171" s="306">
        <v>25</v>
      </c>
      <c r="B171" s="308" t="s">
        <v>1060</v>
      </c>
      <c r="C171" s="308" t="s">
        <v>1061</v>
      </c>
      <c r="D171" s="17" t="s">
        <v>1062</v>
      </c>
      <c r="E171" s="18">
        <v>100</v>
      </c>
      <c r="F171" s="19" t="s">
        <v>18</v>
      </c>
      <c r="G171" s="19" t="s">
        <v>18</v>
      </c>
      <c r="H171" s="19">
        <f>5000*117/100</f>
        <v>5850</v>
      </c>
      <c r="I171" s="19">
        <f>H171*12</f>
        <v>70200</v>
      </c>
      <c r="J171" s="17" t="s">
        <v>20</v>
      </c>
      <c r="K171" s="310" t="s">
        <v>426</v>
      </c>
      <c r="L171" s="320" t="s">
        <v>926</v>
      </c>
      <c r="M171" s="313">
        <v>1829300783</v>
      </c>
    </row>
    <row r="172" spans="1:13" ht="28.9" customHeight="1" x14ac:dyDescent="0.2">
      <c r="A172" s="306"/>
      <c r="B172" s="308"/>
      <c r="C172" s="308"/>
      <c r="D172" s="7" t="s">
        <v>1063</v>
      </c>
      <c r="E172" s="20">
        <v>90</v>
      </c>
      <c r="F172" s="21" t="s">
        <v>18</v>
      </c>
      <c r="G172" s="21" t="s">
        <v>18</v>
      </c>
      <c r="H172" s="21">
        <f>17550*117/100</f>
        <v>20533.5</v>
      </c>
      <c r="I172" s="21">
        <f>H172*12</f>
        <v>246402</v>
      </c>
      <c r="J172" s="7" t="s">
        <v>20</v>
      </c>
      <c r="K172" s="310"/>
      <c r="L172" s="320"/>
      <c r="M172" s="313"/>
    </row>
    <row r="173" spans="1:13" ht="25.5" x14ac:dyDescent="0.2">
      <c r="A173" s="306"/>
      <c r="B173" s="308"/>
      <c r="C173" s="308"/>
      <c r="D173" s="7" t="s">
        <v>960</v>
      </c>
      <c r="E173" s="20">
        <v>80</v>
      </c>
      <c r="F173" s="21" t="s">
        <v>18</v>
      </c>
      <c r="G173" s="21" t="s">
        <v>18</v>
      </c>
      <c r="H173" s="21">
        <f>23400*117/100</f>
        <v>27378</v>
      </c>
      <c r="I173" s="21">
        <f t="shared" ref="I173:I174" si="1">H173*12</f>
        <v>328536</v>
      </c>
      <c r="J173" s="7" t="s">
        <v>20</v>
      </c>
      <c r="K173" s="310"/>
      <c r="L173" s="320"/>
      <c r="M173" s="313"/>
    </row>
    <row r="174" spans="1:13" ht="25.5" x14ac:dyDescent="0.2">
      <c r="A174" s="306"/>
      <c r="B174" s="308"/>
      <c r="C174" s="308"/>
      <c r="D174" s="7" t="s">
        <v>962</v>
      </c>
      <c r="E174" s="20">
        <v>80</v>
      </c>
      <c r="F174" s="21" t="s">
        <v>18</v>
      </c>
      <c r="G174" s="21" t="s">
        <v>18</v>
      </c>
      <c r="H174" s="21">
        <f>23400*117/100</f>
        <v>27378</v>
      </c>
      <c r="I174" s="21">
        <f t="shared" si="1"/>
        <v>328536</v>
      </c>
      <c r="J174" s="7" t="s">
        <v>20</v>
      </c>
      <c r="K174" s="310"/>
      <c r="L174" s="320"/>
      <c r="M174" s="313"/>
    </row>
    <row r="175" spans="1:13" ht="14.25" x14ac:dyDescent="0.2">
      <c r="A175" s="302"/>
      <c r="B175" s="303"/>
      <c r="C175" s="304"/>
      <c r="D175" s="304"/>
      <c r="E175" s="304"/>
      <c r="F175" s="304"/>
      <c r="G175" s="304"/>
      <c r="H175" s="304"/>
      <c r="I175" s="304"/>
      <c r="J175" s="304"/>
      <c r="K175" s="304"/>
      <c r="L175" s="304"/>
      <c r="M175" s="305"/>
    </row>
    <row r="176" spans="1:13" ht="15.75" x14ac:dyDescent="0.2">
      <c r="A176" s="298" t="s">
        <v>1054</v>
      </c>
      <c r="B176" s="299"/>
      <c r="C176" s="299"/>
      <c r="D176" s="299"/>
      <c r="E176" s="299"/>
      <c r="F176" s="299"/>
      <c r="G176" s="299"/>
      <c r="H176" s="299"/>
      <c r="I176" s="299"/>
      <c r="J176" s="299"/>
      <c r="K176" s="299"/>
      <c r="L176" s="299"/>
      <c r="M176" s="300"/>
    </row>
    <row r="177" spans="1:13" ht="38.25" x14ac:dyDescent="0.2">
      <c r="A177" s="306">
        <v>26</v>
      </c>
      <c r="B177" s="308" t="s">
        <v>1065</v>
      </c>
      <c r="C177" s="308" t="s">
        <v>1066</v>
      </c>
      <c r="D177" s="17" t="s">
        <v>95</v>
      </c>
      <c r="E177" s="18">
        <v>100</v>
      </c>
      <c r="F177" s="19" t="s">
        <v>29</v>
      </c>
      <c r="G177" s="19" t="s">
        <v>1069</v>
      </c>
      <c r="H177" s="19">
        <f>180*117/100</f>
        <v>210.6</v>
      </c>
      <c r="I177" s="19">
        <f>H177*52*16</f>
        <v>175219.19999999998</v>
      </c>
      <c r="J177" s="17" t="s">
        <v>20</v>
      </c>
      <c r="K177" s="310" t="s">
        <v>426</v>
      </c>
      <c r="L177" s="320" t="s">
        <v>926</v>
      </c>
      <c r="M177" s="313"/>
    </row>
    <row r="178" spans="1:13" ht="38.25" x14ac:dyDescent="0.2">
      <c r="A178" s="306"/>
      <c r="B178" s="308"/>
      <c r="C178" s="308"/>
      <c r="D178" s="7" t="s">
        <v>878</v>
      </c>
      <c r="E178" s="20">
        <v>84</v>
      </c>
      <c r="F178" s="21" t="s">
        <v>29</v>
      </c>
      <c r="G178" s="21" t="s">
        <v>1069</v>
      </c>
      <c r="H178" s="21">
        <f>200*117/100</f>
        <v>234</v>
      </c>
      <c r="I178" s="21">
        <f t="shared" ref="I178:I180" si="2">H178*52*16</f>
        <v>194688</v>
      </c>
      <c r="J178" s="7"/>
      <c r="K178" s="310"/>
      <c r="L178" s="320"/>
      <c r="M178" s="313"/>
    </row>
    <row r="179" spans="1:13" ht="38.25" x14ac:dyDescent="0.2">
      <c r="A179" s="306"/>
      <c r="B179" s="308"/>
      <c r="C179" s="308"/>
      <c r="D179" s="7" t="s">
        <v>1067</v>
      </c>
      <c r="E179" s="20">
        <v>72</v>
      </c>
      <c r="F179" s="21" t="s">
        <v>29</v>
      </c>
      <c r="G179" s="21" t="s">
        <v>1069</v>
      </c>
      <c r="H179" s="21">
        <f>200*117/100</f>
        <v>234</v>
      </c>
      <c r="I179" s="21">
        <f t="shared" si="2"/>
        <v>194688</v>
      </c>
      <c r="J179" s="7"/>
      <c r="K179" s="310"/>
      <c r="L179" s="320"/>
      <c r="M179" s="313"/>
    </row>
    <row r="180" spans="1:13" ht="38.25" x14ac:dyDescent="0.2">
      <c r="A180" s="306"/>
      <c r="B180" s="308"/>
      <c r="C180" s="308"/>
      <c r="D180" s="7" t="s">
        <v>1068</v>
      </c>
      <c r="E180" s="20">
        <v>62</v>
      </c>
      <c r="F180" s="21" t="s">
        <v>29</v>
      </c>
      <c r="G180" s="21" t="s">
        <v>1069</v>
      </c>
      <c r="H180" s="21">
        <f>300*117/100</f>
        <v>351</v>
      </c>
      <c r="I180" s="21">
        <f t="shared" si="2"/>
        <v>292032</v>
      </c>
      <c r="J180" s="7"/>
      <c r="K180" s="310"/>
      <c r="L180" s="320"/>
      <c r="M180" s="313"/>
    </row>
    <row r="181" spans="1:13" ht="14.25" x14ac:dyDescent="0.2">
      <c r="A181" s="302"/>
      <c r="B181" s="303"/>
      <c r="C181" s="304"/>
      <c r="D181" s="304"/>
      <c r="E181" s="304"/>
      <c r="F181" s="304"/>
      <c r="G181" s="304"/>
      <c r="H181" s="304"/>
      <c r="I181" s="304"/>
      <c r="J181" s="304"/>
      <c r="K181" s="304"/>
      <c r="L181" s="304"/>
      <c r="M181" s="305"/>
    </row>
    <row r="182" spans="1:13" ht="15.75" x14ac:dyDescent="0.2">
      <c r="A182" s="298" t="s">
        <v>1059</v>
      </c>
      <c r="B182" s="299"/>
      <c r="C182" s="299"/>
      <c r="D182" s="299"/>
      <c r="E182" s="299"/>
      <c r="F182" s="299"/>
      <c r="G182" s="299"/>
      <c r="H182" s="299"/>
      <c r="I182" s="299"/>
      <c r="J182" s="299"/>
      <c r="K182" s="299"/>
      <c r="L182" s="299"/>
      <c r="M182" s="300"/>
    </row>
    <row r="183" spans="1:13" ht="38.25" x14ac:dyDescent="0.2">
      <c r="A183" s="306">
        <v>27</v>
      </c>
      <c r="B183" s="308" t="s">
        <v>1071</v>
      </c>
      <c r="C183" s="308" t="s">
        <v>1072</v>
      </c>
      <c r="D183" s="7" t="s">
        <v>1073</v>
      </c>
      <c r="E183" s="20">
        <v>88</v>
      </c>
      <c r="F183" s="21" t="s">
        <v>18</v>
      </c>
      <c r="G183" s="21" t="s">
        <v>18</v>
      </c>
      <c r="H183" s="21">
        <v>56511</v>
      </c>
      <c r="I183" s="21">
        <v>56511</v>
      </c>
      <c r="J183" s="7"/>
      <c r="K183" s="310" t="s">
        <v>426</v>
      </c>
      <c r="L183" s="320" t="s">
        <v>926</v>
      </c>
      <c r="M183" s="313" t="s">
        <v>1077</v>
      </c>
    </row>
    <row r="184" spans="1:13" ht="25.5" x14ac:dyDescent="0.2">
      <c r="A184" s="306"/>
      <c r="B184" s="308"/>
      <c r="C184" s="308"/>
      <c r="D184" s="17" t="s">
        <v>1076</v>
      </c>
      <c r="E184" s="18">
        <v>90</v>
      </c>
      <c r="F184" s="19" t="s">
        <v>18</v>
      </c>
      <c r="G184" s="19" t="s">
        <v>18</v>
      </c>
      <c r="H184" s="19">
        <v>64613.25</v>
      </c>
      <c r="I184" s="19">
        <v>64613.25</v>
      </c>
      <c r="J184" s="17" t="s">
        <v>20</v>
      </c>
      <c r="K184" s="310"/>
      <c r="L184" s="320"/>
      <c r="M184" s="313"/>
    </row>
    <row r="185" spans="1:13" ht="25.5" x14ac:dyDescent="0.2">
      <c r="A185" s="306"/>
      <c r="B185" s="308"/>
      <c r="C185" s="308"/>
      <c r="D185" s="7" t="s">
        <v>1075</v>
      </c>
      <c r="E185" s="20">
        <v>74</v>
      </c>
      <c r="F185" s="21" t="s">
        <v>18</v>
      </c>
      <c r="G185" s="21" t="s">
        <v>18</v>
      </c>
      <c r="H185" s="21">
        <v>67860</v>
      </c>
      <c r="I185" s="21">
        <v>67860</v>
      </c>
      <c r="J185" s="7"/>
      <c r="K185" s="310"/>
      <c r="L185" s="320"/>
      <c r="M185" s="313"/>
    </row>
    <row r="186" spans="1:13" ht="14.25" x14ac:dyDescent="0.2">
      <c r="A186" s="306"/>
      <c r="B186" s="308"/>
      <c r="C186" s="308"/>
      <c r="D186" s="7" t="s">
        <v>1074</v>
      </c>
      <c r="E186" s="20">
        <v>64</v>
      </c>
      <c r="F186" s="21" t="s">
        <v>18</v>
      </c>
      <c r="G186" s="21" t="s">
        <v>18</v>
      </c>
      <c r="H186" s="21">
        <v>78360.75</v>
      </c>
      <c r="I186" s="21">
        <v>78360.75</v>
      </c>
      <c r="J186" s="7"/>
      <c r="K186" s="310"/>
      <c r="L186" s="320"/>
      <c r="M186" s="313"/>
    </row>
    <row r="187" spans="1:13" ht="14.25" x14ac:dyDescent="0.2">
      <c r="A187" s="302"/>
      <c r="B187" s="303"/>
      <c r="C187" s="304"/>
      <c r="D187" s="304"/>
      <c r="E187" s="304"/>
      <c r="F187" s="304"/>
      <c r="G187" s="304"/>
      <c r="H187" s="304"/>
      <c r="I187" s="304"/>
      <c r="J187" s="304"/>
      <c r="K187" s="304"/>
      <c r="L187" s="304"/>
      <c r="M187" s="305"/>
    </row>
    <row r="188" spans="1:13" ht="15.75" x14ac:dyDescent="0.2">
      <c r="A188" s="298" t="s">
        <v>1064</v>
      </c>
      <c r="B188" s="299"/>
      <c r="C188" s="299"/>
      <c r="D188" s="299"/>
      <c r="E188" s="299"/>
      <c r="F188" s="299"/>
      <c r="G188" s="299"/>
      <c r="H188" s="299"/>
      <c r="I188" s="299"/>
      <c r="J188" s="299"/>
      <c r="K188" s="299"/>
      <c r="L188" s="299"/>
      <c r="M188" s="300"/>
    </row>
    <row r="189" spans="1:13" ht="78.75" x14ac:dyDescent="0.2">
      <c r="A189" s="306">
        <v>28</v>
      </c>
      <c r="B189" s="172" t="s">
        <v>1097</v>
      </c>
      <c r="C189" s="172" t="s">
        <v>146</v>
      </c>
      <c r="D189" s="17" t="s">
        <v>877</v>
      </c>
      <c r="E189" s="18">
        <v>100</v>
      </c>
      <c r="F189" s="19" t="s">
        <v>18</v>
      </c>
      <c r="G189" s="19" t="s">
        <v>18</v>
      </c>
      <c r="H189" s="19">
        <f>50000*117/100</f>
        <v>58500</v>
      </c>
      <c r="I189" s="19">
        <f>50000*117/100</f>
        <v>58500</v>
      </c>
      <c r="J189" s="17" t="s">
        <v>20</v>
      </c>
      <c r="K189" s="173" t="s">
        <v>1101</v>
      </c>
      <c r="L189" s="174" t="s">
        <v>926</v>
      </c>
      <c r="M189" s="175">
        <v>224001</v>
      </c>
    </row>
    <row r="190" spans="1:13" ht="32.450000000000003" customHeight="1" x14ac:dyDescent="0.2">
      <c r="A190" s="302"/>
      <c r="B190" s="303" t="s">
        <v>1081</v>
      </c>
      <c r="C190" s="304"/>
      <c r="D190" s="304"/>
      <c r="E190" s="304"/>
      <c r="F190" s="304"/>
      <c r="G190" s="304"/>
      <c r="H190" s="304"/>
      <c r="I190" s="304"/>
      <c r="J190" s="304"/>
      <c r="K190" s="304"/>
      <c r="L190" s="304"/>
      <c r="M190" s="305"/>
    </row>
    <row r="191" spans="1:13" ht="15.75" x14ac:dyDescent="0.2">
      <c r="A191" s="298" t="s">
        <v>1070</v>
      </c>
      <c r="B191" s="299"/>
      <c r="C191" s="299"/>
      <c r="D191" s="299"/>
      <c r="E191" s="299"/>
      <c r="F191" s="299"/>
      <c r="G191" s="299"/>
      <c r="H191" s="299"/>
      <c r="I191" s="299"/>
      <c r="J191" s="299"/>
      <c r="K191" s="299"/>
      <c r="L191" s="299"/>
      <c r="M191" s="300"/>
    </row>
    <row r="192" spans="1:13" ht="79.150000000000006" customHeight="1" x14ac:dyDescent="0.2">
      <c r="A192" s="306">
        <v>29</v>
      </c>
      <c r="B192" s="308" t="s">
        <v>1082</v>
      </c>
      <c r="C192" s="308" t="s">
        <v>1091</v>
      </c>
      <c r="D192" s="182" t="s">
        <v>1083</v>
      </c>
      <c r="E192" s="183">
        <v>100</v>
      </c>
      <c r="F192" s="336" t="s">
        <v>29</v>
      </c>
      <c r="G192" s="336" t="s">
        <v>379</v>
      </c>
      <c r="H192" s="181">
        <f>258*117/100</f>
        <v>301.86</v>
      </c>
      <c r="I192" s="181">
        <f>200*H192</f>
        <v>60372</v>
      </c>
      <c r="J192" s="182" t="s">
        <v>20</v>
      </c>
      <c r="K192" s="310" t="s">
        <v>1107</v>
      </c>
      <c r="L192" s="320" t="s">
        <v>926</v>
      </c>
      <c r="M192" s="313"/>
    </row>
    <row r="193" spans="1:13" ht="14.25" x14ac:dyDescent="0.2">
      <c r="A193" s="306"/>
      <c r="B193" s="308"/>
      <c r="C193" s="308"/>
      <c r="D193" s="180" t="s">
        <v>346</v>
      </c>
      <c r="E193" s="178">
        <v>94</v>
      </c>
      <c r="F193" s="337"/>
      <c r="G193" s="337"/>
      <c r="H193" s="179">
        <f t="shared" ref="H193:H195" si="3">258*117/100</f>
        <v>301.86</v>
      </c>
      <c r="I193" s="179">
        <f t="shared" ref="I193:I195" si="4">200*H193</f>
        <v>60372</v>
      </c>
      <c r="J193" s="180" t="s">
        <v>20</v>
      </c>
      <c r="K193" s="310"/>
      <c r="L193" s="320"/>
      <c r="M193" s="313"/>
    </row>
    <row r="194" spans="1:13" ht="25.5" x14ac:dyDescent="0.2">
      <c r="A194" s="306"/>
      <c r="B194" s="308"/>
      <c r="C194" s="308"/>
      <c r="D194" s="180" t="s">
        <v>1084</v>
      </c>
      <c r="E194" s="178">
        <v>94</v>
      </c>
      <c r="F194" s="337"/>
      <c r="G194" s="337"/>
      <c r="H194" s="179">
        <f t="shared" si="3"/>
        <v>301.86</v>
      </c>
      <c r="I194" s="179">
        <f t="shared" si="4"/>
        <v>60372</v>
      </c>
      <c r="J194" s="180" t="s">
        <v>20</v>
      </c>
      <c r="K194" s="310"/>
      <c r="L194" s="320"/>
      <c r="M194" s="313"/>
    </row>
    <row r="195" spans="1:13" ht="38.25" x14ac:dyDescent="0.2">
      <c r="A195" s="306"/>
      <c r="B195" s="308"/>
      <c r="C195" s="308"/>
      <c r="D195" s="180" t="s">
        <v>1085</v>
      </c>
      <c r="E195" s="178">
        <v>94</v>
      </c>
      <c r="F195" s="338"/>
      <c r="G195" s="338"/>
      <c r="H195" s="179">
        <f t="shared" si="3"/>
        <v>301.86</v>
      </c>
      <c r="I195" s="179">
        <f t="shared" si="4"/>
        <v>60372</v>
      </c>
      <c r="J195" s="180" t="s">
        <v>20</v>
      </c>
      <c r="K195" s="310"/>
      <c r="L195" s="320"/>
      <c r="M195" s="313"/>
    </row>
    <row r="196" spans="1:13" ht="14.25" x14ac:dyDescent="0.2">
      <c r="A196" s="302"/>
      <c r="B196" s="303"/>
      <c r="C196" s="304"/>
      <c r="D196" s="304"/>
      <c r="E196" s="304"/>
      <c r="F196" s="304"/>
      <c r="G196" s="304"/>
      <c r="H196" s="304"/>
      <c r="I196" s="304"/>
      <c r="J196" s="304"/>
      <c r="K196" s="304"/>
      <c r="L196" s="304"/>
      <c r="M196" s="305"/>
    </row>
    <row r="197" spans="1:13" ht="15.75" x14ac:dyDescent="0.2">
      <c r="A197" s="298" t="s">
        <v>1080</v>
      </c>
      <c r="B197" s="299"/>
      <c r="C197" s="299"/>
      <c r="D197" s="299"/>
      <c r="E197" s="299"/>
      <c r="F197" s="299"/>
      <c r="G197" s="299"/>
      <c r="H197" s="299"/>
      <c r="I197" s="299"/>
      <c r="J197" s="299"/>
      <c r="K197" s="299"/>
      <c r="L197" s="299"/>
      <c r="M197" s="300"/>
    </row>
    <row r="198" spans="1:13" ht="51" x14ac:dyDescent="0.2">
      <c r="A198" s="306">
        <v>30</v>
      </c>
      <c r="B198" s="308" t="s">
        <v>1098</v>
      </c>
      <c r="C198" s="308" t="s">
        <v>210</v>
      </c>
      <c r="D198" s="67" t="s">
        <v>1092</v>
      </c>
      <c r="E198" s="68">
        <v>100</v>
      </c>
      <c r="F198" s="69" t="s">
        <v>18</v>
      </c>
      <c r="G198" s="69" t="s">
        <v>18</v>
      </c>
      <c r="H198" s="69">
        <f>65000*117/100</f>
        <v>76050</v>
      </c>
      <c r="I198" s="69">
        <f>65000*117/100</f>
        <v>76050</v>
      </c>
      <c r="J198" s="67" t="s">
        <v>20</v>
      </c>
      <c r="K198" s="310" t="s">
        <v>1211</v>
      </c>
      <c r="L198" s="320" t="s">
        <v>926</v>
      </c>
      <c r="M198" s="313" t="s">
        <v>1096</v>
      </c>
    </row>
    <row r="199" spans="1:13" ht="25.5" x14ac:dyDescent="0.2">
      <c r="A199" s="306"/>
      <c r="B199" s="308"/>
      <c r="C199" s="308"/>
      <c r="D199" s="7" t="s">
        <v>1093</v>
      </c>
      <c r="E199" s="20">
        <v>90</v>
      </c>
      <c r="F199" s="21" t="s">
        <v>18</v>
      </c>
      <c r="G199" s="21" t="s">
        <v>18</v>
      </c>
      <c r="H199" s="21">
        <f>68000*117/100</f>
        <v>79560</v>
      </c>
      <c r="I199" s="21">
        <f>68000*117/100</f>
        <v>79560</v>
      </c>
      <c r="J199" s="7" t="s">
        <v>20</v>
      </c>
      <c r="K199" s="310"/>
      <c r="L199" s="320"/>
      <c r="M199" s="313"/>
    </row>
    <row r="200" spans="1:13" ht="51" x14ac:dyDescent="0.2">
      <c r="A200" s="306"/>
      <c r="B200" s="308"/>
      <c r="C200" s="308"/>
      <c r="D200" s="7" t="s">
        <v>1095</v>
      </c>
      <c r="E200" s="20">
        <v>80</v>
      </c>
      <c r="F200" s="21" t="s">
        <v>18</v>
      </c>
      <c r="G200" s="21" t="s">
        <v>18</v>
      </c>
      <c r="H200" s="21">
        <f>81725*117/100</f>
        <v>95618.25</v>
      </c>
      <c r="I200" s="21">
        <f>81725*117/100</f>
        <v>95618.25</v>
      </c>
      <c r="J200" s="7" t="s">
        <v>20</v>
      </c>
      <c r="K200" s="310"/>
      <c r="L200" s="320"/>
      <c r="M200" s="313"/>
    </row>
    <row r="201" spans="1:13" ht="25.5" x14ac:dyDescent="0.2">
      <c r="A201" s="306"/>
      <c r="B201" s="308"/>
      <c r="C201" s="308"/>
      <c r="D201" s="7" t="s">
        <v>209</v>
      </c>
      <c r="E201" s="20">
        <v>70</v>
      </c>
      <c r="F201" s="21" t="s">
        <v>18</v>
      </c>
      <c r="G201" s="21" t="s">
        <v>18</v>
      </c>
      <c r="H201" s="21">
        <f>82469*117/100</f>
        <v>96488.73</v>
      </c>
      <c r="I201" s="21">
        <f>82469*117/100</f>
        <v>96488.73</v>
      </c>
      <c r="J201" s="7" t="s">
        <v>20</v>
      </c>
      <c r="K201" s="310"/>
      <c r="L201" s="320"/>
      <c r="M201" s="313"/>
    </row>
    <row r="202" spans="1:13" ht="51" x14ac:dyDescent="0.2">
      <c r="A202" s="306"/>
      <c r="B202" s="308"/>
      <c r="C202" s="308"/>
      <c r="D202" s="7" t="s">
        <v>1094</v>
      </c>
      <c r="E202" s="20">
        <v>60</v>
      </c>
      <c r="F202" s="21" t="s">
        <v>18</v>
      </c>
      <c r="G202" s="21" t="s">
        <v>18</v>
      </c>
      <c r="H202" s="21">
        <f>142760*117/100</f>
        <v>167029.20000000001</v>
      </c>
      <c r="I202" s="21">
        <f>142760*117/100</f>
        <v>167029.20000000001</v>
      </c>
      <c r="J202" s="7" t="s">
        <v>20</v>
      </c>
      <c r="K202" s="310"/>
      <c r="L202" s="320"/>
      <c r="M202" s="313"/>
    </row>
    <row r="203" spans="1:13" ht="14.25" x14ac:dyDescent="0.2">
      <c r="A203" s="302"/>
      <c r="B203" s="303"/>
      <c r="C203" s="304"/>
      <c r="D203" s="304"/>
      <c r="E203" s="304"/>
      <c r="F203" s="304"/>
      <c r="G203" s="304"/>
      <c r="H203" s="304"/>
      <c r="I203" s="304"/>
      <c r="J203" s="304"/>
      <c r="K203" s="304"/>
      <c r="L203" s="304"/>
      <c r="M203" s="305"/>
    </row>
    <row r="204" spans="1:13" ht="15.75" x14ac:dyDescent="0.2">
      <c r="A204" s="298" t="s">
        <v>1099</v>
      </c>
      <c r="B204" s="299"/>
      <c r="C204" s="299"/>
      <c r="D204" s="299"/>
      <c r="E204" s="299"/>
      <c r="F204" s="299"/>
      <c r="G204" s="299"/>
      <c r="H204" s="299"/>
      <c r="I204" s="299"/>
      <c r="J204" s="299"/>
      <c r="K204" s="299"/>
      <c r="L204" s="299"/>
      <c r="M204" s="300"/>
    </row>
    <row r="205" spans="1:13" ht="38.25" x14ac:dyDescent="0.2">
      <c r="A205" s="301">
        <v>31</v>
      </c>
      <c r="B205" s="307" t="s">
        <v>649</v>
      </c>
      <c r="C205" s="307" t="s">
        <v>636</v>
      </c>
      <c r="D205" s="17" t="s">
        <v>650</v>
      </c>
      <c r="E205" s="18">
        <v>88</v>
      </c>
      <c r="F205" s="19" t="s">
        <v>18</v>
      </c>
      <c r="G205" s="19" t="s">
        <v>18</v>
      </c>
      <c r="H205" s="19">
        <f>169400*117/100</f>
        <v>198198</v>
      </c>
      <c r="I205" s="19">
        <f>169400*117/100</f>
        <v>198198</v>
      </c>
      <c r="J205" s="17" t="s">
        <v>20</v>
      </c>
      <c r="K205" s="309" t="s">
        <v>426</v>
      </c>
      <c r="L205" s="319" t="s">
        <v>926</v>
      </c>
      <c r="M205" s="312">
        <v>2530112750</v>
      </c>
    </row>
    <row r="206" spans="1:13" ht="14.25" x14ac:dyDescent="0.2">
      <c r="A206" s="306"/>
      <c r="B206" s="308"/>
      <c r="C206" s="308"/>
      <c r="D206" s="7" t="s">
        <v>652</v>
      </c>
      <c r="E206" s="20">
        <v>80</v>
      </c>
      <c r="F206" s="21" t="s">
        <v>18</v>
      </c>
      <c r="G206" s="21" t="s">
        <v>18</v>
      </c>
      <c r="H206" s="21">
        <f>220000*117/100</f>
        <v>257400</v>
      </c>
      <c r="I206" s="21">
        <f>220000*117/100</f>
        <v>257400</v>
      </c>
      <c r="J206" s="7" t="s">
        <v>20</v>
      </c>
      <c r="K206" s="310"/>
      <c r="L206" s="320"/>
      <c r="M206" s="313"/>
    </row>
    <row r="207" spans="1:13" ht="38.25" x14ac:dyDescent="0.2">
      <c r="A207" s="306"/>
      <c r="B207" s="328"/>
      <c r="C207" s="328"/>
      <c r="D207" s="7" t="s">
        <v>653</v>
      </c>
      <c r="E207" s="20">
        <v>58</v>
      </c>
      <c r="F207" s="21" t="s">
        <v>18</v>
      </c>
      <c r="G207" s="21" t="s">
        <v>18</v>
      </c>
      <c r="H207" s="21">
        <f>276000*117/100</f>
        <v>322920</v>
      </c>
      <c r="I207" s="21">
        <f>276000*117/100</f>
        <v>322920</v>
      </c>
      <c r="J207" s="7" t="s">
        <v>20</v>
      </c>
      <c r="K207" s="323"/>
      <c r="L207" s="332"/>
      <c r="M207" s="327"/>
    </row>
    <row r="208" spans="1:13" ht="14.25" x14ac:dyDescent="0.2">
      <c r="A208" s="302"/>
      <c r="B208" s="303" t="s">
        <v>1100</v>
      </c>
      <c r="C208" s="304"/>
      <c r="D208" s="304"/>
      <c r="E208" s="304"/>
      <c r="F208" s="304"/>
      <c r="G208" s="304"/>
      <c r="H208" s="304"/>
      <c r="I208" s="304"/>
      <c r="J208" s="304"/>
      <c r="K208" s="304"/>
      <c r="L208" s="304"/>
      <c r="M208" s="305"/>
    </row>
  </sheetData>
  <mergeCells count="245">
    <mergeCell ref="A204:M204"/>
    <mergeCell ref="A205:A208"/>
    <mergeCell ref="B205:B207"/>
    <mergeCell ref="C205:C207"/>
    <mergeCell ref="K205:K207"/>
    <mergeCell ref="L205:L207"/>
    <mergeCell ref="M205:M207"/>
    <mergeCell ref="B208:M208"/>
    <mergeCell ref="F192:F195"/>
    <mergeCell ref="G192:G195"/>
    <mergeCell ref="A197:M197"/>
    <mergeCell ref="A198:A203"/>
    <mergeCell ref="B198:B202"/>
    <mergeCell ref="C198:C202"/>
    <mergeCell ref="K198:K202"/>
    <mergeCell ref="L198:L202"/>
    <mergeCell ref="M198:M202"/>
    <mergeCell ref="B203:M203"/>
    <mergeCell ref="A191:M191"/>
    <mergeCell ref="A192:A196"/>
    <mergeCell ref="B192:B195"/>
    <mergeCell ref="C192:C195"/>
    <mergeCell ref="K192:K195"/>
    <mergeCell ref="L192:L195"/>
    <mergeCell ref="M192:M195"/>
    <mergeCell ref="B196:M196"/>
    <mergeCell ref="A183:A187"/>
    <mergeCell ref="B183:B186"/>
    <mergeCell ref="C183:C186"/>
    <mergeCell ref="K183:K186"/>
    <mergeCell ref="L183:L186"/>
    <mergeCell ref="M183:M186"/>
    <mergeCell ref="B187:M187"/>
    <mergeCell ref="A188:M188"/>
    <mergeCell ref="A189:A190"/>
    <mergeCell ref="B190:M190"/>
    <mergeCell ref="A107:M107"/>
    <mergeCell ref="A108:A113"/>
    <mergeCell ref="B108:B112"/>
    <mergeCell ref="C108:C112"/>
    <mergeCell ref="K108:K112"/>
    <mergeCell ref="L108:L112"/>
    <mergeCell ref="M108:M112"/>
    <mergeCell ref="B113:M113"/>
    <mergeCell ref="A100:M100"/>
    <mergeCell ref="A101:A106"/>
    <mergeCell ref="B101:B105"/>
    <mergeCell ref="C101:C105"/>
    <mergeCell ref="K101:K105"/>
    <mergeCell ref="L101:L105"/>
    <mergeCell ref="M101:M105"/>
    <mergeCell ref="B106:M106"/>
    <mergeCell ref="A94:M94"/>
    <mergeCell ref="A95:A99"/>
    <mergeCell ref="B95:B98"/>
    <mergeCell ref="C95:C98"/>
    <mergeCell ref="K95:K98"/>
    <mergeCell ref="L95:L98"/>
    <mergeCell ref="M95:M98"/>
    <mergeCell ref="B99:M99"/>
    <mergeCell ref="A88:M88"/>
    <mergeCell ref="A89:A93"/>
    <mergeCell ref="B89:B92"/>
    <mergeCell ref="C89:C92"/>
    <mergeCell ref="K89:K92"/>
    <mergeCell ref="L89:L92"/>
    <mergeCell ref="M89:M92"/>
    <mergeCell ref="B93:M93"/>
    <mergeCell ref="A74:A75"/>
    <mergeCell ref="B75:M75"/>
    <mergeCell ref="A82:M82"/>
    <mergeCell ref="A83:A87"/>
    <mergeCell ref="B83:B86"/>
    <mergeCell ref="C83:C86"/>
    <mergeCell ref="K83:K86"/>
    <mergeCell ref="L83:L86"/>
    <mergeCell ref="M83:M86"/>
    <mergeCell ref="B87:M87"/>
    <mergeCell ref="A76:M76"/>
    <mergeCell ref="A77:A81"/>
    <mergeCell ref="B77:B80"/>
    <mergeCell ref="C77:C80"/>
    <mergeCell ref="K77:K80"/>
    <mergeCell ref="L77:L80"/>
    <mergeCell ref="M77:M80"/>
    <mergeCell ref="B81:M81"/>
    <mergeCell ref="A68:M68"/>
    <mergeCell ref="A69:A72"/>
    <mergeCell ref="B69:B71"/>
    <mergeCell ref="C69:C71"/>
    <mergeCell ref="K69:K71"/>
    <mergeCell ref="L69:L71"/>
    <mergeCell ref="M69:M71"/>
    <mergeCell ref="B72:M72"/>
    <mergeCell ref="A73:M73"/>
    <mergeCell ref="A59:M59"/>
    <mergeCell ref="A60:A67"/>
    <mergeCell ref="B60:B66"/>
    <mergeCell ref="C60:C66"/>
    <mergeCell ref="K60:K66"/>
    <mergeCell ref="L60:L66"/>
    <mergeCell ref="M60:M66"/>
    <mergeCell ref="B67:M67"/>
    <mergeCell ref="A50:M50"/>
    <mergeCell ref="A51:A58"/>
    <mergeCell ref="B51:B57"/>
    <mergeCell ref="C51:C57"/>
    <mergeCell ref="K51:K57"/>
    <mergeCell ref="L51:L57"/>
    <mergeCell ref="M51:M57"/>
    <mergeCell ref="B58:M58"/>
    <mergeCell ref="A1:A5"/>
    <mergeCell ref="B1:M1"/>
    <mergeCell ref="B2:M2"/>
    <mergeCell ref="B3:M3"/>
    <mergeCell ref="B4:M4"/>
    <mergeCell ref="A6:M6"/>
    <mergeCell ref="A7:A11"/>
    <mergeCell ref="B7:B10"/>
    <mergeCell ref="C7:C10"/>
    <mergeCell ref="K7:K10"/>
    <mergeCell ref="L7:L10"/>
    <mergeCell ref="M7:M10"/>
    <mergeCell ref="B11:M11"/>
    <mergeCell ref="M23:M30"/>
    <mergeCell ref="B31:M31"/>
    <mergeCell ref="A32:M32"/>
    <mergeCell ref="A22:M22"/>
    <mergeCell ref="A12:M12"/>
    <mergeCell ref="A13:A21"/>
    <mergeCell ref="B13:B20"/>
    <mergeCell ref="C13:C20"/>
    <mergeCell ref="K13:K20"/>
    <mergeCell ref="L13:L20"/>
    <mergeCell ref="M13:M20"/>
    <mergeCell ref="B21:M21"/>
    <mergeCell ref="A23:A31"/>
    <mergeCell ref="B23:B30"/>
    <mergeCell ref="C23:C30"/>
    <mergeCell ref="K23:K30"/>
    <mergeCell ref="L23:L30"/>
    <mergeCell ref="M42:M48"/>
    <mergeCell ref="B49:M49"/>
    <mergeCell ref="A33:A40"/>
    <mergeCell ref="B33:B39"/>
    <mergeCell ref="C33:C39"/>
    <mergeCell ref="K33:K39"/>
    <mergeCell ref="L33:L39"/>
    <mergeCell ref="M33:M39"/>
    <mergeCell ref="B40:M40"/>
    <mergeCell ref="A41:M41"/>
    <mergeCell ref="A42:A49"/>
    <mergeCell ref="B42:B48"/>
    <mergeCell ref="C42:C48"/>
    <mergeCell ref="K42:K48"/>
    <mergeCell ref="L42:L48"/>
    <mergeCell ref="A114:M114"/>
    <mergeCell ref="A115:A120"/>
    <mergeCell ref="B115:B119"/>
    <mergeCell ref="C115:C119"/>
    <mergeCell ref="K115:K119"/>
    <mergeCell ref="L115:L119"/>
    <mergeCell ref="M115:M119"/>
    <mergeCell ref="B120:M120"/>
    <mergeCell ref="A121:M121"/>
    <mergeCell ref="A122:A127"/>
    <mergeCell ref="B122:B126"/>
    <mergeCell ref="C122:C126"/>
    <mergeCell ref="K122:K126"/>
    <mergeCell ref="L122:L126"/>
    <mergeCell ref="M122:M126"/>
    <mergeCell ref="B127:M127"/>
    <mergeCell ref="A128:M128"/>
    <mergeCell ref="A129:A133"/>
    <mergeCell ref="B129:B132"/>
    <mergeCell ref="C129:C132"/>
    <mergeCell ref="K129:K132"/>
    <mergeCell ref="L129:L132"/>
    <mergeCell ref="M129:M132"/>
    <mergeCell ref="B133:M133"/>
    <mergeCell ref="A141:A145"/>
    <mergeCell ref="B141:B144"/>
    <mergeCell ref="C141:C144"/>
    <mergeCell ref="K141:K144"/>
    <mergeCell ref="L141:L144"/>
    <mergeCell ref="M141:M144"/>
    <mergeCell ref="B145:M145"/>
    <mergeCell ref="A134:M134"/>
    <mergeCell ref="A135:A139"/>
    <mergeCell ref="B135:B138"/>
    <mergeCell ref="C135:C138"/>
    <mergeCell ref="K135:K138"/>
    <mergeCell ref="L135:L138"/>
    <mergeCell ref="M135:M138"/>
    <mergeCell ref="B139:M139"/>
    <mergeCell ref="A140:M140"/>
    <mergeCell ref="A146:M146"/>
    <mergeCell ref="A147:A151"/>
    <mergeCell ref="B147:B150"/>
    <mergeCell ref="C147:C150"/>
    <mergeCell ref="K147:K150"/>
    <mergeCell ref="L147:L150"/>
    <mergeCell ref="M147:M150"/>
    <mergeCell ref="B151:M151"/>
    <mergeCell ref="A152:M152"/>
    <mergeCell ref="A153:A157"/>
    <mergeCell ref="B153:B156"/>
    <mergeCell ref="C153:C156"/>
    <mergeCell ref="K153:K156"/>
    <mergeCell ref="L153:L156"/>
    <mergeCell ref="M153:M156"/>
    <mergeCell ref="B157:M157"/>
    <mergeCell ref="A158:M158"/>
    <mergeCell ref="A159:A163"/>
    <mergeCell ref="B159:B162"/>
    <mergeCell ref="C159:C162"/>
    <mergeCell ref="K159:K162"/>
    <mergeCell ref="L159:L162"/>
    <mergeCell ref="M159:M162"/>
    <mergeCell ref="B163:M163"/>
    <mergeCell ref="A164:M164"/>
    <mergeCell ref="A165:A169"/>
    <mergeCell ref="B165:B168"/>
    <mergeCell ref="C165:C168"/>
    <mergeCell ref="K165:K168"/>
    <mergeCell ref="L165:L168"/>
    <mergeCell ref="M165:M168"/>
    <mergeCell ref="B169:M169"/>
    <mergeCell ref="A170:M170"/>
    <mergeCell ref="A182:M182"/>
    <mergeCell ref="A171:A175"/>
    <mergeCell ref="B171:B174"/>
    <mergeCell ref="C171:C174"/>
    <mergeCell ref="K171:K174"/>
    <mergeCell ref="L171:L174"/>
    <mergeCell ref="M171:M174"/>
    <mergeCell ref="B175:M175"/>
    <mergeCell ref="A176:M176"/>
    <mergeCell ref="A177:A181"/>
    <mergeCell ref="B177:B180"/>
    <mergeCell ref="C177:C180"/>
    <mergeCell ref="K177:K180"/>
    <mergeCell ref="L177:L180"/>
    <mergeCell ref="M177:M180"/>
    <mergeCell ref="B181:M181"/>
  </mergeCells>
  <pageMargins left="0.7" right="0.7" top="0.75" bottom="0.75" header="0.3" footer="0.3"/>
  <pageSetup paperSize="9" scale="7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rightToLeft="1" zoomScaleNormal="100" workbookViewId="0">
      <pane ySplit="6" topLeftCell="A34" activePane="bottomLeft" state="frozen"/>
      <selection pane="bottomLeft" activeCell="E10" sqref="E10"/>
    </sheetView>
  </sheetViews>
  <sheetFormatPr defaultColWidth="8.75" defaultRowHeight="15" x14ac:dyDescent="0.2"/>
  <cols>
    <col min="1" max="1" width="4.25" customWidth="1"/>
    <col min="2" max="2" width="21.125" style="8" bestFit="1" customWidth="1"/>
    <col min="4" max="4" width="7.25" customWidth="1"/>
    <col min="5" max="5" width="7.75" customWidth="1"/>
    <col min="6" max="6" width="10.25" bestFit="1" customWidth="1"/>
    <col min="7" max="7" width="12.125" style="9" bestFit="1" customWidth="1"/>
    <col min="8" max="8" width="13.625" style="10" bestFit="1" customWidth="1"/>
    <col min="9" max="9" width="14.625" style="10" bestFit="1" customWidth="1"/>
    <col min="10" max="10" width="9" customWidth="1"/>
    <col min="11" max="11" width="23.625" style="11" customWidth="1"/>
    <col min="12" max="12" width="13.5" style="12" customWidth="1"/>
    <col min="13" max="13" width="16.5" style="13" customWidth="1"/>
  </cols>
  <sheetData>
    <row r="1" spans="1:13" ht="20.25" x14ac:dyDescent="0.2">
      <c r="A1" s="314"/>
      <c r="B1" s="315" t="s">
        <v>955</v>
      </c>
      <c r="C1" s="315"/>
      <c r="D1" s="315"/>
      <c r="E1" s="315"/>
      <c r="F1" s="315"/>
      <c r="G1" s="315"/>
      <c r="H1" s="315"/>
      <c r="I1" s="315"/>
      <c r="J1" s="315"/>
      <c r="K1" s="315"/>
      <c r="L1" s="315"/>
      <c r="M1" s="315"/>
    </row>
    <row r="2" spans="1:13" ht="29.45" customHeight="1" x14ac:dyDescent="0.2">
      <c r="A2" s="314"/>
      <c r="B2" s="316" t="s">
        <v>840</v>
      </c>
      <c r="C2" s="316"/>
      <c r="D2" s="316"/>
      <c r="E2" s="316"/>
      <c r="F2" s="316"/>
      <c r="G2" s="316"/>
      <c r="H2" s="316"/>
      <c r="I2" s="316"/>
      <c r="J2" s="316"/>
      <c r="K2" s="316"/>
      <c r="L2" s="316"/>
      <c r="M2" s="316"/>
    </row>
    <row r="3" spans="1:13" ht="15.75" x14ac:dyDescent="0.2">
      <c r="A3" s="314"/>
      <c r="B3" s="317" t="s">
        <v>0</v>
      </c>
      <c r="C3" s="317"/>
      <c r="D3" s="317"/>
      <c r="E3" s="317"/>
      <c r="F3" s="317"/>
      <c r="G3" s="317"/>
      <c r="H3" s="317"/>
      <c r="I3" s="317"/>
      <c r="J3" s="317"/>
      <c r="K3" s="317"/>
      <c r="L3" s="317"/>
      <c r="M3" s="317"/>
    </row>
    <row r="4" spans="1:13" ht="14.25" x14ac:dyDescent="0.2">
      <c r="A4" s="314"/>
      <c r="B4" s="318" t="s">
        <v>615</v>
      </c>
      <c r="C4" s="318"/>
      <c r="D4" s="318"/>
      <c r="E4" s="318"/>
      <c r="F4" s="318"/>
      <c r="G4" s="318"/>
      <c r="H4" s="318"/>
      <c r="I4" s="318"/>
      <c r="J4" s="318"/>
      <c r="K4" s="318"/>
      <c r="L4" s="318"/>
      <c r="M4" s="318"/>
    </row>
    <row r="5" spans="1:13" ht="14.25" x14ac:dyDescent="0.2">
      <c r="A5" s="314"/>
      <c r="B5" s="318" t="s">
        <v>841</v>
      </c>
      <c r="C5" s="318"/>
      <c r="D5" s="318"/>
      <c r="E5" s="318"/>
      <c r="F5" s="318"/>
      <c r="G5" s="318"/>
      <c r="H5" s="318"/>
      <c r="I5" s="318"/>
      <c r="J5" s="318"/>
      <c r="K5" s="318"/>
      <c r="L5" s="318"/>
      <c r="M5" s="318"/>
    </row>
    <row r="6" spans="1:13" ht="47.25" x14ac:dyDescent="0.2">
      <c r="A6" s="314"/>
      <c r="B6" s="157" t="s">
        <v>2</v>
      </c>
      <c r="C6" s="2" t="s">
        <v>3</v>
      </c>
      <c r="D6" s="3" t="s">
        <v>4</v>
      </c>
      <c r="E6" s="3" t="s">
        <v>5</v>
      </c>
      <c r="F6" s="3" t="s">
        <v>6</v>
      </c>
      <c r="G6" s="3" t="s">
        <v>7</v>
      </c>
      <c r="H6" s="4" t="s">
        <v>8</v>
      </c>
      <c r="I6" s="5" t="s">
        <v>9</v>
      </c>
      <c r="J6" s="3" t="s">
        <v>10</v>
      </c>
      <c r="K6" s="3" t="s">
        <v>11</v>
      </c>
      <c r="L6" s="130" t="s">
        <v>12</v>
      </c>
      <c r="M6" s="3" t="s">
        <v>13</v>
      </c>
    </row>
    <row r="7" spans="1:13" ht="15.75" x14ac:dyDescent="0.2">
      <c r="A7" s="298" t="s">
        <v>929</v>
      </c>
      <c r="B7" s="299"/>
      <c r="C7" s="299"/>
      <c r="D7" s="299"/>
      <c r="E7" s="299"/>
      <c r="F7" s="299"/>
      <c r="G7" s="299"/>
      <c r="H7" s="299"/>
      <c r="I7" s="299"/>
      <c r="J7" s="299"/>
      <c r="K7" s="299"/>
      <c r="L7" s="299"/>
      <c r="M7" s="300"/>
    </row>
    <row r="8" spans="1:13" ht="114.75" x14ac:dyDescent="0.2">
      <c r="A8" s="306">
        <v>1</v>
      </c>
      <c r="B8" s="308" t="s">
        <v>937</v>
      </c>
      <c r="C8" s="308" t="s">
        <v>938</v>
      </c>
      <c r="D8" s="7" t="s">
        <v>931</v>
      </c>
      <c r="E8" s="20">
        <v>88</v>
      </c>
      <c r="F8" s="21" t="s">
        <v>29</v>
      </c>
      <c r="G8" s="21" t="s">
        <v>942</v>
      </c>
      <c r="H8" s="21" t="s">
        <v>933</v>
      </c>
      <c r="I8" s="21">
        <v>216115.3</v>
      </c>
      <c r="J8" s="7" t="s">
        <v>20</v>
      </c>
      <c r="K8" s="310" t="s">
        <v>426</v>
      </c>
      <c r="L8" s="320" t="s">
        <v>926</v>
      </c>
      <c r="M8" s="313">
        <v>1731000750</v>
      </c>
    </row>
    <row r="9" spans="1:13" ht="63.75" x14ac:dyDescent="0.2">
      <c r="A9" s="306"/>
      <c r="B9" s="308"/>
      <c r="C9" s="308"/>
      <c r="D9" s="17" t="s">
        <v>305</v>
      </c>
      <c r="E9" s="18">
        <v>90</v>
      </c>
      <c r="F9" s="19" t="s">
        <v>29</v>
      </c>
      <c r="G9" s="19" t="s">
        <v>932</v>
      </c>
      <c r="H9" s="19" t="s">
        <v>934</v>
      </c>
      <c r="I9" s="19">
        <f>(231.66*150*7)+15057.9</f>
        <v>258300.9</v>
      </c>
      <c r="J9" s="17" t="s">
        <v>20</v>
      </c>
      <c r="K9" s="310"/>
      <c r="L9" s="320"/>
      <c r="M9" s="313"/>
    </row>
    <row r="10" spans="1:13" ht="63.75" x14ac:dyDescent="0.2">
      <c r="A10" s="306"/>
      <c r="B10" s="308"/>
      <c r="C10" s="308"/>
      <c r="D10" s="7" t="s">
        <v>930</v>
      </c>
      <c r="E10" s="20">
        <v>68</v>
      </c>
      <c r="F10" s="21" t="s">
        <v>29</v>
      </c>
      <c r="G10" s="21" t="s">
        <v>932</v>
      </c>
      <c r="H10" s="21" t="s">
        <v>935</v>
      </c>
      <c r="I10" s="21">
        <f>(234*150*7)+15057.9</f>
        <v>260757.9</v>
      </c>
      <c r="J10" s="7" t="s">
        <v>20</v>
      </c>
      <c r="K10" s="310"/>
      <c r="L10" s="320"/>
      <c r="M10" s="313"/>
    </row>
    <row r="11" spans="1:13" ht="63.75" x14ac:dyDescent="0.2">
      <c r="A11" s="306"/>
      <c r="B11" s="308"/>
      <c r="C11" s="308"/>
      <c r="D11" s="7" t="s">
        <v>943</v>
      </c>
      <c r="E11" s="20">
        <v>58</v>
      </c>
      <c r="F11" s="21" t="s">
        <v>29</v>
      </c>
      <c r="G11" s="21" t="s">
        <v>932</v>
      </c>
      <c r="H11" s="21" t="s">
        <v>936</v>
      </c>
      <c r="I11" s="21">
        <f>(376.74*150*7)+15057.9</f>
        <v>410634.9</v>
      </c>
      <c r="J11" s="7"/>
      <c r="K11" s="310"/>
      <c r="L11" s="320"/>
      <c r="M11" s="313"/>
    </row>
    <row r="12" spans="1:13" ht="14.25" x14ac:dyDescent="0.2">
      <c r="A12" s="302"/>
      <c r="B12" s="303" t="s">
        <v>939</v>
      </c>
      <c r="C12" s="304"/>
      <c r="D12" s="304"/>
      <c r="E12" s="304"/>
      <c r="F12" s="304"/>
      <c r="G12" s="304"/>
      <c r="H12" s="304"/>
      <c r="I12" s="304"/>
      <c r="J12" s="304"/>
      <c r="K12" s="304"/>
      <c r="L12" s="304"/>
      <c r="M12" s="305"/>
    </row>
    <row r="13" spans="1:13" ht="15.75" x14ac:dyDescent="0.2">
      <c r="A13" s="298" t="s">
        <v>940</v>
      </c>
      <c r="B13" s="299"/>
      <c r="C13" s="299"/>
      <c r="D13" s="299"/>
      <c r="E13" s="299"/>
      <c r="F13" s="299"/>
      <c r="G13" s="299"/>
      <c r="H13" s="299"/>
      <c r="I13" s="299"/>
      <c r="J13" s="299"/>
      <c r="K13" s="299"/>
      <c r="L13" s="299"/>
      <c r="M13" s="300"/>
    </row>
    <row r="14" spans="1:13" ht="38.25" x14ac:dyDescent="0.2">
      <c r="A14" s="306">
        <v>2</v>
      </c>
      <c r="B14" s="153" t="s">
        <v>504</v>
      </c>
      <c r="C14" s="153" t="s">
        <v>506</v>
      </c>
      <c r="D14" s="17" t="s">
        <v>95</v>
      </c>
      <c r="E14" s="18">
        <v>100</v>
      </c>
      <c r="F14" s="19" t="s">
        <v>68</v>
      </c>
      <c r="G14" s="19" t="s">
        <v>643</v>
      </c>
      <c r="H14" s="19">
        <v>25000</v>
      </c>
      <c r="I14" s="19">
        <f>4*H14</f>
        <v>100000</v>
      </c>
      <c r="J14" s="17" t="s">
        <v>20</v>
      </c>
      <c r="K14" s="154" t="s">
        <v>954</v>
      </c>
      <c r="L14" s="155" t="s">
        <v>926</v>
      </c>
      <c r="M14" s="156"/>
    </row>
    <row r="15" spans="1:13" ht="14.25" x14ac:dyDescent="0.2">
      <c r="A15" s="302"/>
      <c r="B15" s="303" t="s">
        <v>941</v>
      </c>
      <c r="C15" s="304"/>
      <c r="D15" s="304"/>
      <c r="E15" s="304"/>
      <c r="F15" s="304"/>
      <c r="G15" s="304"/>
      <c r="H15" s="304"/>
      <c r="I15" s="304"/>
      <c r="J15" s="304"/>
      <c r="K15" s="304"/>
      <c r="L15" s="304"/>
      <c r="M15" s="305"/>
    </row>
    <row r="16" spans="1:13" ht="15.75" x14ac:dyDescent="0.2">
      <c r="A16" s="298" t="s">
        <v>944</v>
      </c>
      <c r="B16" s="299"/>
      <c r="C16" s="299"/>
      <c r="D16" s="299"/>
      <c r="E16" s="299"/>
      <c r="F16" s="299"/>
      <c r="G16" s="299"/>
      <c r="H16" s="299"/>
      <c r="I16" s="299"/>
      <c r="J16" s="299"/>
      <c r="K16" s="299"/>
      <c r="L16" s="299"/>
      <c r="M16" s="300"/>
    </row>
    <row r="17" spans="1:13" ht="63.75" x14ac:dyDescent="0.2">
      <c r="A17" s="306">
        <v>3</v>
      </c>
      <c r="B17" s="158" t="s">
        <v>945</v>
      </c>
      <c r="C17" s="158" t="s">
        <v>946</v>
      </c>
      <c r="D17" s="17" t="s">
        <v>947</v>
      </c>
      <c r="E17" s="18">
        <v>100</v>
      </c>
      <c r="F17" s="19" t="s">
        <v>18</v>
      </c>
      <c r="G17" s="19" t="s">
        <v>953</v>
      </c>
      <c r="H17" s="19">
        <f>(8200+6700)*117/100</f>
        <v>17433</v>
      </c>
      <c r="I17" s="19">
        <f>(8200+6700)*117/100</f>
        <v>17433</v>
      </c>
      <c r="J17" s="17" t="s">
        <v>20</v>
      </c>
      <c r="K17" s="159" t="s">
        <v>954</v>
      </c>
      <c r="L17" s="160" t="s">
        <v>926</v>
      </c>
      <c r="M17" s="161"/>
    </row>
    <row r="18" spans="1:13" ht="14.25" x14ac:dyDescent="0.2">
      <c r="A18" s="302"/>
      <c r="B18" s="303" t="s">
        <v>948</v>
      </c>
      <c r="C18" s="304"/>
      <c r="D18" s="304"/>
      <c r="E18" s="304"/>
      <c r="F18" s="304"/>
      <c r="G18" s="304"/>
      <c r="H18" s="304"/>
      <c r="I18" s="304"/>
      <c r="J18" s="304"/>
      <c r="K18" s="304"/>
      <c r="L18" s="304"/>
      <c r="M18" s="305"/>
    </row>
    <row r="19" spans="1:13" ht="15.75" x14ac:dyDescent="0.2">
      <c r="A19" s="298" t="s">
        <v>949</v>
      </c>
      <c r="B19" s="299"/>
      <c r="C19" s="299"/>
      <c r="D19" s="299"/>
      <c r="E19" s="299"/>
      <c r="F19" s="299"/>
      <c r="G19" s="299"/>
      <c r="H19" s="299"/>
      <c r="I19" s="299"/>
      <c r="J19" s="299"/>
      <c r="K19" s="299"/>
      <c r="L19" s="299"/>
      <c r="M19" s="300"/>
    </row>
    <row r="20" spans="1:13" ht="38.25" x14ac:dyDescent="0.2">
      <c r="A20" s="306">
        <v>4</v>
      </c>
      <c r="B20" s="162" t="s">
        <v>950</v>
      </c>
      <c r="C20" s="162" t="s">
        <v>951</v>
      </c>
      <c r="D20" s="17" t="s">
        <v>952</v>
      </c>
      <c r="E20" s="18">
        <v>94</v>
      </c>
      <c r="F20" s="19" t="s">
        <v>18</v>
      </c>
      <c r="G20" s="19" t="s">
        <v>18</v>
      </c>
      <c r="H20" s="19">
        <v>19200</v>
      </c>
      <c r="I20" s="19">
        <v>19200</v>
      </c>
      <c r="J20" s="17"/>
      <c r="K20" s="163" t="s">
        <v>954</v>
      </c>
      <c r="L20" s="164" t="s">
        <v>926</v>
      </c>
      <c r="M20" s="165">
        <v>1711000751</v>
      </c>
    </row>
    <row r="21" spans="1:13" ht="14.25" x14ac:dyDescent="0.2">
      <c r="A21" s="302"/>
      <c r="B21" s="303" t="s">
        <v>956</v>
      </c>
      <c r="C21" s="304"/>
      <c r="D21" s="304"/>
      <c r="E21" s="304"/>
      <c r="F21" s="304"/>
      <c r="G21" s="304"/>
      <c r="H21" s="304"/>
      <c r="I21" s="304"/>
      <c r="J21" s="304"/>
      <c r="K21" s="304"/>
      <c r="L21" s="304"/>
      <c r="M21" s="305"/>
    </row>
    <row r="22" spans="1:13" ht="15.75" x14ac:dyDescent="0.2">
      <c r="A22" s="298" t="s">
        <v>1004</v>
      </c>
      <c r="B22" s="299"/>
      <c r="C22" s="299"/>
      <c r="D22" s="299"/>
      <c r="E22" s="299"/>
      <c r="F22" s="299"/>
      <c r="G22" s="299"/>
      <c r="H22" s="299"/>
      <c r="I22" s="299"/>
      <c r="J22" s="299"/>
      <c r="K22" s="299"/>
      <c r="L22" s="299"/>
      <c r="M22" s="300"/>
    </row>
    <row r="23" spans="1:13" ht="51" x14ac:dyDescent="0.2">
      <c r="A23" s="306">
        <v>5</v>
      </c>
      <c r="B23" s="308" t="s">
        <v>854</v>
      </c>
      <c r="C23" s="308" t="s">
        <v>861</v>
      </c>
      <c r="D23" s="7" t="s">
        <v>855</v>
      </c>
      <c r="E23" s="20">
        <v>76</v>
      </c>
      <c r="F23" s="21" t="s">
        <v>29</v>
      </c>
      <c r="G23" s="21" t="s">
        <v>916</v>
      </c>
      <c r="H23" s="21">
        <f>160*117/100</f>
        <v>187.2</v>
      </c>
      <c r="I23" s="21">
        <f>50*H23*3</f>
        <v>28080</v>
      </c>
      <c r="J23" s="7" t="s">
        <v>20</v>
      </c>
      <c r="K23" s="310" t="s">
        <v>426</v>
      </c>
      <c r="L23" s="320"/>
      <c r="M23" s="313"/>
    </row>
    <row r="24" spans="1:13" ht="63.75" x14ac:dyDescent="0.2">
      <c r="A24" s="306"/>
      <c r="B24" s="308"/>
      <c r="C24" s="308"/>
      <c r="D24" s="7" t="s">
        <v>857</v>
      </c>
      <c r="E24" s="20">
        <v>66</v>
      </c>
      <c r="F24" s="21" t="s">
        <v>29</v>
      </c>
      <c r="G24" s="21" t="s">
        <v>916</v>
      </c>
      <c r="H24" s="21">
        <f>220*117/100</f>
        <v>257.39999999999998</v>
      </c>
      <c r="I24" s="21">
        <f t="shared" ref="I24:I27" si="0">50*H24*3</f>
        <v>38609.999999999993</v>
      </c>
      <c r="J24" s="7" t="s">
        <v>20</v>
      </c>
      <c r="K24" s="310"/>
      <c r="L24" s="320"/>
      <c r="M24" s="313"/>
    </row>
    <row r="25" spans="1:13" ht="63.75" x14ac:dyDescent="0.2">
      <c r="A25" s="306"/>
      <c r="B25" s="308"/>
      <c r="C25" s="308"/>
      <c r="D25" s="17" t="s">
        <v>858</v>
      </c>
      <c r="E25" s="18">
        <v>80</v>
      </c>
      <c r="F25" s="19" t="s">
        <v>29</v>
      </c>
      <c r="G25" s="19" t="s">
        <v>916</v>
      </c>
      <c r="H25" s="19">
        <f>279*117/100</f>
        <v>326.43</v>
      </c>
      <c r="I25" s="19">
        <f t="shared" si="0"/>
        <v>48964.5</v>
      </c>
      <c r="J25" s="17" t="s">
        <v>20</v>
      </c>
      <c r="K25" s="310"/>
      <c r="L25" s="320"/>
      <c r="M25" s="313"/>
    </row>
    <row r="26" spans="1:13" ht="63.75" x14ac:dyDescent="0.2">
      <c r="A26" s="306"/>
      <c r="B26" s="308"/>
      <c r="C26" s="308"/>
      <c r="D26" s="7" t="s">
        <v>860</v>
      </c>
      <c r="E26" s="20">
        <v>58</v>
      </c>
      <c r="F26" s="21" t="s">
        <v>29</v>
      </c>
      <c r="G26" s="21" t="s">
        <v>916</v>
      </c>
      <c r="H26" s="21">
        <f>280*117/100</f>
        <v>327.60000000000002</v>
      </c>
      <c r="I26" s="21">
        <f t="shared" si="0"/>
        <v>49140.000000000007</v>
      </c>
      <c r="J26" s="7" t="s">
        <v>20</v>
      </c>
      <c r="K26" s="310"/>
      <c r="L26" s="320"/>
      <c r="M26" s="313"/>
    </row>
    <row r="27" spans="1:13" ht="38.25" x14ac:dyDescent="0.2">
      <c r="A27" s="306"/>
      <c r="B27" s="308"/>
      <c r="C27" s="308"/>
      <c r="D27" s="7" t="s">
        <v>859</v>
      </c>
      <c r="E27" s="20">
        <v>42</v>
      </c>
      <c r="F27" s="21" t="s">
        <v>29</v>
      </c>
      <c r="G27" s="21" t="s">
        <v>916</v>
      </c>
      <c r="H27" s="21">
        <f>322*117/100</f>
        <v>376.74</v>
      </c>
      <c r="I27" s="21">
        <f t="shared" si="0"/>
        <v>56511</v>
      </c>
      <c r="J27" s="7" t="s">
        <v>20</v>
      </c>
      <c r="K27" s="310"/>
      <c r="L27" s="320"/>
      <c r="M27" s="313"/>
    </row>
    <row r="28" spans="1:13" ht="14.25" x14ac:dyDescent="0.2">
      <c r="A28" s="302"/>
      <c r="B28" s="303"/>
      <c r="C28" s="304"/>
      <c r="D28" s="304"/>
      <c r="E28" s="304"/>
      <c r="F28" s="304"/>
      <c r="G28" s="304"/>
      <c r="H28" s="304"/>
      <c r="I28" s="304"/>
      <c r="J28" s="304"/>
      <c r="K28" s="304"/>
      <c r="L28" s="304"/>
      <c r="M28" s="305"/>
    </row>
  </sheetData>
  <mergeCells count="31">
    <mergeCell ref="A22:M22"/>
    <mergeCell ref="A23:A28"/>
    <mergeCell ref="B23:B27"/>
    <mergeCell ref="C23:C27"/>
    <mergeCell ref="K23:K27"/>
    <mergeCell ref="L23:L27"/>
    <mergeCell ref="M23:M27"/>
    <mergeCell ref="B28:M28"/>
    <mergeCell ref="B12:M12"/>
    <mergeCell ref="A16:M16"/>
    <mergeCell ref="A17:A18"/>
    <mergeCell ref="B18:M18"/>
    <mergeCell ref="A13:M13"/>
    <mergeCell ref="A14:A15"/>
    <mergeCell ref="B15:M15"/>
    <mergeCell ref="A19:M19"/>
    <mergeCell ref="A20:A21"/>
    <mergeCell ref="B21:M21"/>
    <mergeCell ref="B4:M4"/>
    <mergeCell ref="A1:A6"/>
    <mergeCell ref="B1:M1"/>
    <mergeCell ref="B2:M2"/>
    <mergeCell ref="B3:M3"/>
    <mergeCell ref="B5:M5"/>
    <mergeCell ref="A7:M7"/>
    <mergeCell ref="A8:A12"/>
    <mergeCell ref="B8:B11"/>
    <mergeCell ref="C8:C11"/>
    <mergeCell ref="K8:K11"/>
    <mergeCell ref="L8:L11"/>
    <mergeCell ref="M8:M11"/>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27</vt:i4>
      </vt:variant>
    </vt:vector>
  </HeadingPairs>
  <TitlesOfParts>
    <vt:vector size="27" baseType="lpstr">
      <vt:lpstr>2018-22 (2)</vt:lpstr>
      <vt:lpstr>2018-25</vt:lpstr>
      <vt:lpstr>2018-24</vt:lpstr>
      <vt:lpstr>2018-23</vt:lpstr>
      <vt:lpstr>2018-22</vt:lpstr>
      <vt:lpstr>2018-21</vt:lpstr>
      <vt:lpstr>2018-20</vt:lpstr>
      <vt:lpstr>2018-19</vt:lpstr>
      <vt:lpstr>2018-18</vt:lpstr>
      <vt:lpstr>2018-17</vt:lpstr>
      <vt:lpstr>2018-16</vt:lpstr>
      <vt:lpstr>2018-15</vt:lpstr>
      <vt:lpstr>2018-14</vt:lpstr>
      <vt:lpstr>2018-13</vt:lpstr>
      <vt:lpstr>2018-12</vt:lpstr>
      <vt:lpstr>2018-11</vt:lpstr>
      <vt:lpstr>2018-10 (2)</vt:lpstr>
      <vt:lpstr>2018-10</vt:lpstr>
      <vt:lpstr>2018-09</vt:lpstr>
      <vt:lpstr>2018-08</vt:lpstr>
      <vt:lpstr>2018-07</vt:lpstr>
      <vt:lpstr>2018-06</vt:lpstr>
      <vt:lpstr>2018-05</vt:lpstr>
      <vt:lpstr>2018-04</vt:lpstr>
      <vt:lpstr>2018-03</vt:lpstr>
      <vt:lpstr>2018-02</vt:lpstr>
      <vt:lpstr>2018-01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פרוטוקולים וועדת התקשרויות</dc:title>
  <dc:subject>385055</dc:subject>
  <dc:creator>mayab</dc:creator>
  <cp:keywords/>
  <dc:description/>
  <cp:lastModifiedBy>ksuser</cp:lastModifiedBy>
  <cp:lastPrinted>2018-12-11T06:48:21Z</cp:lastPrinted>
  <dcterms:created xsi:type="dcterms:W3CDTF">2018-01-01T08:23:57Z</dcterms:created>
  <dcterms:modified xsi:type="dcterms:W3CDTF">2019-01-06T12:10:01Z</dcterms:modified>
</cp:coreProperties>
</file>