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אתר\"/>
    </mc:Choice>
  </mc:AlternateContent>
  <bookViews>
    <workbookView xWindow="780" yWindow="780" windowWidth="18000" windowHeight="13500"/>
  </bookViews>
  <sheets>
    <sheet name="2019-18" sheetId="22" r:id="rId1"/>
    <sheet name="2019-17" sheetId="21" r:id="rId2"/>
    <sheet name="2019-16" sheetId="20" r:id="rId3"/>
    <sheet name="2019-15" sheetId="19" r:id="rId4"/>
    <sheet name="2019-14" sheetId="18" r:id="rId5"/>
    <sheet name="2019-13" sheetId="17" r:id="rId6"/>
    <sheet name="12-2019" sheetId="16" r:id="rId7"/>
    <sheet name="11-2019" sheetId="14" r:id="rId8"/>
    <sheet name="10-2019" sheetId="11" r:id="rId9"/>
    <sheet name="09-2019" sheetId="10" r:id="rId10"/>
    <sheet name="08-2019" sheetId="9" r:id="rId11"/>
    <sheet name="07-2019" sheetId="8" r:id="rId12"/>
    <sheet name="06-2019" sheetId="7" r:id="rId13"/>
    <sheet name="05-2019" sheetId="6" r:id="rId14"/>
    <sheet name="04-2019" sheetId="5" r:id="rId15"/>
    <sheet name="03-2019" sheetId="4" r:id="rId16"/>
    <sheet name="02-2019" sheetId="1" r:id="rId17"/>
    <sheet name="01-2019" sheetId="2" r:id="rId18"/>
  </sheets>
  <definedNames>
    <definedName name="_xlnm.Print_Area" localSheetId="16">'02-2019'!$A$1:$M$6</definedName>
    <definedName name="_xlnm.Print_Area" localSheetId="13">'05-2019'!$A$1:$M$165</definedName>
    <definedName name="_xlnm.Print_Area" localSheetId="12">'06-2019'!$A$1:$M$81</definedName>
    <definedName name="_xlnm.Print_Area" localSheetId="11">'07-2019'!$A$1:$M$23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28" i="21" l="1"/>
  <c r="H8" i="22" l="1"/>
  <c r="H46" i="1"/>
  <c r="H45" i="1"/>
  <c r="H11" i="22"/>
  <c r="I11" i="22" l="1"/>
  <c r="H9" i="22"/>
  <c r="I9" i="22" s="1"/>
  <c r="I8" i="22"/>
  <c r="H10" i="22"/>
  <c r="I10" i="22" s="1"/>
  <c r="H61" i="21" l="1"/>
  <c r="I61" i="21" s="1"/>
  <c r="H20" i="21" l="1"/>
  <c r="I20" i="21" s="1"/>
  <c r="H8" i="20" l="1"/>
  <c r="H58" i="21" l="1"/>
  <c r="I58" i="21" s="1"/>
  <c r="H57" i="21"/>
  <c r="I57" i="21" s="1"/>
  <c r="H56" i="21"/>
  <c r="I56" i="21" s="1"/>
  <c r="H32" i="21"/>
  <c r="I32" i="21" s="1"/>
  <c r="H31" i="21"/>
  <c r="I31" i="21"/>
  <c r="H30" i="21"/>
  <c r="I30" i="21" s="1"/>
  <c r="H29" i="21"/>
  <c r="I29" i="21" s="1"/>
  <c r="I28" i="21"/>
  <c r="H53" i="21"/>
  <c r="I53" i="21" s="1"/>
  <c r="H50" i="21"/>
  <c r="I50" i="21" s="1"/>
  <c r="H49" i="21"/>
  <c r="I49" i="21" s="1"/>
  <c r="H48" i="21"/>
  <c r="I48" i="21" s="1"/>
  <c r="I45" i="21"/>
  <c r="I44" i="21"/>
  <c r="I43" i="21"/>
  <c r="I42" i="21"/>
  <c r="H39" i="21"/>
  <c r="I39" i="21" s="1"/>
  <c r="H38" i="21"/>
  <c r="I38" i="21" s="1"/>
  <c r="H37" i="21"/>
  <c r="I37" i="21" s="1"/>
  <c r="H36" i="21"/>
  <c r="I36" i="21" s="1"/>
  <c r="H35" i="21"/>
  <c r="I35" i="21" s="1"/>
  <c r="H25" i="21"/>
  <c r="I25" i="21" s="1"/>
  <c r="H24" i="21"/>
  <c r="I24" i="21" s="1"/>
  <c r="H23" i="21"/>
  <c r="I23" i="21" s="1"/>
  <c r="H17" i="21"/>
  <c r="I17" i="21" s="1"/>
  <c r="H14" i="21" l="1"/>
  <c r="I14" i="21" s="1"/>
  <c r="H11" i="21"/>
  <c r="H8" i="21"/>
  <c r="I8" i="21" s="1"/>
  <c r="I11" i="21"/>
  <c r="H11" i="20" l="1"/>
  <c r="H15" i="20"/>
  <c r="I15" i="20" s="1"/>
  <c r="H14" i="20"/>
  <c r="I14" i="20" s="1"/>
  <c r="H13" i="20"/>
  <c r="I13" i="20" s="1"/>
  <c r="H12" i="20"/>
  <c r="I12" i="20" s="1"/>
  <c r="I11" i="20"/>
  <c r="I8" i="20"/>
  <c r="I76" i="19" l="1"/>
  <c r="I79" i="19" l="1"/>
  <c r="I100" i="19" l="1"/>
  <c r="I99" i="19"/>
  <c r="I98" i="19"/>
  <c r="I97" i="19"/>
  <c r="H94" i="19" l="1"/>
  <c r="I94" i="19" s="1"/>
  <c r="H93" i="19"/>
  <c r="I93" i="19" s="1"/>
  <c r="H92" i="19"/>
  <c r="I92" i="19" s="1"/>
  <c r="H91" i="19"/>
  <c r="I91" i="19" s="1"/>
  <c r="H88" i="19"/>
  <c r="I88" i="19" s="1"/>
  <c r="H87" i="19"/>
  <c r="I87" i="19" s="1"/>
  <c r="H86" i="19"/>
  <c r="I86" i="19" s="1"/>
  <c r="H85" i="19"/>
  <c r="I85" i="19" s="1"/>
  <c r="H82" i="19"/>
  <c r="I82" i="19"/>
  <c r="H73" i="19"/>
  <c r="I73" i="19" s="1"/>
  <c r="H72" i="19"/>
  <c r="I72" i="19" s="1"/>
  <c r="H71" i="19"/>
  <c r="I71" i="19" s="1"/>
  <c r="H70" i="19"/>
  <c r="I70" i="19" s="1"/>
  <c r="H67" i="19"/>
  <c r="I67" i="19" s="1"/>
  <c r="H66" i="19"/>
  <c r="I66" i="19" s="1"/>
  <c r="H65" i="19"/>
  <c r="I65" i="19" s="1"/>
  <c r="H64" i="19"/>
  <c r="I64" i="19" s="1"/>
  <c r="H36" i="19"/>
  <c r="I36" i="19" s="1"/>
  <c r="H35" i="19"/>
  <c r="I35" i="19" s="1"/>
  <c r="H34" i="19"/>
  <c r="I34" i="19" s="1"/>
  <c r="I61" i="19" l="1"/>
  <c r="I60" i="19"/>
  <c r="I59" i="19"/>
  <c r="I58" i="19"/>
  <c r="H51" i="19"/>
  <c r="I51" i="19" s="1"/>
  <c r="H55" i="19"/>
  <c r="I55" i="19" s="1"/>
  <c r="H54" i="19"/>
  <c r="I54" i="19" s="1"/>
  <c r="H53" i="19"/>
  <c r="I53" i="19" s="1"/>
  <c r="H52" i="19"/>
  <c r="I52" i="19" s="1"/>
  <c r="H48" i="19"/>
  <c r="I48" i="19" s="1"/>
  <c r="H47" i="19"/>
  <c r="I47" i="19" s="1"/>
  <c r="H46" i="19"/>
  <c r="I46" i="19" s="1"/>
  <c r="H45" i="19"/>
  <c r="I45" i="19" s="1"/>
  <c r="H42" i="19"/>
  <c r="I42" i="19" s="1"/>
  <c r="H41" i="19"/>
  <c r="I41" i="19" s="1"/>
  <c r="H40" i="19"/>
  <c r="I40" i="19" s="1"/>
  <c r="H39" i="19"/>
  <c r="I39" i="19" s="1"/>
  <c r="H31" i="19"/>
  <c r="I31" i="19" s="1"/>
  <c r="H30" i="19"/>
  <c r="I30" i="19" s="1"/>
  <c r="H29" i="19"/>
  <c r="I29" i="19" s="1"/>
  <c r="H26" i="19"/>
  <c r="I26" i="19" s="1"/>
  <c r="H25" i="19"/>
  <c r="I25" i="19" s="1"/>
  <c r="H24" i="19"/>
  <c r="I24" i="19" s="1"/>
  <c r="H21" i="19"/>
  <c r="I21" i="19" s="1"/>
  <c r="H20" i="19"/>
  <c r="I20" i="19" s="1"/>
  <c r="H19" i="19"/>
  <c r="I19" i="19" s="1"/>
  <c r="H16" i="19"/>
  <c r="I16" i="19" s="1"/>
  <c r="H15" i="19"/>
  <c r="I15" i="19" s="1"/>
  <c r="H14" i="19"/>
  <c r="I14" i="19" s="1"/>
  <c r="H11" i="19"/>
  <c r="I11" i="19" s="1"/>
  <c r="I8" i="19"/>
  <c r="H8" i="19"/>
  <c r="H8" i="18" l="1"/>
  <c r="I8" i="18"/>
  <c r="H11" i="18" l="1"/>
  <c r="I11" i="18" s="1"/>
  <c r="H60" i="14" l="1"/>
  <c r="I60" i="14" s="1"/>
  <c r="H59" i="14"/>
  <c r="I59" i="14" s="1"/>
  <c r="H58" i="14"/>
  <c r="I58" i="14" s="1"/>
  <c r="H57" i="14"/>
  <c r="I57" i="14" s="1"/>
  <c r="H8" i="17" l="1"/>
  <c r="I8" i="17" s="1"/>
  <c r="H9" i="17"/>
  <c r="I9" i="17" s="1"/>
  <c r="H10" i="17"/>
  <c r="I10" i="17" s="1"/>
  <c r="H11" i="17"/>
  <c r="I11" i="17" s="1"/>
  <c r="H14" i="17"/>
  <c r="I14" i="17" s="1"/>
  <c r="H15" i="17"/>
  <c r="I15" i="17" s="1"/>
  <c r="H16" i="17"/>
  <c r="I16" i="17" s="1"/>
  <c r="H17" i="17"/>
  <c r="I17" i="17" s="1"/>
  <c r="H18" i="17"/>
  <c r="I18" i="17" s="1"/>
  <c r="H21" i="17"/>
  <c r="I21" i="17" s="1"/>
  <c r="H24" i="17"/>
  <c r="I24" i="17" s="1"/>
  <c r="H27" i="17"/>
  <c r="I27" i="17" s="1"/>
  <c r="H28" i="17"/>
  <c r="I28" i="17" s="1"/>
  <c r="H29" i="17"/>
  <c r="I29" i="17" s="1"/>
  <c r="H32" i="17"/>
  <c r="I32" i="17" s="1"/>
  <c r="H33" i="17"/>
  <c r="I33" i="17" s="1"/>
  <c r="H34" i="17"/>
  <c r="I34" i="17" s="1"/>
  <c r="H37" i="17"/>
  <c r="I37" i="17" s="1"/>
  <c r="H38" i="17"/>
  <c r="I38" i="17" s="1"/>
  <c r="H39" i="17"/>
  <c r="I39" i="17" s="1"/>
  <c r="H42" i="17"/>
  <c r="I42" i="17" s="1"/>
  <c r="H43" i="17"/>
  <c r="I43" i="17" s="1"/>
  <c r="H44" i="17"/>
  <c r="I44" i="17" s="1"/>
  <c r="H47" i="17"/>
  <c r="I47" i="17" s="1"/>
  <c r="H48" i="17"/>
  <c r="I48" i="17" s="1"/>
  <c r="H49" i="17"/>
  <c r="I49" i="17" s="1"/>
  <c r="H52" i="17"/>
  <c r="I52" i="17" s="1"/>
  <c r="H55" i="17"/>
  <c r="I55" i="17" s="1"/>
  <c r="H56" i="17"/>
  <c r="I56" i="17" s="1"/>
  <c r="H57" i="17"/>
  <c r="I57" i="17" s="1"/>
  <c r="H58" i="17"/>
  <c r="I58" i="17" s="1"/>
  <c r="H61" i="17"/>
  <c r="I61" i="17" s="1"/>
  <c r="H62" i="17"/>
  <c r="I62" i="17" s="1"/>
  <c r="H63" i="17"/>
  <c r="I63" i="17" s="1"/>
  <c r="H66" i="17"/>
  <c r="I66" i="17" s="1"/>
  <c r="H67" i="17"/>
  <c r="I67" i="17" s="1"/>
  <c r="H68" i="17"/>
  <c r="I68" i="17" s="1"/>
  <c r="H71" i="17"/>
  <c r="I71" i="17" s="1"/>
  <c r="H72" i="17"/>
  <c r="I72" i="17" s="1"/>
  <c r="H73" i="17"/>
  <c r="I73" i="17" s="1"/>
  <c r="H76" i="17"/>
  <c r="I76" i="17" s="1"/>
  <c r="H77" i="17"/>
  <c r="I77" i="17" s="1"/>
  <c r="H78" i="17"/>
  <c r="I78" i="17" s="1"/>
  <c r="H79" i="17"/>
  <c r="I79" i="17" s="1"/>
  <c r="H82" i="17"/>
  <c r="I82" i="17" s="1"/>
  <c r="H83" i="17"/>
  <c r="I83" i="17" s="1"/>
  <c r="H84" i="17"/>
  <c r="I84" i="17" s="1"/>
  <c r="H85" i="17"/>
  <c r="I85" i="17" s="1"/>
  <c r="H88" i="17"/>
  <c r="I88" i="17" s="1"/>
  <c r="H89" i="17"/>
  <c r="I89" i="17" s="1"/>
  <c r="H90" i="17"/>
  <c r="I90" i="17" s="1"/>
  <c r="H99" i="17"/>
  <c r="I99" i="17" s="1"/>
  <c r="H100" i="17"/>
  <c r="I100" i="17"/>
  <c r="H101" i="17"/>
  <c r="I101" i="17" s="1"/>
  <c r="H104" i="17"/>
  <c r="I104" i="17" s="1"/>
  <c r="H105" i="17"/>
  <c r="I105" i="17" s="1"/>
  <c r="H106" i="17"/>
  <c r="I106" i="17" s="1"/>
  <c r="H109" i="17"/>
  <c r="I109" i="17" s="1"/>
  <c r="H110" i="17"/>
  <c r="I110" i="17" s="1"/>
  <c r="H111" i="17"/>
  <c r="I111" i="17" s="1"/>
  <c r="H26" i="14" l="1"/>
  <c r="I26" i="14" s="1"/>
  <c r="H96" i="17" l="1"/>
  <c r="I96" i="17" s="1"/>
  <c r="H95" i="17"/>
  <c r="I95" i="17" s="1"/>
  <c r="H94" i="17"/>
  <c r="I94" i="17" s="1"/>
  <c r="H93" i="17"/>
  <c r="I93" i="17" s="1"/>
  <c r="H8" i="8" l="1"/>
  <c r="I8" i="8" s="1"/>
  <c r="H11" i="8"/>
  <c r="I11" i="8" s="1"/>
  <c r="H12" i="8"/>
  <c r="I12" i="8" s="1"/>
  <c r="H13" i="8"/>
  <c r="I13" i="8" s="1"/>
  <c r="H16" i="8"/>
  <c r="I16" i="8" s="1"/>
  <c r="H19" i="8"/>
  <c r="I19" i="8" s="1"/>
  <c r="H22" i="8"/>
  <c r="I22" i="8" s="1"/>
  <c r="H25" i="8"/>
  <c r="I25" i="8" s="1"/>
  <c r="H26" i="8"/>
  <c r="I26" i="8"/>
  <c r="H27" i="8"/>
  <c r="I27" i="8" s="1"/>
  <c r="H28" i="8"/>
  <c r="I28" i="8" s="1"/>
  <c r="H31" i="8"/>
  <c r="I31" i="8"/>
  <c r="H32" i="8"/>
  <c r="I32" i="8" s="1"/>
  <c r="H33" i="8"/>
  <c r="I33" i="8" s="1"/>
  <c r="H34" i="8"/>
  <c r="I34" i="8"/>
  <c r="I22" i="16" l="1"/>
  <c r="H19" i="16"/>
  <c r="I19" i="16" s="1"/>
  <c r="H18" i="16"/>
  <c r="I18" i="16" s="1"/>
  <c r="H17" i="16"/>
  <c r="I17" i="16" s="1"/>
  <c r="H14" i="16"/>
  <c r="I14" i="16" s="1"/>
  <c r="H11" i="16"/>
  <c r="I11" i="16" s="1"/>
  <c r="H8" i="16"/>
  <c r="I8" i="16" s="1"/>
  <c r="H19" i="14" l="1"/>
  <c r="H77" i="14" l="1"/>
  <c r="I77" i="14"/>
  <c r="H76" i="14"/>
  <c r="I76" i="14" s="1"/>
  <c r="H75" i="14"/>
  <c r="I75" i="14" s="1"/>
  <c r="H74" i="14"/>
  <c r="I74" i="14" s="1"/>
  <c r="H32" i="14"/>
  <c r="I32" i="14" s="1"/>
  <c r="H31" i="14"/>
  <c r="I31" i="14" s="1"/>
  <c r="H30" i="14"/>
  <c r="I30" i="14" s="1"/>
  <c r="H71" i="14" l="1"/>
  <c r="I71" i="14" s="1"/>
  <c r="H70" i="14"/>
  <c r="I70" i="14" s="1"/>
  <c r="H69" i="14"/>
  <c r="I69" i="14" s="1"/>
  <c r="H66" i="14"/>
  <c r="I66" i="14" s="1"/>
  <c r="H65" i="14"/>
  <c r="I65" i="14" s="1"/>
  <c r="H64" i="14"/>
  <c r="I64" i="14" s="1"/>
  <c r="H63" i="14"/>
  <c r="I63" i="14" s="1"/>
  <c r="H54" i="14" l="1"/>
  <c r="I54" i="14" s="1"/>
  <c r="H53" i="14"/>
  <c r="I53" i="14" s="1"/>
  <c r="H52" i="14"/>
  <c r="I52" i="14" s="1"/>
  <c r="H51" i="14"/>
  <c r="I51" i="14" s="1"/>
  <c r="H46" i="14"/>
  <c r="H38" i="14"/>
  <c r="I38" i="14" s="1"/>
  <c r="H37" i="14"/>
  <c r="I37" i="14" s="1"/>
  <c r="H36" i="14"/>
  <c r="I36" i="14" s="1"/>
  <c r="H35" i="14"/>
  <c r="I35" i="14" s="1"/>
  <c r="H22" i="14" l="1"/>
  <c r="I22" i="14" s="1"/>
  <c r="H21" i="14"/>
  <c r="I21" i="14" s="1"/>
  <c r="H20" i="14"/>
  <c r="I20" i="14" s="1"/>
  <c r="I19" i="14"/>
  <c r="H16" i="14"/>
  <c r="I16" i="14" s="1"/>
  <c r="H15" i="14"/>
  <c r="I15" i="14" s="1"/>
  <c r="H14" i="14"/>
  <c r="I14" i="14" s="1"/>
  <c r="H48" i="14"/>
  <c r="I48" i="14" s="1"/>
  <c r="H47" i="14"/>
  <c r="I47" i="14" s="1"/>
  <c r="I46" i="14"/>
  <c r="H43" i="14"/>
  <c r="I43" i="14" s="1"/>
  <c r="H42" i="14"/>
  <c r="I42" i="14" s="1"/>
  <c r="H41" i="14"/>
  <c r="I41" i="14" s="1"/>
  <c r="H27" i="14"/>
  <c r="I27" i="14" s="1"/>
  <c r="H25" i="14"/>
  <c r="I25" i="14" s="1"/>
  <c r="H8" i="11" l="1"/>
  <c r="I8" i="11" s="1"/>
  <c r="H11" i="11"/>
  <c r="I11" i="11" s="1"/>
  <c r="H12" i="11"/>
  <c r="I12" i="11" s="1"/>
  <c r="H13" i="11"/>
  <c r="I13" i="11" s="1"/>
  <c r="H14" i="11"/>
  <c r="I14" i="11"/>
  <c r="H15" i="11"/>
  <c r="I15" i="11" s="1"/>
  <c r="H16" i="11"/>
  <c r="I16" i="11" s="1"/>
  <c r="H19" i="11"/>
  <c r="I19" i="11" s="1"/>
  <c r="H20" i="11"/>
  <c r="I20" i="11"/>
  <c r="H21" i="11"/>
  <c r="I21" i="11" s="1"/>
  <c r="H24" i="11"/>
  <c r="I24" i="11" s="1"/>
  <c r="H25" i="11"/>
  <c r="I25" i="11" s="1"/>
  <c r="H26" i="11"/>
  <c r="I26" i="11" s="1"/>
  <c r="H29" i="11"/>
  <c r="I29" i="11"/>
  <c r="H30" i="11"/>
  <c r="I30" i="11" s="1"/>
  <c r="H31" i="11"/>
  <c r="I31" i="11" s="1"/>
  <c r="H34" i="11"/>
  <c r="I34" i="11"/>
  <c r="H35" i="11"/>
  <c r="I35" i="11" s="1"/>
  <c r="H36" i="11"/>
  <c r="I36" i="11" s="1"/>
  <c r="H37" i="11"/>
  <c r="I37" i="11" s="1"/>
  <c r="H40" i="11"/>
  <c r="I40" i="11" s="1"/>
  <c r="H41" i="11"/>
  <c r="I41" i="11"/>
  <c r="H42" i="11"/>
  <c r="I42" i="11" s="1"/>
  <c r="H45" i="11"/>
  <c r="I45" i="11" s="1"/>
  <c r="H46" i="11"/>
  <c r="I46" i="11"/>
  <c r="H47" i="11"/>
  <c r="I47" i="11" s="1"/>
  <c r="H50" i="11" l="1"/>
  <c r="I50" i="11" s="1"/>
  <c r="H11" i="7"/>
  <c r="I11" i="7"/>
  <c r="H11" i="10"/>
  <c r="I11" i="10" s="1"/>
  <c r="H12" i="10"/>
  <c r="I12" i="10" s="1"/>
  <c r="H13" i="10"/>
  <c r="I13" i="10" s="1"/>
  <c r="H14" i="10"/>
  <c r="I14" i="10" s="1"/>
  <c r="H17" i="10"/>
  <c r="I17" i="10" s="1"/>
  <c r="H18" i="10"/>
  <c r="I18" i="10"/>
  <c r="H19" i="10"/>
  <c r="I19" i="10" s="1"/>
  <c r="H87" i="6" l="1"/>
  <c r="H8" i="10" l="1"/>
  <c r="I8" i="10" s="1"/>
  <c r="I53" i="1" l="1"/>
  <c r="I52" i="1"/>
  <c r="I51" i="1"/>
  <c r="H47" i="9" l="1"/>
  <c r="H13" i="9"/>
  <c r="H65" i="9" l="1"/>
  <c r="I65" i="9" s="1"/>
  <c r="H64" i="9"/>
  <c r="I64" i="9" s="1"/>
  <c r="H61" i="9"/>
  <c r="I61" i="9" s="1"/>
  <c r="H60" i="9"/>
  <c r="I60" i="9" s="1"/>
  <c r="H57" i="9" l="1"/>
  <c r="I57" i="9" s="1"/>
  <c r="H54" i="9"/>
  <c r="I54" i="9" s="1"/>
  <c r="H51" i="9" l="1"/>
  <c r="I51" i="9" s="1"/>
  <c r="H50" i="9"/>
  <c r="I50" i="9" s="1"/>
  <c r="H49" i="9"/>
  <c r="I49" i="9" s="1"/>
  <c r="I47" i="9"/>
  <c r="H48" i="9"/>
  <c r="I48" i="9" s="1"/>
  <c r="H21" i="9"/>
  <c r="I21" i="9" s="1"/>
  <c r="H20" i="9"/>
  <c r="I20" i="9" s="1"/>
  <c r="H19" i="9"/>
  <c r="I19" i="9" s="1"/>
  <c r="H18" i="9"/>
  <c r="I18" i="9" s="1"/>
  <c r="I44" i="9" l="1"/>
  <c r="I43" i="9"/>
  <c r="I42" i="9"/>
  <c r="I41" i="9"/>
  <c r="I40" i="9"/>
  <c r="I37" i="9"/>
  <c r="I36" i="9"/>
  <c r="I35" i="9"/>
  <c r="I34" i="9"/>
  <c r="I33" i="9"/>
  <c r="I30" i="9" l="1"/>
  <c r="H27" i="9"/>
  <c r="I27" i="9" s="1"/>
  <c r="H24" i="9"/>
  <c r="I24" i="9" s="1"/>
  <c r="H15" i="9" l="1"/>
  <c r="I15" i="9" s="1"/>
  <c r="H14" i="9"/>
  <c r="I14" i="9" s="1"/>
  <c r="H10" i="9"/>
  <c r="I10" i="9" s="1"/>
  <c r="H9" i="9"/>
  <c r="I9" i="9" s="1"/>
  <c r="H8" i="9"/>
  <c r="I8" i="9" s="1"/>
  <c r="I13" i="9"/>
  <c r="H38" i="8" l="1"/>
  <c r="I38" i="8" s="1"/>
  <c r="H39" i="8"/>
  <c r="I39" i="8" s="1"/>
  <c r="H37" i="8"/>
  <c r="I37" i="8" s="1"/>
  <c r="H96" i="6" l="1"/>
  <c r="I96" i="6" s="1"/>
  <c r="H95" i="6"/>
  <c r="I95" i="6" s="1"/>
  <c r="H94" i="6"/>
  <c r="I94" i="6" s="1"/>
  <c r="H93" i="6"/>
  <c r="I93" i="6" s="1"/>
  <c r="H92" i="6"/>
  <c r="I92" i="6" s="1"/>
  <c r="H80" i="7" l="1"/>
  <c r="I80" i="7" s="1"/>
  <c r="H77" i="7" l="1"/>
  <c r="H76" i="7"/>
  <c r="I76" i="7" s="1"/>
  <c r="H75" i="7"/>
  <c r="I75" i="7" s="1"/>
  <c r="I77" i="7"/>
  <c r="H72" i="7"/>
  <c r="I72" i="7" s="1"/>
  <c r="H71" i="7"/>
  <c r="I71" i="7" s="1"/>
  <c r="H70" i="7"/>
  <c r="I70" i="7" s="1"/>
  <c r="H69" i="7"/>
  <c r="I69" i="7" s="1"/>
  <c r="H68" i="7"/>
  <c r="I68" i="7" s="1"/>
  <c r="H67" i="7"/>
  <c r="I67" i="7" s="1"/>
  <c r="H64" i="7" l="1"/>
  <c r="I64" i="7" s="1"/>
  <c r="H63" i="7"/>
  <c r="I63" i="7"/>
  <c r="H58" i="7"/>
  <c r="I58" i="7" s="1"/>
  <c r="H60" i="7"/>
  <c r="I60" i="7" s="1"/>
  <c r="H59" i="7"/>
  <c r="I59" i="7" s="1"/>
  <c r="H19" i="7" l="1"/>
  <c r="I19" i="7" s="1"/>
  <c r="H18" i="7"/>
  <c r="I18" i="7" s="1"/>
  <c r="H17" i="7"/>
  <c r="I17" i="7" s="1"/>
  <c r="H22" i="7"/>
  <c r="I22" i="7" s="1"/>
  <c r="I25" i="7"/>
  <c r="I26" i="7"/>
  <c r="H8" i="7" l="1"/>
  <c r="I8" i="7" s="1"/>
  <c r="H55" i="7" l="1"/>
  <c r="I55" i="7" s="1"/>
  <c r="H54" i="7"/>
  <c r="I54" i="7" s="1"/>
  <c r="H53" i="7"/>
  <c r="I53" i="7" s="1"/>
  <c r="H52" i="7"/>
  <c r="I52" i="7" s="1"/>
  <c r="H51" i="7"/>
  <c r="I51" i="7" s="1"/>
  <c r="H48" i="7"/>
  <c r="I48" i="7" s="1"/>
  <c r="I45" i="7"/>
  <c r="I33" i="7"/>
  <c r="I34" i="7"/>
  <c r="I35" i="7"/>
  <c r="I36" i="7"/>
  <c r="I32" i="7"/>
  <c r="I27" i="7"/>
  <c r="I28" i="7"/>
  <c r="I29" i="7"/>
  <c r="H14" i="7" l="1"/>
  <c r="I14" i="7" s="1"/>
  <c r="H13" i="7"/>
  <c r="I13" i="7" s="1"/>
  <c r="H12" i="7"/>
  <c r="I12" i="7" s="1"/>
  <c r="H134" i="1"/>
  <c r="I134" i="1" s="1"/>
  <c r="H185" i="6" l="1"/>
  <c r="I185" i="6" s="1"/>
  <c r="H184" i="6"/>
  <c r="I184" i="6" s="1"/>
  <c r="H183" i="6"/>
  <c r="I183" i="6" s="1"/>
  <c r="H182" i="6"/>
  <c r="I182" i="6" s="1"/>
  <c r="H180" i="6"/>
  <c r="I180" i="6" s="1"/>
  <c r="H181" i="6"/>
  <c r="I181" i="6" s="1"/>
  <c r="H179" i="6"/>
  <c r="I179" i="6" s="1"/>
  <c r="H89" i="6" l="1"/>
  <c r="I89" i="6" s="1"/>
  <c r="H88" i="6" l="1"/>
  <c r="I88" i="6" s="1"/>
  <c r="H176" i="6" l="1"/>
  <c r="I176" i="6" s="1"/>
  <c r="H175" i="6"/>
  <c r="I175" i="6" s="1"/>
  <c r="H174" i="6"/>
  <c r="I174" i="6" s="1"/>
  <c r="H173" i="6"/>
  <c r="I173" i="6" s="1"/>
  <c r="H164" i="6"/>
  <c r="I164" i="6" s="1"/>
  <c r="H163" i="6"/>
  <c r="I163" i="6" s="1"/>
  <c r="H162" i="6"/>
  <c r="I162" i="6" s="1"/>
  <c r="H161" i="6"/>
  <c r="I161" i="6" s="1"/>
  <c r="H170" i="6"/>
  <c r="I170" i="6" s="1"/>
  <c r="H169" i="6"/>
  <c r="I169" i="6" s="1"/>
  <c r="H168" i="6"/>
  <c r="I168" i="6" s="1"/>
  <c r="H167" i="6"/>
  <c r="I167" i="6" s="1"/>
  <c r="H147" i="6"/>
  <c r="I147" i="6" s="1"/>
  <c r="H135" i="6"/>
  <c r="I135" i="6" s="1"/>
  <c r="H134" i="6"/>
  <c r="I134" i="6" s="1"/>
  <c r="H158" i="6" l="1"/>
  <c r="I158" i="6" s="1"/>
  <c r="H157" i="6"/>
  <c r="I157" i="6" s="1"/>
  <c r="H156" i="6"/>
  <c r="I156" i="6" s="1"/>
  <c r="H155" i="6"/>
  <c r="I155" i="6" s="1"/>
  <c r="H154" i="6"/>
  <c r="I154" i="6" s="1"/>
  <c r="H153" i="6"/>
  <c r="I153" i="6" s="1"/>
  <c r="H150" i="6"/>
  <c r="I150" i="6" s="1"/>
  <c r="H149" i="6"/>
  <c r="I149" i="6" s="1"/>
  <c r="H148" i="6"/>
  <c r="I148" i="6" s="1"/>
  <c r="H146" i="6"/>
  <c r="I146" i="6" s="1"/>
  <c r="H145" i="6"/>
  <c r="I145" i="6" s="1"/>
  <c r="H142" i="6"/>
  <c r="I142" i="6" s="1"/>
  <c r="H141" i="6"/>
  <c r="I141" i="6" s="1"/>
  <c r="H140" i="6"/>
  <c r="I140" i="6" s="1"/>
  <c r="H139" i="6"/>
  <c r="I139" i="6" s="1"/>
  <c r="H138" i="6"/>
  <c r="I138" i="6" s="1"/>
  <c r="H131" i="6" l="1"/>
  <c r="I131" i="6" s="1"/>
  <c r="H125" i="6" l="1"/>
  <c r="I128" i="6" l="1"/>
  <c r="H128" i="6"/>
  <c r="I125" i="6"/>
  <c r="I108" i="6" l="1"/>
  <c r="I105" i="6"/>
  <c r="I102" i="6"/>
  <c r="I99" i="6"/>
  <c r="H176" i="1" l="1"/>
  <c r="I176" i="1" s="1"/>
  <c r="I173" i="1"/>
  <c r="I172" i="1"/>
  <c r="I171" i="1"/>
  <c r="I170" i="1"/>
  <c r="I167" i="1"/>
  <c r="H164" i="1"/>
  <c r="I164" i="1" s="1"/>
  <c r="I161" i="1"/>
  <c r="H161" i="1"/>
  <c r="I160" i="1"/>
  <c r="H160" i="1"/>
  <c r="I159" i="1"/>
  <c r="H159" i="1"/>
  <c r="I158" i="1"/>
  <c r="H158" i="1"/>
  <c r="I155" i="1"/>
  <c r="H155" i="1"/>
  <c r="I154" i="1"/>
  <c r="H154" i="1"/>
  <c r="I153" i="1"/>
  <c r="H153" i="1"/>
  <c r="I152" i="1"/>
  <c r="H152" i="1"/>
  <c r="I149" i="1"/>
  <c r="H146" i="1"/>
  <c r="I146" i="1" s="1"/>
  <c r="H145" i="1"/>
  <c r="I145" i="1" s="1"/>
  <c r="H144" i="1"/>
  <c r="I144" i="1" s="1"/>
  <c r="H143" i="1"/>
  <c r="I143" i="1" s="1"/>
  <c r="I140" i="1"/>
  <c r="H140" i="1"/>
  <c r="I137" i="1"/>
  <c r="H137" i="1"/>
  <c r="H131" i="1"/>
  <c r="I131" i="1" s="1"/>
  <c r="H130" i="1"/>
  <c r="I130" i="1" s="1"/>
  <c r="H129" i="1"/>
  <c r="I129" i="1" s="1"/>
  <c r="I128" i="1"/>
  <c r="H125" i="1"/>
  <c r="I125" i="1" s="1"/>
  <c r="H124" i="1"/>
  <c r="I124" i="1" s="1"/>
  <c r="H123" i="1"/>
  <c r="I123" i="1" s="1"/>
  <c r="H120" i="1"/>
  <c r="I120" i="1" s="1"/>
  <c r="H119" i="1"/>
  <c r="I119" i="1" s="1"/>
  <c r="H118" i="1"/>
  <c r="I118" i="1" s="1"/>
  <c r="H117" i="1"/>
  <c r="I117" i="1" s="1"/>
  <c r="H114" i="1"/>
  <c r="I114" i="1" s="1"/>
  <c r="H111" i="1"/>
  <c r="I111" i="1" s="1"/>
  <c r="H108" i="1"/>
  <c r="I108" i="1" s="1"/>
  <c r="I105" i="1"/>
  <c r="H105" i="1"/>
  <c r="I102" i="1"/>
  <c r="I99" i="1"/>
  <c r="H99" i="1"/>
  <c r="I98" i="1"/>
  <c r="H98" i="1"/>
  <c r="I97" i="1"/>
  <c r="H97" i="1"/>
  <c r="I96" i="1"/>
  <c r="H96" i="1"/>
  <c r="I93" i="1"/>
  <c r="I92" i="1"/>
  <c r="I91" i="1"/>
  <c r="I88" i="1"/>
  <c r="I87" i="1"/>
  <c r="I86" i="1"/>
  <c r="I83" i="1"/>
  <c r="I82" i="1"/>
  <c r="I81" i="1"/>
  <c r="I80" i="1"/>
  <c r="I77" i="1"/>
  <c r="I76" i="1"/>
  <c r="I75" i="1"/>
  <c r="I74" i="1"/>
  <c r="I71" i="1"/>
  <c r="I70" i="1"/>
  <c r="I69" i="1"/>
  <c r="I68" i="1"/>
  <c r="I65" i="1"/>
  <c r="I64" i="1"/>
  <c r="I63" i="1"/>
  <c r="I62" i="1"/>
  <c r="I59" i="1"/>
  <c r="I58" i="1"/>
  <c r="I57" i="1"/>
  <c r="I56" i="1"/>
  <c r="H48" i="1"/>
  <c r="I48" i="1" s="1"/>
  <c r="H47" i="1"/>
  <c r="I47" i="1" s="1"/>
  <c r="I46" i="1"/>
  <c r="I45" i="1"/>
  <c r="I42" i="1"/>
  <c r="H42" i="1"/>
  <c r="I41" i="1"/>
  <c r="H41" i="1"/>
  <c r="I40" i="1"/>
  <c r="H40" i="1"/>
  <c r="I39" i="1"/>
  <c r="H39" i="1"/>
  <c r="H30" i="1"/>
  <c r="I30" i="1" s="1"/>
  <c r="H27" i="1"/>
  <c r="I27" i="1" s="1"/>
  <c r="H24" i="1"/>
  <c r="I24" i="1" s="1"/>
  <c r="H21" i="1"/>
  <c r="I21" i="1" s="1"/>
  <c r="H20" i="1"/>
  <c r="I20" i="1" s="1"/>
  <c r="H19" i="1"/>
  <c r="I19" i="1" s="1"/>
  <c r="H18" i="1"/>
  <c r="I18" i="1" s="1"/>
  <c r="I12" i="1"/>
  <c r="H12" i="1"/>
  <c r="I11" i="1"/>
  <c r="H11" i="1"/>
  <c r="I10" i="1"/>
  <c r="H10" i="1"/>
  <c r="I9" i="1"/>
  <c r="H9" i="1"/>
  <c r="I8" i="1"/>
  <c r="H8" i="1"/>
  <c r="H122" i="6" l="1"/>
  <c r="I122" i="6" s="1"/>
  <c r="H119" i="6"/>
  <c r="I119" i="6" s="1"/>
  <c r="H35" i="6" l="1"/>
  <c r="H116" i="6"/>
  <c r="I116" i="6" s="1"/>
  <c r="H115" i="6"/>
  <c r="I115" i="6" s="1"/>
  <c r="H114" i="6"/>
  <c r="I114" i="6" s="1"/>
  <c r="H113" i="6"/>
  <c r="I113" i="6" s="1"/>
  <c r="H112" i="6"/>
  <c r="I112" i="6" s="1"/>
  <c r="H111" i="6"/>
  <c r="I111" i="6" s="1"/>
  <c r="I87" i="6" l="1"/>
  <c r="H84" i="6" l="1"/>
  <c r="I84" i="6" s="1"/>
  <c r="H83" i="6"/>
  <c r="I83" i="6" s="1"/>
  <c r="H82" i="6"/>
  <c r="I82" i="6" s="1"/>
  <c r="H81" i="6"/>
  <c r="I81" i="6" s="1"/>
  <c r="H78" i="6"/>
  <c r="I78" i="6" s="1"/>
  <c r="H77" i="6"/>
  <c r="I77" i="6" s="1"/>
  <c r="H76" i="6"/>
  <c r="I76" i="6" s="1"/>
  <c r="H75" i="6"/>
  <c r="I75" i="6" s="1"/>
  <c r="H72" i="6"/>
  <c r="I72" i="6" s="1"/>
  <c r="H71" i="6"/>
  <c r="I71" i="6" s="1"/>
  <c r="H70" i="6"/>
  <c r="I70" i="6" s="1"/>
  <c r="H69" i="6"/>
  <c r="I69" i="6" s="1"/>
  <c r="H66" i="6"/>
  <c r="I66" i="6" s="1"/>
  <c r="H65" i="6"/>
  <c r="I65" i="6" s="1"/>
  <c r="H64" i="6"/>
  <c r="I64" i="6" s="1"/>
  <c r="H63" i="6"/>
  <c r="I63" i="6" s="1"/>
  <c r="H60" i="6"/>
  <c r="I60" i="6" s="1"/>
  <c r="H59" i="6"/>
  <c r="I59" i="6" s="1"/>
  <c r="H58" i="6"/>
  <c r="I58" i="6" s="1"/>
  <c r="H57" i="6"/>
  <c r="I57" i="6" s="1"/>
  <c r="H54" i="6"/>
  <c r="I54" i="6" s="1"/>
  <c r="H53" i="6"/>
  <c r="I53" i="6" s="1"/>
  <c r="H52" i="6"/>
  <c r="I52" i="6" s="1"/>
  <c r="H51" i="6"/>
  <c r="I51" i="6" s="1"/>
  <c r="H48" i="6"/>
  <c r="I48" i="6" s="1"/>
  <c r="H47" i="6"/>
  <c r="I47" i="6" s="1"/>
  <c r="H46" i="6"/>
  <c r="I46" i="6" s="1"/>
  <c r="H45" i="6"/>
  <c r="I45" i="6" s="1"/>
  <c r="H42" i="6"/>
  <c r="I42" i="6" s="1"/>
  <c r="H41" i="6"/>
  <c r="I41" i="6" s="1"/>
  <c r="H40" i="6"/>
  <c r="I40" i="6" s="1"/>
  <c r="H39" i="6"/>
  <c r="I39" i="6" s="1"/>
  <c r="H36" i="6"/>
  <c r="I36" i="6"/>
  <c r="I35" i="6"/>
  <c r="I34" i="6"/>
  <c r="H34" i="6"/>
  <c r="H31" i="6" l="1"/>
  <c r="I31" i="6" s="1"/>
  <c r="I25" i="6"/>
  <c r="H25" i="6"/>
  <c r="I19" i="6"/>
  <c r="H19" i="6"/>
  <c r="H20" i="6"/>
  <c r="H14" i="6"/>
  <c r="I14" i="6" s="1"/>
  <c r="H11" i="6" l="1"/>
  <c r="I11" i="6" s="1"/>
  <c r="H10" i="6"/>
  <c r="I10" i="6" s="1"/>
  <c r="H9" i="6"/>
  <c r="I9" i="6" s="1"/>
  <c r="H8" i="6"/>
  <c r="I8" i="6" s="1"/>
  <c r="I28" i="6"/>
  <c r="H28" i="6"/>
  <c r="I27" i="6"/>
  <c r="H27" i="6"/>
  <c r="I26" i="6"/>
  <c r="H26" i="6"/>
  <c r="I24" i="6"/>
  <c r="H24" i="6"/>
  <c r="I21" i="6"/>
  <c r="H21" i="6"/>
  <c r="I20" i="6"/>
  <c r="I18" i="6"/>
  <c r="H18" i="6"/>
  <c r="I17" i="6"/>
  <c r="H17" i="6"/>
  <c r="H8" i="4" l="1"/>
  <c r="I8" i="4" s="1"/>
  <c r="H9" i="4"/>
  <c r="I9" i="4" s="1"/>
  <c r="H10" i="4"/>
  <c r="I10" i="4"/>
  <c r="H11" i="4"/>
  <c r="I11" i="4" s="1"/>
  <c r="H12" i="4"/>
  <c r="I12" i="4" s="1"/>
  <c r="H15" i="4"/>
  <c r="I15" i="4" s="1"/>
  <c r="H16" i="4"/>
  <c r="I16" i="4" s="1"/>
  <c r="H17" i="4"/>
  <c r="I17" i="4" s="1"/>
  <c r="H18" i="4"/>
  <c r="I18" i="4" s="1"/>
  <c r="H19" i="4"/>
  <c r="I19" i="4" s="1"/>
  <c r="H20" i="4"/>
  <c r="I20" i="4" s="1"/>
  <c r="H21" i="4"/>
  <c r="I21" i="4" s="1"/>
  <c r="H31" i="4"/>
  <c r="I31" i="4" s="1"/>
  <c r="H32" i="4"/>
  <c r="I32" i="4" s="1"/>
  <c r="H33" i="4"/>
  <c r="I33" i="4" s="1"/>
  <c r="H34" i="4"/>
  <c r="I34" i="4" s="1"/>
  <c r="H35" i="4"/>
  <c r="I35" i="4" s="1"/>
  <c r="H36" i="4"/>
  <c r="I36" i="4"/>
  <c r="H37" i="4"/>
  <c r="I37" i="4" s="1"/>
  <c r="H97" i="5" l="1"/>
  <c r="I97" i="5" s="1"/>
  <c r="H96" i="5"/>
  <c r="I96" i="5" s="1"/>
  <c r="H95" i="5"/>
  <c r="I95" i="5" s="1"/>
  <c r="H94" i="5"/>
  <c r="I94" i="5" s="1"/>
  <c r="H88" i="5"/>
  <c r="I88" i="5" s="1"/>
  <c r="H91" i="5"/>
  <c r="H90" i="5"/>
  <c r="I90" i="5" s="1"/>
  <c r="H89" i="5"/>
  <c r="I89" i="5" s="1"/>
  <c r="H87" i="5"/>
  <c r="H86" i="5"/>
  <c r="I91" i="5" l="1"/>
  <c r="I87" i="5"/>
  <c r="I86" i="5"/>
  <c r="H50" i="5"/>
  <c r="H20" i="5" l="1"/>
  <c r="H83" i="5" l="1"/>
  <c r="I83" i="5" s="1"/>
  <c r="H82" i="5"/>
  <c r="I82" i="5" s="1"/>
  <c r="H79" i="5"/>
  <c r="I79" i="5" s="1"/>
  <c r="H78" i="5"/>
  <c r="I78" i="5" s="1"/>
  <c r="H77" i="5"/>
  <c r="I77" i="5" s="1"/>
  <c r="H76" i="5"/>
  <c r="I76" i="5" s="1"/>
  <c r="H73" i="5"/>
  <c r="I73" i="5" s="1"/>
  <c r="H72" i="5"/>
  <c r="I72" i="5" s="1"/>
  <c r="H71" i="5"/>
  <c r="I71" i="5" s="1"/>
  <c r="H68" i="5"/>
  <c r="I68" i="5" s="1"/>
  <c r="H67" i="5"/>
  <c r="I67" i="5" s="1"/>
  <c r="H66" i="5"/>
  <c r="I66" i="5" s="1"/>
  <c r="H65" i="5"/>
  <c r="I65" i="5" s="1"/>
  <c r="H62" i="5"/>
  <c r="I62" i="5" s="1"/>
  <c r="H61" i="5"/>
  <c r="I61" i="5" s="1"/>
  <c r="H60" i="5"/>
  <c r="I60" i="5" s="1"/>
  <c r="H59" i="5"/>
  <c r="I59" i="5" s="1"/>
  <c r="H58" i="5"/>
  <c r="I58" i="5" s="1"/>
  <c r="H57" i="5"/>
  <c r="I57" i="5" s="1"/>
  <c r="H56" i="5"/>
  <c r="I56" i="5" s="1"/>
  <c r="H53" i="5"/>
  <c r="I53" i="5" s="1"/>
  <c r="H52" i="5"/>
  <c r="I52" i="5" s="1"/>
  <c r="H51" i="5"/>
  <c r="I51" i="5" s="1"/>
  <c r="I50" i="5"/>
  <c r="H47" i="5"/>
  <c r="I47" i="5" s="1"/>
  <c r="H46" i="5"/>
  <c r="I46" i="5" s="1"/>
  <c r="H45" i="5"/>
  <c r="I45" i="5" s="1"/>
  <c r="H44" i="5"/>
  <c r="I44" i="5" s="1"/>
  <c r="H43" i="5"/>
  <c r="I43" i="5" s="1"/>
  <c r="H42" i="5"/>
  <c r="I42" i="5" s="1"/>
  <c r="H39" i="5"/>
  <c r="I39" i="5" s="1"/>
  <c r="H38" i="5"/>
  <c r="I38" i="5" s="1"/>
  <c r="H37" i="5"/>
  <c r="I37" i="5" s="1"/>
  <c r="H36" i="5"/>
  <c r="I36" i="5" s="1"/>
  <c r="H35" i="5"/>
  <c r="I35" i="5" s="1"/>
  <c r="H34" i="5"/>
  <c r="I34" i="5" s="1"/>
  <c r="H31" i="5"/>
  <c r="I31" i="5" s="1"/>
  <c r="H26" i="5" l="1"/>
  <c r="I26" i="5" s="1"/>
  <c r="H28" i="5"/>
  <c r="H27" i="5"/>
  <c r="H23" i="5" l="1"/>
  <c r="I23" i="5" s="1"/>
  <c r="H22" i="5"/>
  <c r="I22" i="5" s="1"/>
  <c r="H21" i="5"/>
  <c r="I21" i="5" s="1"/>
  <c r="I20" i="5"/>
  <c r="H17" i="5" l="1"/>
  <c r="I17" i="5" s="1"/>
  <c r="H16" i="5"/>
  <c r="I16" i="5" s="1"/>
  <c r="H15" i="5"/>
  <c r="I15" i="5" s="1"/>
  <c r="H14" i="5"/>
  <c r="I14" i="5" s="1"/>
  <c r="H11" i="5"/>
  <c r="I11" i="5" s="1"/>
  <c r="H10" i="5"/>
  <c r="I10" i="5" s="1"/>
  <c r="H9" i="5"/>
  <c r="I9" i="5" s="1"/>
  <c r="H8" i="5"/>
  <c r="I8" i="5" s="1"/>
  <c r="I28" i="5"/>
  <c r="I27" i="5"/>
  <c r="H28" i="4" l="1"/>
  <c r="I28" i="4" s="1"/>
  <c r="H27" i="4"/>
  <c r="I27" i="4" s="1"/>
  <c r="H26" i="4"/>
  <c r="I26" i="4" s="1"/>
  <c r="H25" i="4"/>
  <c r="I25" i="4" s="1"/>
  <c r="H24" i="4"/>
  <c r="I24" i="4" s="1"/>
  <c r="H11" i="2" l="1"/>
  <c r="I11" i="2" s="1"/>
  <c r="H10" i="2"/>
  <c r="I10" i="2" s="1"/>
  <c r="H9" i="2"/>
  <c r="I9" i="2" s="1"/>
  <c r="H8" i="2"/>
  <c r="I8" i="2" s="1"/>
</calcChain>
</file>

<file path=xl/sharedStrings.xml><?xml version="1.0" encoding="utf-8"?>
<sst xmlns="http://schemas.openxmlformats.org/spreadsheetml/2006/main" count="4053" uniqueCount="1139">
  <si>
    <t>משתתפים: איתי צחר - מנכ"ל העירייה, צבי אפרת- ס/גזבר, אילה זיו - נציגת היועמ"ש, רעות סימונס -מ"מ רכזת הוועדה, סגן מהנדס העיר - יוסי לנדאו</t>
  </si>
  <si>
    <t>הערות:</t>
  </si>
  <si>
    <t>1. הבקשות של אגף הנדסה עברו בדיקה ובקרה של יועץ התקשרויות.</t>
  </si>
  <si>
    <t>שם הפרויקט/העבודה</t>
  </si>
  <si>
    <t>המזמין</t>
  </si>
  <si>
    <t>שם המציע</t>
  </si>
  <si>
    <t>ציון סופי</t>
  </si>
  <si>
    <t>חישוב שכ"ט לפי</t>
  </si>
  <si>
    <t>היקף התקשרות משוער</t>
  </si>
  <si>
    <t>סכום/אחוז שכ"ט    (כולל מע"מ)</t>
  </si>
  <si>
    <t>סה"כ שכ"ט    (כולל מע"מ)</t>
  </si>
  <si>
    <t>מאגר יועצים</t>
  </si>
  <si>
    <t>החלטת ועדה</t>
  </si>
  <si>
    <t>סטטוס טיפול</t>
  </si>
  <si>
    <t xml:space="preserve">סעיף תקציבי </t>
  </si>
  <si>
    <t>לפי שעה</t>
  </si>
  <si>
    <t>V</t>
  </si>
  <si>
    <t>אחוז</t>
  </si>
  <si>
    <t>מנהלת מח' תנועה - הילן דהרי</t>
  </si>
  <si>
    <t>מנהל מח' בינוי ופיתוח מוסדות- מיכאל זלדין</t>
  </si>
  <si>
    <t>סכום קבוע</t>
  </si>
  <si>
    <t>החלטה מס' 2019-01-01</t>
  </si>
  <si>
    <t>מנהלת אגף הכנסות- גלית שניידר מימרן</t>
  </si>
  <si>
    <t>החלטה מס' 2019-02-01</t>
  </si>
  <si>
    <t>החלטה מס' 2019-02-02</t>
  </si>
  <si>
    <t>החלטה מס' 2019-02-05</t>
  </si>
  <si>
    <t>2. לאור דחיפות הבקשות מועבר בסבב מיילים.</t>
  </si>
  <si>
    <t>אושרה ההצעה עם הציון המשוקלל הגבוה ביותר</t>
  </si>
  <si>
    <t>פרוטוקול ועדת התקשרויות מס' 2019-01 תאריך: 11/1/19</t>
  </si>
  <si>
    <t>הכנת תכנית פיתוח תשתיות לתחבורה- ותמ"ל 1088</t>
  </si>
  <si>
    <t xml:space="preserve">סגן מהנדסת העיר - יוסי לנדאו </t>
  </si>
  <si>
    <t>גל תכנון וניהול מערכות אורבניות בע"מ</t>
  </si>
  <si>
    <t>אמי מתום בע"מ</t>
  </si>
  <si>
    <t>איל קראוס בע"מ</t>
  </si>
  <si>
    <t>אמאב בע"מ</t>
  </si>
  <si>
    <t>מנהלת מחלקת תכנון- כנרת תירוש</t>
  </si>
  <si>
    <t>מסוף עתיר ידע- בדיקות קרקע</t>
  </si>
  <si>
    <t>סיסטם</t>
  </si>
  <si>
    <t>גאוטסט</t>
  </si>
  <si>
    <t>איזוטופ</t>
  </si>
  <si>
    <t>מכון התקנים</t>
  </si>
  <si>
    <t>שצ"פ קריית חינוך- בדיקות קרקע</t>
  </si>
  <si>
    <t>מרכבה: 13479, תב"ר 23005</t>
  </si>
  <si>
    <t>ברגמן חגית</t>
  </si>
  <si>
    <t>100 שעות חודשיות לתקופה של 2 חודשים</t>
  </si>
  <si>
    <t>אושרה ההצעה עם הציון המשוקלל הגבוה ביותר.</t>
  </si>
  <si>
    <t>אושרה ההצעה לפי סעיף 3.21 לנוהל התקשרויות.</t>
  </si>
  <si>
    <r>
      <t>פרוטוקול ועדת התקשרויות מס' 2019-02</t>
    </r>
    <r>
      <rPr>
        <b/>
        <sz val="16"/>
        <color theme="1"/>
        <rFont val="Arial"/>
        <family val="2"/>
      </rPr>
      <t xml:space="preserve"> תאריך: 20/1/19</t>
    </r>
  </si>
  <si>
    <t>הופץ</t>
  </si>
  <si>
    <t>החלטה מס' 2019-03-01</t>
  </si>
  <si>
    <t>הקמת בית המדרש בבית ספר תורה ומדע</t>
  </si>
  <si>
    <t>החלטה מס' 2019-03-02</t>
  </si>
  <si>
    <t>בועז יגוזינסקי</t>
  </si>
  <si>
    <t>רבקה כרמי</t>
  </si>
  <si>
    <t>יובל גולדנברג</t>
  </si>
  <si>
    <t>ענת חיימוביץ'</t>
  </si>
  <si>
    <t>החלטה מס' 2019-03-03</t>
  </si>
  <si>
    <t>הריסת גן ילדים קיים והקמת גן ילדים חדש (כיתה אחת)- גן ניצנים</t>
  </si>
  <si>
    <t>אדם בקר</t>
  </si>
  <si>
    <t>שירי פרץ</t>
  </si>
  <si>
    <t>יורם יונגמן</t>
  </si>
  <si>
    <t>החלטה מס' 2019-03-04</t>
  </si>
  <si>
    <t>הוספת חדר טיפולים בגן ילדים רינה- רח' דוד המלך</t>
  </si>
  <si>
    <t>מייזי חזקיה</t>
  </si>
  <si>
    <t>מירון לוי</t>
  </si>
  <si>
    <t>החלטה מס' 2019-03-05</t>
  </si>
  <si>
    <t>שדרוג חטיבת ביניים שרת</t>
  </si>
  <si>
    <t>טלי זילבר</t>
  </si>
  <si>
    <t>ניהול ופיקוח על עבודות שיפוץ מוסדות חינוך 2019</t>
  </si>
  <si>
    <t>פאדי בשרה</t>
  </si>
  <si>
    <t>יוליה אביטן</t>
  </si>
  <si>
    <t>יובל גרינוולד</t>
  </si>
  <si>
    <t>אלעזר כהן</t>
  </si>
  <si>
    <t>מריו גולדשטיין</t>
  </si>
  <si>
    <t>יאיר מוצפר</t>
  </si>
  <si>
    <t>כרגע מבוקש אישור עקרוני של שמות היועצים לניהול ופיקוח ללא חוזה,  כך שאין צורך  בנספח שכ"ט</t>
  </si>
  <si>
    <t>אושרו ההצעות עם הציון המשוקלל הגבוה ביותר בכפוף לכך כי לאחר ישיבת ההתארגנות עם היועצים המבוקשים, תעודכן וועדת ההתקשרויות בחלוקת הפרויקטים.</t>
  </si>
  <si>
    <t>פרוטוקול ועדת התקשרויות מס' 2019-03 תאריך: 29/1/19</t>
  </si>
  <si>
    <t xml:space="preserve"> </t>
  </si>
  <si>
    <t>משתתפים: איתי צחר - מנכ"ל העירייה, צבי אפרת- ס/גזבר, אילה זיו - נציגת היועמ"ש, רעות סימונס -מ"מ רכזת הוועדה, סגן מהנדס העיר - יוסי לנדאו, הילן דהרי- מנהלת מחלקת תנועה</t>
  </si>
  <si>
    <t>הנגשת כיתות שמע- ניהול פרויקט</t>
  </si>
  <si>
    <t>רכזת נגישות- עדי אבירם</t>
  </si>
  <si>
    <t>החלטה מס' 2019-04-01</t>
  </si>
  <si>
    <t>אגם ניהול בניה</t>
  </si>
  <si>
    <t>לבטח</t>
  </si>
  <si>
    <t>ב.ס. מהנדסים</t>
  </si>
  <si>
    <t>לפי כיתה</t>
  </si>
  <si>
    <t>30 כיתות</t>
  </si>
  <si>
    <t>א.כ הנדסה</t>
  </si>
  <si>
    <t>הנגשת כיתות שמע- ייעוץ אקוסטי</t>
  </si>
  <si>
    <t>החלטה מס' 2019-04-02</t>
  </si>
  <si>
    <t>א.עדי אקוסטיקה</t>
  </si>
  <si>
    <t>עדוא יאיר</t>
  </si>
  <si>
    <t>לורבר</t>
  </si>
  <si>
    <t>מ.ג. יועצים</t>
  </si>
  <si>
    <t>הנגשת מוסדות חינוך</t>
  </si>
  <si>
    <t>ב.ס מהנדסים</t>
  </si>
  <si>
    <t>טיופ הנדסה</t>
  </si>
  <si>
    <t>שירות נתב קולי</t>
  </si>
  <si>
    <t>מנהל מח' שירות- ליאור גפן</t>
  </si>
  <si>
    <t>acvoca</t>
  </si>
  <si>
    <t>IBC</t>
  </si>
  <si>
    <t>תיקון הגדלת התקשרות-אדריכלית נוף</t>
  </si>
  <si>
    <t>בהמשך להחלטה מס' 2019-02-35 בה אושר הסכום השעתי 234 לפני מע"מ, מבקשים לתקן את הסכום השעתי ל-234 כולל מע"מ.</t>
  </si>
  <si>
    <t>החלטה מס' 2019-04-05</t>
  </si>
  <si>
    <t>שדרוג והרחבת בי"ס גולדה מאיר- תכנון אדריכלי</t>
  </si>
  <si>
    <t>TECH-T-O</t>
  </si>
  <si>
    <t>ענת סמסונוב</t>
  </si>
  <si>
    <t>פרויקט פיתוח חצר חדשנית לימודית בבי"ס אושיסקין- יועץ נגישות</t>
  </si>
  <si>
    <t>אלכס ברגמן</t>
  </si>
  <si>
    <t>מירה מויאל</t>
  </si>
  <si>
    <t>פרויקט פיתוח חצר חדשנית לימודית בבי"ס אושיסקין- יועץ בטיחות</t>
  </si>
  <si>
    <t>פרויקט פיתוח חצר חדשנית לימודית בבי"ס אושיסקין- יעוץ אגרונום</t>
  </si>
  <si>
    <t>אהרון ברגר</t>
  </si>
  <si>
    <t>שבתאי גונן</t>
  </si>
  <si>
    <t>אדיר יעוץ ופיקוח</t>
  </si>
  <si>
    <t>ד.ב.ש</t>
  </si>
  <si>
    <t>פתילת המדבר</t>
  </si>
  <si>
    <t>דני אלמליח</t>
  </si>
  <si>
    <t>פרויקט פיתוח חצר חדשנית לימודית בבי"ס אושיסקין- יועץ כמאות</t>
  </si>
  <si>
    <t>יוליה אבטן</t>
  </si>
  <si>
    <t>החלטה מס' 2019-03-10</t>
  </si>
  <si>
    <t>פרויקט פיתוח חצר חדשנית לימודית בבי"ס אושיסקין- יועץ אינסטלציה</t>
  </si>
  <si>
    <t>נעשתה פניה ל-8 משרדי אינסטלציה, התקבלו 3 הצעות מחיר</t>
  </si>
  <si>
    <t>אוסמה פרח</t>
  </si>
  <si>
    <t>יצחק בראבי</t>
  </si>
  <si>
    <t>פרויקט פיתוח חצר חדשנית לימודית בבי"ס אושיסקין- יועץ קונסטרוקטור</t>
  </si>
  <si>
    <t>מצוק מהנדסים</t>
  </si>
  <si>
    <t>כהן צבר</t>
  </si>
  <si>
    <t>פרויקט פיתוח חצר חדשנית לימודית בבי"ס אושיסקין- יועץ קרקע</t>
  </si>
  <si>
    <t>א.גיאומכניקה</t>
  </si>
  <si>
    <t>נעשתה פניה ל-8 משרדים, התקבלו 2 הצעות מחיר</t>
  </si>
  <si>
    <t>שיפוץ עומק של 10 גני ילדים- אדריכלות</t>
  </si>
  <si>
    <t>דיאנה סלארק</t>
  </si>
  <si>
    <t>תוספת קומה (4 כיתות) למבנה רוטשילד בבי"ס אושיסקין</t>
  </si>
  <si>
    <t>נעשתה פניה ל-10 משרדים, התקבלו 3 הצעות מחיר העומדות בתנאי ההצעה. הצעתו של נתי זיו אינה כוללת טיפול בהיתר</t>
  </si>
  <si>
    <t>מכטה גאוטכניקה</t>
  </si>
  <si>
    <t>פרוטוקול ועדת התקשרויות מס' 2019-04 תאריך: 10/02/19</t>
  </si>
  <si>
    <t>חזקיה אדריכלות פיננסית בע"מ</t>
  </si>
  <si>
    <t>גיורא גור ושות' אדריכלים בע"מ</t>
  </si>
  <si>
    <t>געש אדריכלים ויועצים בע"מ</t>
  </si>
  <si>
    <t>נתי זיו-סטודיו זיו בע"מ</t>
  </si>
  <si>
    <t>מידות ומעשי נוף</t>
  </si>
  <si>
    <t xml:space="preserve">נתי זיו-סטודיו זיו בע"מ </t>
  </si>
  <si>
    <t>בועז יגוז'ינסקי</t>
  </si>
  <si>
    <t>ורשבסקי נגישות בע"מ</t>
  </si>
  <si>
    <t>אייל בן צבי - יועץ נגישות</t>
  </si>
  <si>
    <t>לבטח הנדסה ובטיחות בע"מ</t>
  </si>
  <si>
    <t>איתנים הנדסה ובטיחות</t>
  </si>
  <si>
    <t>יוסי שחר יעוץ בטיחות</t>
  </si>
  <si>
    <t>א.נ.אלון בטיחות וגהות בע"מ</t>
  </si>
  <si>
    <t>סייפטי פוינט פלוס גהות ובטיחות 2014 בע"מ</t>
  </si>
  <si>
    <t>איתן תכנון ואינסטלציה בע"מ</t>
  </si>
  <si>
    <t>קרני ירון מהנדס בע"מ</t>
  </si>
  <si>
    <t>אורי אברהמי</t>
  </si>
  <si>
    <t>מטרני יעוץ חשמל בע"מ</t>
  </si>
  <si>
    <t>סמו הנדסה</t>
  </si>
  <si>
    <t>רמאור</t>
  </si>
  <si>
    <t>מסוף עתיר ידע- תכנון חשמל לעמדת הטענה</t>
  </si>
  <si>
    <t>בקשה להגדלת התקשרות- ייעוץ משפטי לאגף הכנסות</t>
  </si>
  <si>
    <t>עו"ד עופר שפיר</t>
  </si>
  <si>
    <t>200 שעות</t>
  </si>
  <si>
    <t>מרכבה 13479</t>
  </si>
  <si>
    <t>בהמשך להחלטה מס' 2017-20-01 מבקשים הגדלת התקשרות לפי סעיף 3.21 לנוהל התקשרויות, הואיל ועו"ד שפיר מטפל ומסייע לעירייה בכל ההליכים השונים בתחום ההיטלים.</t>
  </si>
  <si>
    <t>בהמשך להחלטה 2019-02-33 בה נתבקשו בדיקת עלויות ושליחת הצעת מחיר לחברת משה בר קידוחים</t>
  </si>
  <si>
    <t>בהמשך להחלטה 2019-02-34 בה נתבקשו בדיקת עלויות ושליחת הצעת מחיר לחברת משה בר קידוחים</t>
  </si>
  <si>
    <t>החלטה מס' 2019-05-03</t>
  </si>
  <si>
    <t>החלטה מס' 2019-05-04</t>
  </si>
  <si>
    <t>משה בר קידוחי ניסיון בע"מ</t>
  </si>
  <si>
    <t>הגדלת התקשרות - שירותי אגרונום עבור הפארק</t>
  </si>
  <si>
    <t>מנהל הפארק העירוני- מוטי מורי</t>
  </si>
  <si>
    <t>דרור ניסן</t>
  </si>
  <si>
    <t>לפי חודש</t>
  </si>
  <si>
    <t>נעשתה פניה ל-5 משרדים , התקבלו 3 הצעות מחיר</t>
  </si>
  <si>
    <t>הנגשת מבני ציבור- יועץ בטיחות</t>
  </si>
  <si>
    <t>ברקן</t>
  </si>
  <si>
    <t>יוסי שחר</t>
  </si>
  <si>
    <t>אסי פטל</t>
  </si>
  <si>
    <t>החלטה מס' 2019-05-06</t>
  </si>
  <si>
    <t>החלטה מס' 2019-05-07</t>
  </si>
  <si>
    <t>החלטה מס' 2019-05-08</t>
  </si>
  <si>
    <t>הנגשת מוסדות ציבור- תכנון אדריכלי לאיצטדיון ביתר</t>
  </si>
  <si>
    <t>החלטה מס' 2019-05-09</t>
  </si>
  <si>
    <t>ירון קרני</t>
  </si>
  <si>
    <t>שי פורמן</t>
  </si>
  <si>
    <t>החלטה מס' 2019-05-10</t>
  </si>
  <si>
    <t>הנגשת מוסדות ציבור- יועץ קונסטרוקציה לאיצטדיון ביתר</t>
  </si>
  <si>
    <t>החלטה מס' 2019-05-11</t>
  </si>
  <si>
    <t>החלטה מס' 2019-05-12</t>
  </si>
  <si>
    <t>הולץ-קרסנר מהנדסים בע"מ</t>
  </si>
  <si>
    <t>אלרום יועצים למעליות</t>
  </si>
  <si>
    <t>שנע-1984 יועצים בע"מ</t>
  </si>
  <si>
    <t>הנגשת מוסדות ציבור- תכנון אדריכלי לשיטור עירוני</t>
  </si>
  <si>
    <t>הנגשת מוסדות ציבור- יועץ קונסטרוקציה ל מרכז פיסגה</t>
  </si>
  <si>
    <t>הנגשת מוסדות ציבור- יועץ קונסטרוקציה לשיטור עירוני</t>
  </si>
  <si>
    <t>הנגשת מוסדות ציבור- תכנון מעליות למרכז פסגה</t>
  </si>
  <si>
    <t>החלטה מס' 2019-05-13</t>
  </si>
  <si>
    <t>הנגשת מוסדות ציבור- תכנון מעליות לשיטור עירוני</t>
  </si>
  <si>
    <t>הנגשת מוסדות ציבור- תכנון מעליות לאיצטדיון ביתר</t>
  </si>
  <si>
    <t>החלטה מס' 2019-05-14</t>
  </si>
  <si>
    <t>ש.לוסטינג</t>
  </si>
  <si>
    <t>יעוץ בניין לביצוע בקרה הנדסית לתמ"א 38</t>
  </si>
  <si>
    <t>מנהלת מח' רישוי בניה - שרית שיליאן</t>
  </si>
  <si>
    <t>תב"ר תכנון 2019</t>
  </si>
  <si>
    <t>יהושע ורון</t>
  </si>
  <si>
    <t>לפי פרויקט</t>
  </si>
  <si>
    <t>30 פרויקטים</t>
  </si>
  <si>
    <t>החלטה מס' 2019-05-15</t>
  </si>
  <si>
    <t>החלטה מס' 2019-05-16</t>
  </si>
  <si>
    <t>קומפלוט</t>
  </si>
  <si>
    <t>16 שעות שבועיות לתקופה של 26 שבועות</t>
  </si>
  <si>
    <t>בודק תוכניות רישוי ובקשות להיתר</t>
  </si>
  <si>
    <t>יובל לוי</t>
  </si>
  <si>
    <t>פגי גרייזס</t>
  </si>
  <si>
    <t>דרור נוח</t>
  </si>
  <si>
    <t>ניהול ופיקוח על עבודות שיפוץ מוסדות חינוך</t>
  </si>
  <si>
    <t>ב.ס מהנדסים 2001</t>
  </si>
  <si>
    <t>החלטה מס' 2019-05-17</t>
  </si>
  <si>
    <t>החלטה מס' 2019-05-18</t>
  </si>
  <si>
    <t>החלטה מס' 2019-05-19</t>
  </si>
  <si>
    <t>החלטה מס' 2019-05-20</t>
  </si>
  <si>
    <t>החלטה מס' 2019-05-21</t>
  </si>
  <si>
    <t>שדרוג חטיבת ביניים שז"ר (תכנון בלבד)</t>
  </si>
  <si>
    <t>דיאנה סטארק סטודיו</t>
  </si>
  <si>
    <t>דניאל אהרון</t>
  </si>
  <si>
    <t>טופהאוס- יובל גרינוולד</t>
  </si>
  <si>
    <t>א.כ הנדסה ניהול פרויקטים- אלעזר כהן</t>
  </si>
  <si>
    <t>מנהלת מח' תכנון - כנרת תירוש</t>
  </si>
  <si>
    <t>פורום שרת</t>
  </si>
  <si>
    <t>תב"ר תכנון</t>
  </si>
  <si>
    <t>גושן אדריכלים</t>
  </si>
  <si>
    <t>מותנה תקציב תכנון 2019</t>
  </si>
  <si>
    <t>50 שעות חודשיות לתקופה של 3 חודשים</t>
  </si>
  <si>
    <t>30 שעות חודשיות לתקופה של 3 חודשים</t>
  </si>
  <si>
    <t>החלטה מס' 2019-05-23</t>
  </si>
  <si>
    <t>תיקון הגדלת התקשרות - בודק תוכניות תב"ע</t>
  </si>
  <si>
    <t>תיקון הגדלת התקשרות - ייעוץ אדריכלי</t>
  </si>
  <si>
    <t>בהמשך להחלטה 2018-25-12, מבקשים לתקן את תקופת החוזה עד לתאריך 31/3/19. בהמשך להחלטה מס' 2017-25-27 מבקשים הגדלת התקשרות לפי סעיף 3.21 לנוהל התקשרויות.</t>
  </si>
  <si>
    <t>החלטה מס' 2019-05-22</t>
  </si>
  <si>
    <t>12 חודשים</t>
  </si>
  <si>
    <t>בהמשך להחלטה מס' 2018-03-01 מבקשים הגדלת התקשרות לפי סעיף 3.21 לנוהל התקשרויות, הואיל והאגרונום מטפל בפרויקטי הגינון בפארק (גינה טיפולית, בוסתן, חקלאות חדשנית וכו...) ומדובר בהמשך עבודה קיימת.</t>
  </si>
  <si>
    <t>בהמשך להחלטה 2019-03-06 בה אושרו 4 יועצים לכל הפרויקטים, מבקשים לאשר את חלוקת העבודה בין היועצים.</t>
  </si>
  <si>
    <t>תכנון תנועה מתחם תקומה</t>
  </si>
  <si>
    <t>אילן מרכוס אופק הנדסה</t>
  </si>
  <si>
    <t>כרגע לא מאושר, יש להמתין עם הנושא</t>
  </si>
  <si>
    <t>תכנון כללי</t>
  </si>
  <si>
    <t>לוי שטרק מהנדסים</t>
  </si>
  <si>
    <t>אייל קראוס מהנדסי כבישים</t>
  </si>
  <si>
    <t>דגש הנדסה</t>
  </si>
  <si>
    <t>פי. ג'י. אל הנדסה ותכנון</t>
  </si>
  <si>
    <t>בהמשך להחלטת ועדת התקשרויות 2018-19-30, בה נקבע כי ניתן להעלות לועדה פעם נוספת בעוד 3 חודשים לאחר דיוני התקציב 2019. מבקשים להעלות את ההצעה בשנית</t>
  </si>
  <si>
    <t>בקשה להגדלת התקשרות לניהול מו"מ ליישום הלכת הוניגמן בעתיר ידע</t>
  </si>
  <si>
    <t>אגף הכנסות- מנהל מחלקת היטלים- דניאל פומרנץ</t>
  </si>
  <si>
    <t>עו"ד יוסי שקד</t>
  </si>
  <si>
    <t>6% מההכנסות בפועל</t>
  </si>
  <si>
    <t>בהמשך להחלטה מס' 2018-15-17 מבקשים הגדלת התקשרות לפי סעיף 3.21 לנוהל התקשרויות, הואיל ועו"ד שקד מטפל עבור העיריה בהיטלי פיתוח ברח' עתיר ידע.</t>
  </si>
  <si>
    <t>החלטה מס' 2019-02-03</t>
  </si>
  <si>
    <t>ליווי חשבונאי של מוס"ח בעיר</t>
  </si>
  <si>
    <t>חשבת אגף החינוך- דריה אלקינד</t>
  </si>
  <si>
    <t>ברזיק פתרונות ניהול בע"מ</t>
  </si>
  <si>
    <t>250 שעות לתקופה של 3 חודשים</t>
  </si>
  <si>
    <t>אושרה ההצעה עם הציון המשוקלל הגבוה ביותר לתקופה של 3 חודשים  ולאחריה הליווי החשבונאי בביה"ס יבוצע מתקציב ביה"ס וליווי גני הילדים יבוצע במסגרת כ"א עירוני אם הם יהיו מעוניינים בכך.</t>
  </si>
  <si>
    <t>רון פישמן</t>
  </si>
  <si>
    <t>איה שטיינר</t>
  </si>
  <si>
    <t>א.ברניר שירותי מינהל</t>
  </si>
  <si>
    <t>החלטה מס' 2019-02-04</t>
  </si>
  <si>
    <t>הגדלת התקשרות - שירותים משפטיים בתחום תעופה ונתיבי טיסה</t>
  </si>
  <si>
    <t>יועמ"ש- אלון בן זקן</t>
  </si>
  <si>
    <t>עו"ד אבנר ירקוני</t>
  </si>
  <si>
    <t>100 שעות</t>
  </si>
  <si>
    <t>בהמשך להחלטה מס' 2017-13-2 מבקשים הגדלת התקשרות לפי סעיף 3.21 לנוהל התקשרויות. הואיל ועו"ד ירקוני מייצג את העירייה בכל ההליכים השונים בנושא תעופה.</t>
  </si>
  <si>
    <t>פיתוח חצר לימודית בבית ספר אושיסקין</t>
  </si>
  <si>
    <t>ג'יי. איי אדריכלות נוף</t>
  </si>
  <si>
    <t>מבקשים לאשר בקשה זו לפי סעיף 3.21 לנוהל התקשרויות למרות היותה הבקשה היחידה. מדובר בעבודת תכנון בהמשך לתכנון ראשוני אשר בוצע בהזמנת מנהלת בית הספר.</t>
  </si>
  <si>
    <t>החלטה מס' 2019-02-06</t>
  </si>
  <si>
    <t>הגדלת התקשרות - טיפול בהשגות ועררים בנושא ארנונה - חברות תקשורת</t>
  </si>
  <si>
    <t xml:space="preserve">אושרה ההצעה לפי סעיף 3.21 לנוהל התקשרויות </t>
  </si>
  <si>
    <t>בהמשך להחלטה מס' 2017-13-2 מבקשים הגדלת התקשרות לפי סעיף 3.21 לנוהל התקשרויות לצורך טיפול בהשגות.</t>
  </si>
  <si>
    <t>החלטה מס' 2019-02-07</t>
  </si>
  <si>
    <t>הגדלת התקשרות- מתן יעוץ משפטי באכיפה משפטית</t>
  </si>
  <si>
    <t>גלר, האן מרקוביץ, פרג, שוואב, זיו, דנן עו"ד</t>
  </si>
  <si>
    <t>אושרה ההצעה לפי סעיף 3.21 לנוהל התקשרויות בכפוף לסיום הליך המכרז (מציאת זכיין) עד ל- 30.6.19</t>
  </si>
  <si>
    <t>היות וחל עיכוב ביציאה למכרז, אגף ההכנסות מבקש להמשיך להעסיק משרד זה עד ליציאה למכרז.  עקב כך מבקשים הגדלת התקשרות לפי סעיף 3.21 לנוהל התקשרויות.</t>
  </si>
  <si>
    <t>החלטה מס' 2019-02-08</t>
  </si>
  <si>
    <t>עו"ד עמרמי משה</t>
  </si>
  <si>
    <t>החלטה מס' 2019-02-09</t>
  </si>
  <si>
    <t>תכנון רמזור טשרנחובסקי- רמז</t>
  </si>
  <si>
    <t>דוד בז'רנו</t>
  </si>
  <si>
    <t>מס' מרכבה 1129768 או 660177  או תב"ר 2250022951</t>
  </si>
  <si>
    <t>סילבן רטוביץ'</t>
  </si>
  <si>
    <t>אמי מתום</t>
  </si>
  <si>
    <t>החלטה מס' 2019-02-10</t>
  </si>
  <si>
    <t>הדרכת בתי ספר מקדמי בריאות ע"י דיאטנית</t>
  </si>
  <si>
    <t>מנהלת המחלקה לקידום הבריאות ולחוסן עירוני- שרון גורגי</t>
  </si>
  <si>
    <t>מיכל סגל</t>
  </si>
  <si>
    <t>50 שעות חודשיות</t>
  </si>
  <si>
    <t>הדס חלימי</t>
  </si>
  <si>
    <t>מיטל מינסטר</t>
  </si>
  <si>
    <t>שרון דבוש</t>
  </si>
  <si>
    <t>בהמשך להחלטה מס' 2018-19-25 בה זכתה גל כהן ליס. הזוכה הפסיקה את ההתקשרות עקב סיבה רפואית ולכן מבקשים לאשר את הבקשה מחדש.</t>
  </si>
  <si>
    <t>החלטה מס' 2019-02-11</t>
  </si>
  <si>
    <t>ניהול תכנון וביצוע- רח' עתיר ידע</t>
  </si>
  <si>
    <t>ארז רובינשטיין</t>
  </si>
  <si>
    <t>מרכבה 1001129767</t>
  </si>
  <si>
    <t>תשתיות מידע וטכנולוגיות</t>
  </si>
  <si>
    <t>אורהד בע"מ</t>
  </si>
  <si>
    <t>בוצעה פניה להצעות מחיר ל-7 חברות, התקבלו 3 הצעות מחיר. מבקשים לדון במחיר היקף הפרויקט.</t>
  </si>
  <si>
    <t>החלטה מס' 2019-02-12</t>
  </si>
  <si>
    <t>ניהול ופיקוח - בן גוריון</t>
  </si>
  <si>
    <t>לפי אחוז</t>
  </si>
  <si>
    <t>היקף פרוייקט 10,000,000</t>
  </si>
  <si>
    <t>אושרה ההצעה עם הציון המשוקלל הגבוה ביותר בכפוף להוספת מנהל פרויקטים נוסף מטעם החברה</t>
  </si>
  <si>
    <t>תב"ר 23005 מרכבה 102493</t>
  </si>
  <si>
    <t>גוני הנדסה</t>
  </si>
  <si>
    <t>רמי ישורון</t>
  </si>
  <si>
    <t>פים הנדסה</t>
  </si>
  <si>
    <t>בהמשך להחלטת ועדת התקשרויות 2018-15-01 בה הוחלט כי הפרויקט מאושר לשלב התכנון בלבד ובעקבות וועדת התקשרויות 2018-25 בא הוחלט כי יש להעביר בקשה מחודשת הכוללת ניהול תכנון+ ביצוע, מבקשים להעלות את הבקשה מחדש.</t>
  </si>
  <si>
    <t>החלטה מס' 2019-02-13</t>
  </si>
  <si>
    <t>ניהול ופיקוח -  תל אביב יפו (צברים) בקטע מגדיאל רוטשילד</t>
  </si>
  <si>
    <t>היקף פרוייקט 3,000,000</t>
  </si>
  <si>
    <t>תב"ר 23005 מרכבה 49832</t>
  </si>
  <si>
    <t>בהמשך להחלטת ועדת התקשרויות 2018-15-02 בה הוחלט כי הפרויקט מאושר לשלב התכנון בלבד ובעקבות וועדת התקשרויות 2018-25 בא הוחלט כי יש להעביר בקשה מחודשת הכוללת ניהול תכנון+ ביצוע, מבקשים להעלות את הבקשה מחדש.</t>
  </si>
  <si>
    <t>החלטה מס' 2019-02-14</t>
  </si>
  <si>
    <t>ניהול ופיקוח - רח' התע"ש</t>
  </si>
  <si>
    <t>היקף פרוייקט 9,000,000</t>
  </si>
  <si>
    <t>תב"ר 23005 מרכבה 182490</t>
  </si>
  <si>
    <t>פים פרוייקטים</t>
  </si>
  <si>
    <t>בהמשך להחלטת ועדת התקשרויות 2018-15-04 בה הוחלט כי הפרויקט מאושר לשלב התכנון בלבד ובעקבות וועדת התקשרויות 2018-25 בא הוחלט כי יש להעביר בקשה מחודשת הכוללת ניהול תכנון+ ביצוע, מבקשים להעלות את הבקשה מחדש.</t>
  </si>
  <si>
    <t>החלטה מס' 2019-02-15</t>
  </si>
  <si>
    <t>ניהול ופיקוח מסוף לתח"צ - עתיר ידע</t>
  </si>
  <si>
    <t>היקף פרוייקט 2,000,000</t>
  </si>
  <si>
    <t>תב"ר 23005 מרכבה 13479</t>
  </si>
  <si>
    <t>בהמשך להחלטת ועדת התקשרויות 2018-15-06 בה הוחלט כי הפרויקט מאושר לשלב התכנון בלבד ובעקבות וועדת התקשרויות 2018-25 בא הוחלט כי יש להעביר בקשה מחודשת הכוללת ניהול תכנון+ ביצוע, מבקשים להעלות את הבקשה מחדש.</t>
  </si>
  <si>
    <t>החלטה מס' 2019-02-16</t>
  </si>
  <si>
    <t>ניהול ופיקוח אנה פרנק (מפא"י)</t>
  </si>
  <si>
    <t>היקף פרוייקט 1,700,000</t>
  </si>
  <si>
    <t>תב"ר 23005 מרכבה 42898</t>
  </si>
  <si>
    <t>בהמשך להחלטת ועדת התקשרויות 2018-15-07 בה הוחלט כי הפרויקט מאושר לשלב התכנון בלבד ובעקבות וועדת התקשרויות 2018-25 בא הוחלט כי יש להעביר בקשה מחודשת הכוללת ניהול תכנון+ ביצוע, מבקשים להעלות את הבקשה מחדש.</t>
  </si>
  <si>
    <t>החלטה מס' 2019-02-17</t>
  </si>
  <si>
    <t>ניהול תכנון ביצוע רח' נורדאו</t>
  </si>
  <si>
    <t>היקף פרוייקט  3,300,000</t>
  </si>
  <si>
    <t>היקף פרוייקט 3,300,000</t>
  </si>
  <si>
    <t>דורון פיירברג</t>
  </si>
  <si>
    <t>בהמשך להחלטת ועדת התקשרויות 2018-22-02 בה הוחלט כי הפרויקט מאושר לשלב התכנון בלבד ובעקבות וועדת התקשרויות 2018-25 בא הוחלט כי יש להעביר בקשה מחודשת הכוללת ניהול תכנון+ ביצוע, מבקשים להעלות את הבקשה מחדש.</t>
  </si>
  <si>
    <t>החלטה מס' 2019-02-18</t>
  </si>
  <si>
    <t>ניהול תכנון ביצוע רח' תל חי דרום (ויצמן-531)</t>
  </si>
  <si>
    <t>היקף פרוייקט 3,500,000</t>
  </si>
  <si>
    <t>2230022954/52950</t>
  </si>
  <si>
    <t xml:space="preserve">רמי ישורון </t>
  </si>
  <si>
    <t>בהמשך להחלטת ועדת התקשרויות 2018-22-03 בה הוחלט כי הפרויקט מאושר לשלב התכנון בלבד ובעקבות וועדת התקשרויות 2018-25 בא הוחלט כי יש להעביר בקשה מחודשת הכוללת ניהול תכנון+ ביצוע, מבקשים להעלות את הבקשה מחדש.</t>
  </si>
  <si>
    <t>החלטה מס' 2019-02-19</t>
  </si>
  <si>
    <t>ליווי מנהלי ביה"ס העל יסודי בנושא חדשנות פדגוגית</t>
  </si>
  <si>
    <t>סגן מנהל אגף החינוך ומנהל העל יסודי- יהורם לוי</t>
  </si>
  <si>
    <t>משה טורפז</t>
  </si>
  <si>
    <t>תומר שרייבר</t>
  </si>
  <si>
    <t>מיכאל בן שטרית</t>
  </si>
  <si>
    <t>החלטה מס' 2019-02-20</t>
  </si>
  <si>
    <t>הגדלת התקשרות - ניהול תכנון ביצוע שביל אופניים רח בן יהודה בקטע הגליל הנביאים</t>
  </si>
  <si>
    <t>היקף הפרויקט- 7,200,000</t>
  </si>
  <si>
    <t>לא מאושר- יש להגיש 4 הצעות מחיר של מציעים חדשים</t>
  </si>
  <si>
    <t>בהמשך להחלטה מס' 2018-15-03 מבקשים הגדלת התקשרות לפי סעיף 3.21 לנוהל התקשרויות. החברה מנהלת את פרויקט שבילי אופניים בקריית החינוך וברח' המוביל, כעת יש לחבר בין שני השבילים</t>
  </si>
  <si>
    <t>החלטה מס' 2019-02-21</t>
  </si>
  <si>
    <t xml:space="preserve">הגדלת התקשרות - תכנון תנועה- רח' עתיר ידע </t>
  </si>
  <si>
    <t>לא מאושר- יש להגיש 4 הצעות מחיר של מציעים חדשים, כמו כן, יש להציג לועדה את  התיק תכנון של מנהל הפרויקט היוצא</t>
  </si>
  <si>
    <t>מס מרכבה 23005</t>
  </si>
  <si>
    <t>בהמשך להחלטה מס' 2018-15-03 מבקשים הגדלת התקשרות לפי סעיף 3.21 לנוהל התקשרויות, הואיל ומתכנן התנועה של עתיר ידע מזרח סגר את המשרד ודגש מתכננים את רח' עתיר ידע בקטע המערבי.</t>
  </si>
  <si>
    <t>החלטה מס' 2019-02-22</t>
  </si>
  <si>
    <t>הגדלת התקשרות - שדרוג מערך שירות הפנים ארגוני</t>
  </si>
  <si>
    <t>סמכ"לית שירות הסברה ודוברות- צאלה וקסמן גונן</t>
  </si>
  <si>
    <t>אמן ארגון ומדעי ניהול יועצים בע"מ</t>
  </si>
  <si>
    <t>70 שעות חודשיות למשך שנה</t>
  </si>
  <si>
    <t>בהמשך להחלטה מס' 2018-04-04 מבקשים הגדלת התקשרות לפי סעיף 3.21 לנוהל התקשרויות הואיל ו מדובר בהמשך פרויקט שיפור תהליכים במחלקת גנ"י ובמחלקות שירות הפנים בעיריה.</t>
  </si>
  <si>
    <t>החלטה מס' 2019-02-23</t>
  </si>
  <si>
    <t>מתן חוות דעת מקצועית לאינסטלציה בבית ברח' דרך קדומים</t>
  </si>
  <si>
    <t>מנהלת מח' תשתיות- ניצה חן עובדיה</t>
  </si>
  <si>
    <t>ס.קפלון הנדסה אזרחית בע"מ</t>
  </si>
  <si>
    <t>אושרה ההצעה</t>
  </si>
  <si>
    <t xml:space="preserve">מבקשים לאשר בקשה זו לפי סעיף 3.21 לנוהל התקשרויות הואיל ונעשתה פניה ל-4 מועמדים  המתאימים לביצוע העבודה בתחום והתקבלה הצעת מחיר יחידה. </t>
  </si>
  <si>
    <t>החלטה מס' 2019-02-24</t>
  </si>
  <si>
    <t>הגדלת התקשרות- יועצת מנכ"ל לאזרח הותיק</t>
  </si>
  <si>
    <t>מנהלת אגף שירותים חברתיים - רוזי נוימן</t>
  </si>
  <si>
    <t>אילנה שרייבמן</t>
  </si>
  <si>
    <t>21 שעות שבועיות X 4 שבועות X 3 חודשים</t>
  </si>
  <si>
    <t>תמיכות מפעל המים</t>
  </si>
  <si>
    <t xml:space="preserve">בהמשך להחלטה מס' 2018-17-13 מבקשים הגדלת התקשרות לפי סעיף 3.21 לנוהל התקשרויות. </t>
  </si>
  <si>
    <t>החלטה מס' 2019-02-25</t>
  </si>
  <si>
    <t>קורס מד"א כחלק מתכנית העצמת אבות בית</t>
  </si>
  <si>
    <t>עולם הרפואה</t>
  </si>
  <si>
    <t>1761000520/ 1811000783</t>
  </si>
  <si>
    <t>אריאל מדיק</t>
  </si>
  <si>
    <t>אלישע הדרכות רפואה</t>
  </si>
  <si>
    <t>מד"א</t>
  </si>
  <si>
    <t>החלטה מס' 2019-02-26</t>
  </si>
  <si>
    <t>קורס תחזוקה כחלק מתכנית העצמת אבות בית</t>
  </si>
  <si>
    <t>אריאל מלכה מהנדסים בע"מ</t>
  </si>
  <si>
    <t>8 שעות הדרכה</t>
  </si>
  <si>
    <t>נעים בדרך בע"מ</t>
  </si>
  <si>
    <t>ד"ר אינה ניסנבאום</t>
  </si>
  <si>
    <t>נעשתה פניה ל-5 חברות והתקבלו 3 הצעות מחיר</t>
  </si>
  <si>
    <t>החלטה מס' 2019-02-27</t>
  </si>
  <si>
    <t>סדנת שירות כחלק מתכנית העצמת אבות בית</t>
  </si>
  <si>
    <t>1811000783/ 1761000520</t>
  </si>
  <si>
    <t>גלעד ארנון</t>
  </si>
  <si>
    <t>רן שטוק</t>
  </si>
  <si>
    <t>לוטם</t>
  </si>
  <si>
    <t>החלטה מס' 2019-02-28</t>
  </si>
  <si>
    <t>הגדלת התקשרות- אגרונום</t>
  </si>
  <si>
    <t>מנהלת מחלקת גנים ונוף - עירית מויאל</t>
  </si>
  <si>
    <t>נועם ביבי</t>
  </si>
  <si>
    <t>סכום חודשי קבוע</t>
  </si>
  <si>
    <t>תקופה של 2 חודשים</t>
  </si>
  <si>
    <t>אושרה ההצעה לפי סעיף 3.21 לנוהל התקשרויות לתקופה של 2 חודשים</t>
  </si>
  <si>
    <t>בהמשך להחלטה מס' 2017-25-23 מבקשים הגדלת התקשרות לפי סעיף 3.21 לנוהל התקשרויות הואיל היתה יציאה למכרז פומבי ומבקשים הגדלה עד לסיום הליך המכרז.</t>
  </si>
  <si>
    <t>החלטה מס' 2019-02-29</t>
  </si>
  <si>
    <t>הגדלת התקשרות- תב"ע כס/21/10/ד/1- עדכון שינוים יועץ תנועה</t>
  </si>
  <si>
    <t>מ.ת.נ הנדסה תנועה</t>
  </si>
  <si>
    <t xml:space="preserve">בהמשך להחלטה מס' 17.01.2013  מבקשים הגדלת התקשרות לפי סעיף 3.21 לנוהל התקשרויות הואיל והועדה המחוזית החליטה להגדיל את תחום התוכנית </t>
  </si>
  <si>
    <t>החלטה מס' 2019-02-30</t>
  </si>
  <si>
    <t>הגדלת התקשרות-הכנת לוח איזון  תב"ע כס/21/10/ד/1</t>
  </si>
  <si>
    <t>אחיקם ביתן</t>
  </si>
  <si>
    <t xml:space="preserve">בהמשך להחלטה מס' 2.2.2016 מבקשים הגדלת התקשרות לפי סעיף 3.21 לנוהל התקשרויות הואיל והועדה המחוזית החליטה להגדיל את תחום התוכנית </t>
  </si>
  <si>
    <t>החלטה מס' 2019-02-31</t>
  </si>
  <si>
    <t>יעוץ בתחום ניהול פרויקטים לרשות</t>
  </si>
  <si>
    <t>סגן מהנדס העיר- יוסי לנדאו</t>
  </si>
  <si>
    <t>50 שעות חודשיות לתקופה של 12 חודשים</t>
  </si>
  <si>
    <t>א. אפשטיין ובניו</t>
  </si>
  <si>
    <t>ווקסלר מהנדסים</t>
  </si>
  <si>
    <t>החלטה מס' 2019-02-32</t>
  </si>
  <si>
    <t>הגדלת התקשרות-ניהול תכנון ביצוע שביל אופניים ברח תל אביב יפו (בקטע שבין רח' תל חי לכביש 40)</t>
  </si>
  <si>
    <t>מנהלת מח' תנועה- הילן דהרי</t>
  </si>
  <si>
    <t>היקף פרויקט 4,000,000</t>
  </si>
  <si>
    <t>מרכבה 1131581</t>
  </si>
  <si>
    <t>בהמשך להחלטה מס' 2018-22-02 מבקשים הגדלת התקשרות לפי סעיף 3.21 לנוהל התקשרויות הואיל והמציע מנהל פרויקטים שבילי אופניים סמוכים (נורדאו ועתיר ידע) ויש צורך לחיבור בין השבילים</t>
  </si>
  <si>
    <t>החלטה מס' 2019-02-33</t>
  </si>
  <si>
    <t>אושרה ההצעה עם הציון המשוקלל הגבוה ביותר בכפוף בדיקת עלויות ושליחת הצעת מחיר לחברת משה בר קידוחים</t>
  </si>
  <si>
    <t>החלטה מס' 2019-02-34</t>
  </si>
  <si>
    <t>החלטה מס' 2019-02-35</t>
  </si>
  <si>
    <t>הגדלת התקשרות-אדריכלית נוף</t>
  </si>
  <si>
    <t>בהמשך להחלטה מס' 2018-06-01 מבקשים הגדלת התקשרות לפי סעיף 3.21 לנוהל התקשרויות הואיל ויש צורך בהגדלת ההתקשרות עד ל-1.4.19</t>
  </si>
  <si>
    <t>החלטה מס' 2019-02-36</t>
  </si>
  <si>
    <t>הגדלת התקשרות-יעוץ אדריכלי למחלקת תכנון</t>
  </si>
  <si>
    <t>מיכל צחור</t>
  </si>
  <si>
    <t>120 שעות חודשיות לתקופה של 2 חודשים</t>
  </si>
  <si>
    <t>בהמשך להחלטה מס' 2018-15-15 מבקשים הגדלת התקשרות נוספת לפי סעיף 3.21 לנוהל התקשרויות הואיל  ויש צורך בהגדלת ההתקשרות עד ל-1.4.19</t>
  </si>
  <si>
    <t>החלטה מס' 2019-02-37</t>
  </si>
  <si>
    <t>ליווי כלכלי ומקסום הכנסות ממשרדי ממשלה</t>
  </si>
  <si>
    <t>סגן גזבר העירייה - צבי אפרת</t>
  </si>
  <si>
    <t>נ.ת.פ ניהול תקציבי פיתוח</t>
  </si>
  <si>
    <t xml:space="preserve">לפי אחוז </t>
  </si>
  <si>
    <t>היקף פרוייקט 20 מיליון ₪</t>
  </si>
  <si>
    <t>0.8%-1%</t>
  </si>
  <si>
    <t>תב"רים שונים</t>
  </si>
  <si>
    <t>שני פרויקטים - אבי זהבי</t>
  </si>
  <si>
    <t>1.25%-1.5%</t>
  </si>
  <si>
    <t>אראב בונוס</t>
  </si>
  <si>
    <t>עלא גנטוס</t>
  </si>
  <si>
    <t xml:space="preserve">בהמשך להחלטה מס' 2018-14-11 בה זכתה חברת ק.נ.פ והואיל וחברת ק.נ.פ הסבה את זכויותיה וחובותיה לחברת נ.ת.פ, הנושא נועלה בשנית </t>
  </si>
  <si>
    <t>החלטה מס' 2019-02-38</t>
  </si>
  <si>
    <t>הגדלת התקשרות- המשך ליווי ויעוץ בנושא תחזית דמוגרפית</t>
  </si>
  <si>
    <t>ויאפלן בע"מ</t>
  </si>
  <si>
    <t>15 שעות לצורך חפיפה</t>
  </si>
  <si>
    <t>עו"ד ישעיהו עברי</t>
  </si>
  <si>
    <t>היקף פרוייקט  9,641,873</t>
  </si>
  <si>
    <t>היקף פרוייקט  4,812,834</t>
  </si>
  <si>
    <t>היקף פרוייקט  2,857,143</t>
  </si>
  <si>
    <t>היקף פרוייקט  2,597,403</t>
  </si>
  <si>
    <t>החלטה מס' 2019-05-24</t>
  </si>
  <si>
    <t>הגדלת התקשרות - תוכנית השימור</t>
  </si>
  <si>
    <t>אמנון בר אור</t>
  </si>
  <si>
    <t>בהמשך להחלטה מס' 20 מיום 4.2.2010 מבקשים הגדלת התקשרות לפי סעיף 3.21 לנוהל התקשרויות לצורך המשך תוכנית השימור.</t>
  </si>
  <si>
    <t>תב"ר תב"עות</t>
  </si>
  <si>
    <t>החלטה מס' 2019-05-25</t>
  </si>
  <si>
    <t>הגדלת התקשרות - שמאי מקרקעין לתוכנית השימור</t>
  </si>
  <si>
    <t>ז.כ למדידות והנדסה בע"מ</t>
  </si>
  <si>
    <t>בהמשך להחלטה מס' 11 מיום 16.12.2014 מבקשים הגדלת התקשרות לפי סעיף 3.21 לנוהל התקשרויות לצורך המשך תוכנית השימור.</t>
  </si>
  <si>
    <t>החלטה מס' 2019-05-26</t>
  </si>
  <si>
    <t>הגדלת התקשרות - ליווי סביבתי מאבק בתחנות הכוח</t>
  </si>
  <si>
    <t>התאגדות ראשי רשויות מקומיות - מאבק בתחנות הכוח</t>
  </si>
  <si>
    <t>בהמשך להחלטה 2018-25-11, מבקשים לתקן את תקופת החוזה עד לתאריך 31/3/19. מדובר בהגדלת התקשרות לפי סעיף 3.21  בהמשך להחלטה 2018-13-01 כתוספת שעות לקיים. הואיל ובודקת התוכניות האחרת, גב' שרה קסטן מחב' בר טכנולוגיות בע"מ הפסיקה לעבוד ב- 30/12/18.</t>
  </si>
  <si>
    <t>יזמות ירוקה</t>
  </si>
  <si>
    <t>החלטה מס' 2019-05-27</t>
  </si>
  <si>
    <t>החלטה מס' 2019-05-28</t>
  </si>
  <si>
    <t>תכנון קונסטרוקציה לרשות</t>
  </si>
  <si>
    <t>סגן מהנדס הרשות- יוסי לנדאו</t>
  </si>
  <si>
    <t>י.שני מהנדסים</t>
  </si>
  <si>
    <t>כהן צבי</t>
  </si>
  <si>
    <t>החלטה מס' 2019-05-29</t>
  </si>
  <si>
    <t>תכנון אדריכל נוף לרשות</t>
  </si>
  <si>
    <t xml:space="preserve">דפנה תמיר </t>
  </si>
  <si>
    <t>נתי זיו- סטודיו זיו</t>
  </si>
  <si>
    <t>תפנית ניהול בניה</t>
  </si>
  <si>
    <t>טל רוסמן</t>
  </si>
  <si>
    <t>החלטה מס' 2019-05-30</t>
  </si>
  <si>
    <t>תכנון חשמל לרשות</t>
  </si>
  <si>
    <t>רמאור בע"מ</t>
  </si>
  <si>
    <t>אריאל מלכה מהנדסים ויועצים בע"מ</t>
  </si>
  <si>
    <t>סיני ייעוץ והנדסת חשמל בע"מ</t>
  </si>
  <si>
    <t>דוד ברהום- מהנדסים ויועצים</t>
  </si>
  <si>
    <t>רמי אלוביץ הנדסת חשמל בע"מ</t>
  </si>
  <si>
    <t>החלטה מס' 2019-05-31</t>
  </si>
  <si>
    <t>תכנון תנועה ופיזי לרשות</t>
  </si>
  <si>
    <t>נחמה הירשברג</t>
  </si>
  <si>
    <t>מורן הנדסת דרכים בע"מ</t>
  </si>
  <si>
    <t>יורובריד'ג הנדסה בע"מ</t>
  </si>
  <si>
    <t>גבריאל לוטן מהנדסים</t>
  </si>
  <si>
    <t>הכנת חוו"ד תחבורתית- אזה"ת שד/160</t>
  </si>
  <si>
    <t>גל תכנון וניהול בע"מ</t>
  </si>
  <si>
    <t>הצעת מחיר נשלחה ל-8 יועצים,  היקף הפרויקט הינו בעבור 400 שעות. מבקשים חלוקת השעות בעבור 2 המציעים בעלי הציון המשוכלל הגבוה</t>
  </si>
  <si>
    <t>יעקב פוקס</t>
  </si>
  <si>
    <t>החלטה מס' 2019-05-32</t>
  </si>
  <si>
    <t>הכשרת רפרנטים לשיתוף ציבור בעיריית כפר סבא</t>
  </si>
  <si>
    <t>יועצת ראש העיר לקידום מעמד האישוה ושיתוף ציבור- טלי רונה</t>
  </si>
  <si>
    <t>דורית פרי</t>
  </si>
  <si>
    <t>קואנטוס</t>
  </si>
  <si>
    <t>אקו פלן</t>
  </si>
  <si>
    <t>בי אר קישורים בע"מ</t>
  </si>
  <si>
    <t>החלטה מס' 2019-05-33</t>
  </si>
  <si>
    <t>שפירא הלרמן מתכננים</t>
  </si>
  <si>
    <t>50 שעות</t>
  </si>
  <si>
    <t>סל שעות יעוץ ליווי והכשרה לקידום תהליכי שיתוף ציבור</t>
  </si>
  <si>
    <r>
      <t>פרוטוקול ועדת התקשרויות מס' 2019-05</t>
    </r>
    <r>
      <rPr>
        <b/>
        <sz val="16"/>
        <color theme="1"/>
        <rFont val="Arial"/>
        <family val="2"/>
      </rPr>
      <t xml:space="preserve"> תאריך: 5/3/19</t>
    </r>
  </si>
  <si>
    <t>מאושרת חלוקת העבודה בין 4 היועצים, בהמשך להחלטה 2019-03-06</t>
  </si>
  <si>
    <t>אושרו 2 המציעים שקיבלו את הציון המשוקלל הגבוה ביותר, והעבודה תחולק בינהם</t>
  </si>
  <si>
    <t>החלטה מס' 2019-05-34</t>
  </si>
  <si>
    <t>ליווי משפטי- שד/ 160</t>
  </si>
  <si>
    <t>גרנות ושות'</t>
  </si>
  <si>
    <t>הורוביץ אבן אוזן</t>
  </si>
  <si>
    <t>יגאל ארנון</t>
  </si>
  <si>
    <t>גורניצקי ושות'</t>
  </si>
  <si>
    <t>אטיאס ושות'</t>
  </si>
  <si>
    <t>פישר בכר</t>
  </si>
  <si>
    <t>גולדפרב זליגמן</t>
  </si>
  <si>
    <t>.</t>
  </si>
  <si>
    <t xml:space="preserve">הצעת מחיר נשלחה ל-8 יועצים. נתקבלו 2 הצעות. נעשתה פניה נוספת לכל המציעים לפי סעיף 3.15 לנוהל. לא התקבלו הצעות נוספות. </t>
  </si>
  <si>
    <t>אורניל ניהול יזום להשקעות בע"מ- רינת אורן</t>
  </si>
  <si>
    <t>דן צור- ליאור וולף אדריכלי נוף</t>
  </si>
  <si>
    <t>החלטה מס' 2019-06-01</t>
  </si>
  <si>
    <t>בהמשך להחלטה מס' 2019-02-28 מבקשים הגדלת התקשרות לפי סעיף 3.21 לנוהל התקשרויות הואיל היתה יציאה למכרז פומבי ומבקשים הגדלה עד לקביעת זכיין.</t>
  </si>
  <si>
    <t>החלטה מס' 2019-06-02</t>
  </si>
  <si>
    <t>יעוץ וליווי עובדי מח' תנועה- אגף הנדסה</t>
  </si>
  <si>
    <t>מהנדסת העיר- עליזה זיידלר גרנות</t>
  </si>
  <si>
    <t>25 שעות</t>
  </si>
  <si>
    <t>אמ"ן</t>
  </si>
  <si>
    <t>שבע אייז יעוץ</t>
  </si>
  <si>
    <t>הגדלת התקשרות - ניהול נתונים לצורך סגירת תכנית עבודה</t>
  </si>
  <si>
    <t>החלטה מס' 2019-06-03</t>
  </si>
  <si>
    <t>מנהלת מחלקת תכנון אסטרטגי ושיתופיות- אופירה מור מזרחי</t>
  </si>
  <si>
    <t>100 שעות חודשיות למשך 3 חודשים</t>
  </si>
  <si>
    <t>בהמשך להחלטה מס' 2018-18-01 מבקשים הגדלת התקשרות לפי סעיף 3.21 לנוהל התקשרויות עד לקליטת 2 עובדי עירייה לתפקיד זה.</t>
  </si>
  <si>
    <t>החלטה מס' 2019-06-04</t>
  </si>
  <si>
    <t>א.גולן מהנדסים</t>
  </si>
  <si>
    <t>היקף פרוייקט  3,800,000</t>
  </si>
  <si>
    <t>לודן תשתיות</t>
  </si>
  <si>
    <t>גדיש חברה להנדסה</t>
  </si>
  <si>
    <t>מרכבה: 1131581</t>
  </si>
  <si>
    <t>החלטה מס' 2019-06-05</t>
  </si>
  <si>
    <t>ניהול פרויקט שביל אופניים רח' תל אביב יפו מזרח</t>
  </si>
  <si>
    <t>היקף פרוייקט  7,000,000</t>
  </si>
  <si>
    <t>מדידת בית חולים מאיר לצורכי ארנונה עם אופציה לחיוב בהיטלי פיתוח</t>
  </si>
  <si>
    <t>רוזן בסיס גיא בן גל</t>
  </si>
  <si>
    <t>אחוז מגביה בפועל</t>
  </si>
  <si>
    <t>דני קלימי יעוץ מוניציפאלי</t>
  </si>
  <si>
    <t>א.ר.א.ב בונוס</t>
  </si>
  <si>
    <t>יוסי שקד</t>
  </si>
  <si>
    <t>120 שעות חודשיות לתקופה של 3 חודשים</t>
  </si>
  <si>
    <t>בהמשך להחלטה מס' 2019-02-36 מבקשים הגדלת התקשרות נוספת לפי סעיף 3.21 לנוהל התקשרויות הואיל  והחוזה יסתיים ב-1.4.19 וטרם אושר לפרסום מכרז לסגן מנהלת המחלקה אשר יהיה אדריכל.</t>
  </si>
  <si>
    <t>החלטה מס' 2019-06-08</t>
  </si>
  <si>
    <t>100 שעות חודשיות לתקופה של 3 חודשים</t>
  </si>
  <si>
    <t>בהמשך להחלטה מס' 2019-04-05 מבקשים הגדלת התקשרות נוספת לפי סעיף 3.21 לנוהל התקשרויות הואיל  והחוזה יסתיים ב-1.4.19 . פורסם מכרז והוגשה מועמדות אחת אשר הוסרה בגין גובה השכר.</t>
  </si>
  <si>
    <t>החלטה מס' 2019-06-09</t>
  </si>
  <si>
    <t>יעוץ הנדסי שוטף- מהנדס מבנים/ קונסטרוקציה</t>
  </si>
  <si>
    <t>ישראל שאולי</t>
  </si>
  <si>
    <t>צבי דניאל</t>
  </si>
  <si>
    <t>א.נ.ר אנגור</t>
  </si>
  <si>
    <t>רנה בייל</t>
  </si>
  <si>
    <t>עד קביעת זכיין במכרז ולא יותר מחודשיים</t>
  </si>
  <si>
    <t>החלטה מס' 2019-06-06</t>
  </si>
  <si>
    <t>החלטה מס' 2019-06-10</t>
  </si>
  <si>
    <t>בדיקת תיק בטיחות באתרי בניה</t>
  </si>
  <si>
    <t>60 פרויקטים</t>
  </si>
  <si>
    <t>ג.גוטמן ניהול והנדסת בטיחות</t>
  </si>
  <si>
    <t>שמר בטיחות והנדסה</t>
  </si>
  <si>
    <t>איתנים</t>
  </si>
  <si>
    <t>החלטה מס' 2019-06-11</t>
  </si>
  <si>
    <t>נעשתה פניה ל-4 חברות, התקבלו 3 הצעות מחיר</t>
  </si>
  <si>
    <t>סמנכ"לית שירות והסברה- צאלה וקסמן גונן</t>
  </si>
  <si>
    <t>אורי פס</t>
  </si>
  <si>
    <t>PRPL</t>
  </si>
  <si>
    <t>OK</t>
  </si>
  <si>
    <t>מנהל ניו מדיה</t>
  </si>
  <si>
    <t>החלטה מס' 2019-06-12</t>
  </si>
  <si>
    <t>מכון גיאוקרטוגרפיה</t>
  </si>
  <si>
    <t>נעשתה פניה ל-5 חברות והתקבלה הצעה אחת, נעשתה פניה חוזרת למציעים שלאחריה התקבלה פניה נוספת ולכן מבקשים להעלות את הנושא במסגרת סעיף 3.15 לנוהל ההתקשרויות.</t>
  </si>
  <si>
    <t>שי סקיף</t>
  </si>
  <si>
    <t>החלטה מס' 2019-06-13</t>
  </si>
  <si>
    <t>אגרונום</t>
  </si>
  <si>
    <t>היקף הפרויקט הינו בעבור 400 שעות. מבקשים חלוקת השעות בעבור 2 המציעים בעלי הציון המשוכלל הגבוה</t>
  </si>
  <si>
    <t>ניהול פרויקט שביל אופניים רח' בן יהודה (הגליל- נביאים)</t>
  </si>
  <si>
    <t>ד-ב-ש ייעוץ ופיקוח</t>
  </si>
  <si>
    <t>אהרון ברגר, אגרונום</t>
  </si>
  <si>
    <t>גונן- עצים וסביבה בע"מ</t>
  </si>
  <si>
    <t>יעוץ ופיקוח ירוק</t>
  </si>
  <si>
    <t>אלכס שפירא</t>
  </si>
  <si>
    <t>החלטה מס' 2019-06-14</t>
  </si>
  <si>
    <t>יעוץ לעריכת מכרז לרכישת מכונות טיאוט</t>
  </si>
  <si>
    <t>מנהל מחלקת רכב- אריה בן זאב</t>
  </si>
  <si>
    <t>משה אברהם</t>
  </si>
  <si>
    <t>רז לפיד</t>
  </si>
  <si>
    <t>החלטה מס' 2019-06-15</t>
  </si>
  <si>
    <t>50 שעות חודשיות לתקופה של שנה</t>
  </si>
  <si>
    <t>הגדלת התקשרות-ניהול ופיקוח פרויקט "מהיר לעיר"</t>
  </si>
  <si>
    <t>בהמשך להחלטה מס' 2018-06-14 מבקשים הגדלת התקשרות נוספת לפי סעיף 3.21 לנוהל התקשרויות.</t>
  </si>
  <si>
    <t>מרכבה: 1131580</t>
  </si>
  <si>
    <t>25300912270, 246007</t>
  </si>
  <si>
    <t>החלטה מס' 2019-05-01</t>
  </si>
  <si>
    <t>החלטה מס' 2019-05-02</t>
  </si>
  <si>
    <t>החלטה מס' 2019-05-05</t>
  </si>
  <si>
    <t>דורטל אי.די יועצים בע"מ</t>
  </si>
  <si>
    <t>החלטה אינה מאושרת</t>
  </si>
  <si>
    <t>10 חודשים</t>
  </si>
  <si>
    <r>
      <t>פרוטוקול ועדת התקשרויות מס' 2019-06</t>
    </r>
    <r>
      <rPr>
        <b/>
        <sz val="16"/>
        <color theme="1"/>
        <rFont val="Arial"/>
        <family val="2"/>
      </rPr>
      <t xml:space="preserve"> תאריך: 24/3/19</t>
    </r>
  </si>
  <si>
    <t>אושרה ההצעה עם הציון המשוקלל הגבוה ביותר. בשלב זה מאושר תקציב ל-24 פרוייקטים</t>
  </si>
  <si>
    <t>יעוץ כלכלי מיוחד לסוגיית הותמל- ועדת הגבולות</t>
  </si>
  <si>
    <t>16 שעות שבועיות לתקופה של 24 שבועות</t>
  </si>
  <si>
    <t>הגדלת התקשרות- תכנון שביל אופניים- רח' כצנלסון (בקטע ויצמן- דב הוז)</t>
  </si>
  <si>
    <t>מורן הנדסת דרכים</t>
  </si>
  <si>
    <t>מרכבה: 521120, תב"ר: 2250022</t>
  </si>
  <si>
    <t>בהמשך להחלטה מס' 2017-07-09 מבקשים הגדלת התקשרות לפי סעיף 3.21 לנוהל התקשרויות הואיל המדובר בהמשך שביל אופניים רח' סוקולוב</t>
  </si>
  <si>
    <t>תוספת מחסן למועדון כדורסל ליד אולם ספורט היובל (אדריכל כולל כל היועצים)</t>
  </si>
  <si>
    <t>נעשתה פניה ל-13 משרדי אדריכלות</t>
  </si>
  <si>
    <t>סטודיו זיו</t>
  </si>
  <si>
    <t>החלטה מס' 2019-07-01</t>
  </si>
  <si>
    <t>החלטה מס' 2019-07-02</t>
  </si>
  <si>
    <t>הגדלת התקשרות - יעוץ בנושא הסכמי שכר</t>
  </si>
  <si>
    <t>בהמשך להחלטה מס' 2018-04-02 מבקשים הגדלת התקשרות לפי סעיף 3.21 לנוהל התקשרויות.</t>
  </si>
  <si>
    <t>מנהל אגף משאבי אנוש והדרכה- צפריר רוזן</t>
  </si>
  <si>
    <t>יעקב אגמון</t>
  </si>
  <si>
    <t>הגדלת התקשרות - ייעוץ בנושא שכר מול משרדי ממשלה ובקרה על שכר עבור קבלנים</t>
  </si>
  <si>
    <t>שחק</t>
  </si>
  <si>
    <t>החלטה מס' 2019-07-03</t>
  </si>
  <si>
    <t>החלטה מס' 2019-07-04</t>
  </si>
  <si>
    <t>החלטה מס' 2019-07-05</t>
  </si>
  <si>
    <t>סכום  חודשי קבוע</t>
  </si>
  <si>
    <t>בהמשך להחלטה מס' 2018-04-03 מבקשים הגדלת התקשרות לפי סעיף 3.21 לנוהל התקשרויות.</t>
  </si>
  <si>
    <t>החלטה מס' 2019-07-06</t>
  </si>
  <si>
    <t>הגדלת התקשרות-תחזוקה ורישוי מערכת היטו</t>
  </si>
  <si>
    <t>מנהל אגף מחשוב ומערכות מידע- מוטי סרודי</t>
  </si>
  <si>
    <t>סכום שנתי קבוע</t>
  </si>
  <si>
    <t>2 שנים</t>
  </si>
  <si>
    <t>בהמשך להחלטה מס' 2017-25-21 מבקשים הגדלת התקשרות נוספת לפי סעיף 3.21 לנוהל התקשרויות.</t>
  </si>
  <si>
    <t>היטו מערכות בע"מ</t>
  </si>
  <si>
    <t>מערכת ניהול קשרי לקוחות CRM</t>
  </si>
  <si>
    <t>מטרופולינט</t>
  </si>
  <si>
    <t>5 שנים</t>
  </si>
  <si>
    <t>CRMC</t>
  </si>
  <si>
    <t>סנסורי</t>
  </si>
  <si>
    <t>coactivity</t>
  </si>
  <si>
    <t>החלטה מס' 2019-07-07</t>
  </si>
  <si>
    <t>שדרוג כללי של בית ספר יסודי רמז (כולל מבנה עציון)</t>
  </si>
  <si>
    <t>אבי ליואר</t>
  </si>
  <si>
    <t>גולדנברג אדריכלים</t>
  </si>
  <si>
    <t>נעשתה פניה ל-13 משרדי אדריכלות, 8 משרדים הגישו הצעה אך רק 4 מהם עומדים בתנאי הבקשה שנשלחה (מחיר סופי ולא מחיר אשר מותנה בהיקף הפרויקט)</t>
  </si>
  <si>
    <r>
      <t>פרוטוקול ועדת התקשרויות מס' 2019-07</t>
    </r>
    <r>
      <rPr>
        <b/>
        <sz val="16"/>
        <color theme="1"/>
        <rFont val="Arial"/>
        <family val="2"/>
      </rPr>
      <t xml:space="preserve"> תאריך: 5/5/19</t>
    </r>
  </si>
  <si>
    <t>משתתפים: איתי צחר - מנכ"ל העירייה, צבי אפרת- ס/גזבר, אילה זיו - נציגת היועמ"ש, רעות סימונס -מ"מ רכזת הוועדה, עליזה זיידלר גרנות- מהנדסת העיר</t>
  </si>
  <si>
    <t>החלטה אינו מאושרת. יש לבצע בדיקה חוזרת של סבירות המחירים</t>
  </si>
  <si>
    <t>3 חודשים</t>
  </si>
  <si>
    <t>החלטה אינה מאושרת. יש  להציג למנכ"ל את התקדמות המערכת טרם אישור הועדה.</t>
  </si>
  <si>
    <t>החלטה אינו מאושרת. הועדה מבקשת לקבל מס הבהרות: (1) מהו הסכום ששולם לספק בשנה האחרונה, (2)  לאילו שירותים עירוניים המערכת מספקת פתרונות (3) יש להציג למנכ"ל חוזה התקשרות ראשוני (4) יש להציג למנכ"ל תמונה רחבה של ממשקי המערכת מול מערכות נוספות</t>
  </si>
  <si>
    <t>החלטה מס' 2019-07-08</t>
  </si>
  <si>
    <t>אירית גרינברג</t>
  </si>
  <si>
    <t>ג'ני אלעזרי</t>
  </si>
  <si>
    <t>נטע שריקי</t>
  </si>
  <si>
    <t>נעשתה פניה ל-4 משרדים, רק 3 הגישו הצעה.</t>
  </si>
  <si>
    <t>תיקי מתקן למגרשי הכדורגל</t>
  </si>
  <si>
    <t>מנהל האיצטדיון העירוני- עופר פורטנוי</t>
  </si>
  <si>
    <t>אי אס פי</t>
  </si>
  <si>
    <t>מאי יועצים</t>
  </si>
  <si>
    <t>החלטה מס' 2019-08-01</t>
  </si>
  <si>
    <t>החלטה מס' 2019-08-02</t>
  </si>
  <si>
    <t>מרכבה: 19832 תב"ר: 2230022958</t>
  </si>
  <si>
    <t>יעוץ קרקע- רח' הצברים</t>
  </si>
  <si>
    <t>דורון אשל</t>
  </si>
  <si>
    <t>מוטי יוגר</t>
  </si>
  <si>
    <t>החלטה מס' 2019-08-03</t>
  </si>
  <si>
    <t>250 שעות</t>
  </si>
  <si>
    <t>יעוץ למפת סיפור (ישום GIS) לתכנית המתאר כפר סבא</t>
  </si>
  <si>
    <t>הדסה לב</t>
  </si>
  <si>
    <t>150 שעות</t>
  </si>
  <si>
    <t>החלטה מס' 2019-08-04</t>
  </si>
  <si>
    <t>החלטה מס' 2019-08-05</t>
  </si>
  <si>
    <t>תיקון הגדלת התקשרות - אדריכלית נוף</t>
  </si>
  <si>
    <t>300 שעות לתקופה של שנה</t>
  </si>
  <si>
    <t>360 שעות לתקופה של שנה</t>
  </si>
  <si>
    <t>בהמשך להחלטה מס' 2019-06-09 בה אושרה התקשרות על סך 100 שעות  חודשיות לתקופה של 3 חודשים, מבקשים תיקון הגדלת התקשרות לפי סעיף 3.21 לנוהל התקשרויות על סך 300 שעות למשך שנה.</t>
  </si>
  <si>
    <t>תיקון הגדלת התקשרות-יעוץ אדריכלי למחלקת תכנון</t>
  </si>
  <si>
    <t>החלטה מס' 2019-08-06</t>
  </si>
  <si>
    <t>בהמשך להחלטה מס' 2019-06-08 בה אושרה התקשרות על סך 120 שעות  חודשיות לתקופה של 3 חודשים, מבקשים תיקון הגדלת התקשרות לפי סעיף 3.21 לנוהל התקשרויות על סך 360 שעות למשך שנה.</t>
  </si>
  <si>
    <t>יעוץ אדריכלי במוסדות חינוך</t>
  </si>
  <si>
    <t>ענת סמסונובוב</t>
  </si>
  <si>
    <t>בהמשך להחלטה מס' 2018-24-01 בה אושרו 400 שעות יעוץ, מבקשים הגדלת היקף פרויקט ליעוץ אדריכלי של שיפוצי קיץ.</t>
  </si>
  <si>
    <t>החלטה מס' 2019-08-07</t>
  </si>
  <si>
    <t>החלטה מס' 2019-08-08</t>
  </si>
  <si>
    <t>החלטה מס' 2019-08-09</t>
  </si>
  <si>
    <t>תכנון פיסי שביל אופניים תל חי דרום</t>
  </si>
  <si>
    <t>הראל מהנדסים</t>
  </si>
  <si>
    <t>ד.א.ל</t>
  </si>
  <si>
    <t>דיא יחיא</t>
  </si>
  <si>
    <t>מרכבה: 1008217, תב"ר: 223022954</t>
  </si>
  <si>
    <t>נעשתה פניה טלפונית למציע נוסף (שמעון מלול) בבקשה להצעת מחיר אך המציע אינו מעוניין.</t>
  </si>
  <si>
    <t>החלטה מס' 2019-08-10</t>
  </si>
  <si>
    <t>בהמשך להחלטה מס' 2017-25-21  ולהחלטה 2019-07-05  בה הועדה מבקשת לקבל מס הבהרות: (1) מהו הסכום ששולם לספק בשנה האחרונה, (2)  לאילו שירותים עירוניים המערכת מספקת פתרונות (3) יש להציג למנכ"ל חוזה התקשרות ראשוני (4) יש להציג למנכ"ל תמונה רחבה של ממשקי המערכת מול מערכות נוספות, מבקשים הגדלת התקשרות נוספת לפי סעיף 3.21 לנוהל התקשרויות.</t>
  </si>
  <si>
    <t>החלטה מס' 2019-08-11</t>
  </si>
  <si>
    <t>הכשרה, הדרכה וחומרי לימוד של שלוחת המוניטיסורי כפר סבא</t>
  </si>
  <si>
    <t>מנהלת מחלקת בית ספר יסודי- אורית ליבוביץ</t>
  </si>
  <si>
    <t>ענבר אופק</t>
  </si>
  <si>
    <t>255022760, 2520022945</t>
  </si>
  <si>
    <t>הנ"ל היחידה באררץ שעוסקת ונותנת מענה לצרכי העירייה בתחום הרלוונטי</t>
  </si>
  <si>
    <t>החלטה מס' 2019-08-12</t>
  </si>
  <si>
    <t>נעשתה פניה ל-4 משרדים</t>
  </si>
  <si>
    <t>קיסילוב קיי אדריכלים</t>
  </si>
  <si>
    <t>בר לוי דיין אדריכלים</t>
  </si>
  <si>
    <t>החלטה מס' 2019-08-13</t>
  </si>
  <si>
    <t>הכנת הנחיות מרחביות עבור הועדה המקונית לתכנון ובניה</t>
  </si>
  <si>
    <t>ליווי תכנית במרחב תכנית מאושרת כס/ 50/ 1/ א</t>
  </si>
  <si>
    <t>ערן מבל אדריכלים</t>
  </si>
  <si>
    <t>גורדון אדריכלים</t>
  </si>
  <si>
    <t>נעשתה פניה טלפונית למציע נוסף (חברת מגנזי) בבקשה להצעת מחיר אך המציע אינו מעוניין.</t>
  </si>
  <si>
    <t>אושרה ההצעה בכפוף לכך שהסכום הינו סכום כולל לפרויקט</t>
  </si>
  <si>
    <t xml:space="preserve"> הוגשה רק הצעה אחת, עקב היותה של המציעה היחידה בארץ הנותנת שירותים אלו.</t>
  </si>
  <si>
    <r>
      <t>פרוקוטול ועדת התקשרויות מס' 2019-08</t>
    </r>
    <r>
      <rPr>
        <b/>
        <sz val="16"/>
        <color theme="1"/>
        <rFont val="Arial"/>
        <family val="2"/>
      </rPr>
      <t xml:space="preserve"> תאריך: 26/5/19</t>
    </r>
  </si>
  <si>
    <t>שנה</t>
  </si>
  <si>
    <t>אושרה ההצעה בכפוף להתייחסות ואישור מנהל אגף חינוך להתקשרות זו</t>
  </si>
  <si>
    <t>היקף פרוייקט 11,000,000</t>
  </si>
  <si>
    <t>היקף פרוייקט 11,000,00</t>
  </si>
  <si>
    <t>א.ס.ט טליסמן הנדסה בע"מ</t>
  </si>
  <si>
    <t>224440052960</t>
  </si>
  <si>
    <t>החלטה מס' 2019-09-01</t>
  </si>
  <si>
    <t>החלטה מס' 2019-09-02</t>
  </si>
  <si>
    <t>ליווי מנכ"ל העירייה בבניית תוכנית עבודה מקושרת תקציב</t>
  </si>
  <si>
    <t>מנכ"ל העיריה- איתי צחר</t>
  </si>
  <si>
    <t>יובל ארבל</t>
  </si>
  <si>
    <t>אורבניקס</t>
  </si>
  <si>
    <t>טלדר ייעוץ ובקרה בע"מ</t>
  </si>
  <si>
    <t>הר-נוי- בניטה רו"ח</t>
  </si>
  <si>
    <t>החלטה מס' 2019-09-03</t>
  </si>
  <si>
    <t>1. לאור דחיפות הבקשות מועבר בסבב מיילים.</t>
  </si>
  <si>
    <t>ניהול קמפיין אירועי קיץ</t>
  </si>
  <si>
    <t>נשלחו הצעות ל-4 חברות</t>
  </si>
  <si>
    <t>יריב מדיה</t>
  </si>
  <si>
    <t>ושחר אריאל סטודיו</t>
  </si>
  <si>
    <t>ווב מדיה</t>
  </si>
  <si>
    <t>סמכ"לית שירות והסברה- צאלה וקסמן גונן</t>
  </si>
  <si>
    <t>בהמשך להחלטה מס' 2019-05-26 מבקשים הגדלת התקשרות נוספת לפי סעיף 3.21 לנוהל התקשרויות.</t>
  </si>
  <si>
    <t>החלטה מס' 2019-10-01</t>
  </si>
  <si>
    <t>החלטה מס' 2019-10-02</t>
  </si>
  <si>
    <t>אדריכל לתוספת מחסן למועדון כדורסל ליד אולם ספורט היובל</t>
  </si>
  <si>
    <t>החלטה מס' 2019-04-03</t>
  </si>
  <si>
    <t>החלטה מס' 2019-04-04</t>
  </si>
  <si>
    <t>החלטה מס' 2019-04-06</t>
  </si>
  <si>
    <t>החלטה מס' 2019-04-07</t>
  </si>
  <si>
    <t>החלטה מס' 2019-04-08</t>
  </si>
  <si>
    <t>החלטה מס' 2019-04-09</t>
  </si>
  <si>
    <t>החלטה מס' 2019-04-11</t>
  </si>
  <si>
    <t>החלטה מס' 2019-04-12</t>
  </si>
  <si>
    <t>החלטה מס' 2019-04-13</t>
  </si>
  <si>
    <t>החלטה מס' 2019-04-14</t>
  </si>
  <si>
    <t>החלטה מס' 2019-04-15</t>
  </si>
  <si>
    <r>
      <t>פרוטוקול ועדת התקשרויות מס' 2019-09</t>
    </r>
    <r>
      <rPr>
        <b/>
        <sz val="16"/>
        <color theme="1"/>
        <rFont val="Arial"/>
        <family val="2"/>
      </rPr>
      <t xml:space="preserve"> תאריך: 13/6/19</t>
    </r>
  </si>
  <si>
    <t>אריק ברגנר</t>
  </si>
  <si>
    <t>החלטה מס' 2019-10-03</t>
  </si>
  <si>
    <t>רן וולף</t>
  </si>
  <si>
    <t>7 חודשים</t>
  </si>
  <si>
    <t>תמר קוכנר</t>
  </si>
  <si>
    <t>גב וויל</t>
  </si>
  <si>
    <t>החלטה מס' 2019-10-04</t>
  </si>
  <si>
    <t>החלטה מס' 2019-10-05</t>
  </si>
  <si>
    <t>מנהלת מח' תכנון עיר - כנרת תירוש</t>
  </si>
  <si>
    <t>בודק תכניות (תב"ע)  ובקשות להיתר למח' תכנון עיר</t>
  </si>
  <si>
    <t>בר טכנולוגיות</t>
  </si>
  <si>
    <t>180 שעות חודשיות* 12 חודשים</t>
  </si>
  <si>
    <t>החלטה מס' 2019-10-06</t>
  </si>
  <si>
    <t>פרחי צפריר אדריכלים</t>
  </si>
  <si>
    <t>תכנון פיסי ותנועה שביל אופניים רח' בן יהודה בקטע שבין רח הגליל לרח הנביאים</t>
  </si>
  <si>
    <t>מנהלת מחלקת תנועה- הילן דהרי</t>
  </si>
  <si>
    <t>ב.ט.ה בר טל</t>
  </si>
  <si>
    <t>נתן תומר</t>
  </si>
  <si>
    <t>מרכבה: 101131280, תב"ר: 2250062951</t>
  </si>
  <si>
    <t>החלטה מס' 2019-10-07</t>
  </si>
  <si>
    <t>תכנון פיסי ותנועה שביל אופניים רח' תל אביב יפו בקטע שבין רח תל חי לכביש 40</t>
  </si>
  <si>
    <t>החלטה מס' 2019-10-08</t>
  </si>
  <si>
    <t>מרכבה: 1001131581, תב"ר: 2250062950</t>
  </si>
  <si>
    <t>לנדיוז תכנון תנועה וכבישים</t>
  </si>
  <si>
    <t>2. בכל הנושאים הוועדה סבורה שאין עדיפות למכרז פומבי</t>
  </si>
  <si>
    <t>1. כל הנושאים אושרו ע"י היועמ"ש כפטורים ממכרז לפי תקנה 3(8) לתקנות העיריות (מכרזים) תשמ"ח- 1987</t>
  </si>
  <si>
    <t>יעוץ לקראת חידוש רחוב ויצמן</t>
  </si>
  <si>
    <t>הגדלת התקשרות- יעוץ וליווי עובדי מנהל הנדסה</t>
  </si>
  <si>
    <t>החלטה מס' 2019-10-09</t>
  </si>
  <si>
    <t>תו"פ סביבה ואקוסטיקה/אוסנת ארנון</t>
  </si>
  <si>
    <t>מנהל מח' ביטוחים- דודו דוידוביץ'</t>
  </si>
  <si>
    <t>14 פרויקטים</t>
  </si>
  <si>
    <t>החלטה אינה מאושרת. יש לבדוק בשנית את תכולת ההצעה.</t>
  </si>
  <si>
    <t>החלטה אינה מאושרת. יש לבדוק בשנית את ההצעה ואת  סבירות המחירים.</t>
  </si>
  <si>
    <t>הגדלת התקשרות- יועץ להכנת חוו"ד אקוסטית לתביעה בהמשך לתביעה הייצוגית שנדחתה כנגד העירייה</t>
  </si>
  <si>
    <r>
      <t>פרוטוקול ועדת התקשרויות מס' 2019-10</t>
    </r>
    <r>
      <rPr>
        <b/>
        <sz val="16"/>
        <color theme="1"/>
        <rFont val="Arial"/>
        <family val="2"/>
      </rPr>
      <t xml:space="preserve"> תאריך: 27/6/19</t>
    </r>
  </si>
  <si>
    <t>גולדנברג אדריכלים בע"מ</t>
  </si>
  <si>
    <t>החלטה מס' 2019-11-01</t>
  </si>
  <si>
    <t>החלטה מס' 2019-11-02</t>
  </si>
  <si>
    <t>היות והיה עיכוב ביציאה למכרז ובימים אלו יוצא המכרז לפועל, אגף ההכנסות מבקש להמשיך להעסיק משרד זה עד ליציאה למכרז.  עקב כך מבקשים הגדלת התקשרות לפי סעיף 3.21 לנוהל התקשרויות.</t>
  </si>
  <si>
    <t>החלטה מס' 2019-11-03</t>
  </si>
  <si>
    <t>אתוס</t>
  </si>
  <si>
    <t>נעשה פניה ל-5 משרדי אדריכלות</t>
  </si>
  <si>
    <t>החלטה מס' 2019-11-04</t>
  </si>
  <si>
    <t>הכנת הנחיות מרחביות עבור הועדה המחוזית לתכנון ובניה</t>
  </si>
  <si>
    <t>הכנת תכנית השימור</t>
  </si>
  <si>
    <t>מימר נאור אדריכלים</t>
  </si>
  <si>
    <t>נועה שק</t>
  </si>
  <si>
    <t>גרואג הראל אדריכלים</t>
  </si>
  <si>
    <t>180 שעות חודשיות* 3 חודשים</t>
  </si>
  <si>
    <t>החלטה מס' 2019-11-05</t>
  </si>
  <si>
    <t>החלטה מס' 2019-11-06</t>
  </si>
  <si>
    <t>בודק תכניות (תב"ע) למח' תכנון עיר</t>
  </si>
  <si>
    <t>בודק בקשות להיתר למח' רישוי ובניה</t>
  </si>
  <si>
    <t>לפורום שרת וקומפלוט אין עובד זמין ומתאים כעת לביצוע העבודה ולכן מבקשים לאשר את בר טכנולוגיות ל-3 חודשים או 300 שעות המוקדם מבינהם.</t>
  </si>
  <si>
    <t>החלטה מס' 2019-11-07</t>
  </si>
  <si>
    <t>אדריכל לשדרוג כללי של תיכון כצלנסון</t>
  </si>
  <si>
    <t>החלטה מס' 2019-11-08</t>
  </si>
  <si>
    <t>החלטה מס' 2019-11-09</t>
  </si>
  <si>
    <t>בהמשך להחלטת ועדת התקשרויות 2019-10-07 שלא אושרה לצורך בדיקת ההצעה וסבירות המחירים בנית, מצ"ב תחשיב שכ"ט</t>
  </si>
  <si>
    <t>בהמשך להחלטת ועדת התקשרויות 2019-10-08 שלא אושרה לצורך בדיקת ההצעה וסבירות המחירים בנית, מצ"ב תחשיב שכ"ט</t>
  </si>
  <si>
    <t>החלטה מס' 2019-11-10</t>
  </si>
  <si>
    <t>300 שעות</t>
  </si>
  <si>
    <t>יועץ תנועה שוטף</t>
  </si>
  <si>
    <t>יוסי וייס</t>
  </si>
  <si>
    <t>720 שעות</t>
  </si>
  <si>
    <t>ליאת זמיר</t>
  </si>
  <si>
    <t>רמי ראובני</t>
  </si>
  <si>
    <t>לוי שטרק</t>
  </si>
  <si>
    <t>שוטף- יעוץ תנועה</t>
  </si>
  <si>
    <t>מבקשים לאשר את 2 המציעים שקיבלו את הציון המשוקלל הגבוה ביותר</t>
  </si>
  <si>
    <t>החלטה מס' 2019-11-12</t>
  </si>
  <si>
    <t>מנהלת מחלקת תשתיות- ניצה חן עובדיה</t>
  </si>
  <si>
    <t>החלטה מס' 2019-11-13</t>
  </si>
  <si>
    <t>ליווי עבודת שיפוץ ושימור של בניין העיריה "החאן" כפר סבא</t>
  </si>
  <si>
    <t>מיכל פירסטון</t>
  </si>
  <si>
    <t>נשלחו הצעות מחיר ל-4 משרדים</t>
  </si>
  <si>
    <t>פגי גרייס</t>
  </si>
  <si>
    <t>החלטה מס' 2019-11-14</t>
  </si>
  <si>
    <t>שמאי להכנת חוו"ד אקוסטית לתביעה בהמשך לתביעה הייצוגית שנדחתה כנגד העירייה</t>
  </si>
  <si>
    <t>נשלחו הצעות מחיר ל-6 משרדים, 2 מהם אינם עומדים בתנאי הסף שנקבעו</t>
  </si>
  <si>
    <t>אסף לוי</t>
  </si>
  <si>
    <t>נאור בינדר</t>
  </si>
  <si>
    <t>עמית גרינברג</t>
  </si>
  <si>
    <t>יורם יפה</t>
  </si>
  <si>
    <t>לאור דחיפות הבקשות מועבר בסבב מיילים.</t>
  </si>
  <si>
    <r>
      <t>פרוטוקול ועדת התקשרויות מס' 2019-11</t>
    </r>
    <r>
      <rPr>
        <b/>
        <sz val="16"/>
        <color theme="1"/>
        <rFont val="Arial"/>
        <family val="2"/>
      </rPr>
      <t xml:space="preserve"> תאריך: 09/07/19</t>
    </r>
  </si>
  <si>
    <t>אושרה ההצעה עם הציון השני המשוקלל הגבוה ביותר.</t>
  </si>
  <si>
    <t>אמפיביו</t>
  </si>
  <si>
    <t>יעוץ מים והידראולוגיה- מאבק בתחנת הכוח</t>
  </si>
  <si>
    <t>א.א.א ייעוץ סביבתי/ יוסי באזיס</t>
  </si>
  <si>
    <t>החלטה מס' 2019-12-01</t>
  </si>
  <si>
    <t>החלטה מס' 2019-12-02</t>
  </si>
  <si>
    <t>יעוץ איכות אוויר- מאבק בתחנות הכוח</t>
  </si>
  <si>
    <t>יעוץ רעש ואקוסטיקה- מאבק בתחנות הכוח</t>
  </si>
  <si>
    <t>אתרוג אקוסטיקה</t>
  </si>
  <si>
    <t>החלטה מס' 2019-12-03</t>
  </si>
  <si>
    <t>יעוץ קרינה- מאבק בתחנות הכוח</t>
  </si>
  <si>
    <t>ד"ר אהוד נאמן</t>
  </si>
  <si>
    <t>א.מ.נ המכון לבדיקות קרינה ובריאות סביבתית</t>
  </si>
  <si>
    <t>גל סייף</t>
  </si>
  <si>
    <t>נשלחו בקשות להצעות מחיר ל-6 חברות, רק המציעים עומדים בדרישות הבקשה</t>
  </si>
  <si>
    <t>החלטה מס' 2019-12-05</t>
  </si>
  <si>
    <t>בהמשך להחלטה מס' 2019-10-01 מבקשים הגדלת התקשרות נוספת לפי סעיף 3.21 לנוהל התקשרויות.</t>
  </si>
  <si>
    <t>נשלחו בקשות להצעות מחיר ל-4 חברות, רק המציע עומד בדרישות הבקשה. הנושא דחוף הואיל ויש לוח זמנים קצוב להגשת התנגדויות לתוכנית</t>
  </si>
  <si>
    <t>נשלחו בקשות להצעות מחיר ל-3 חברות, רק המציע עומד בדרישות הבקשה. הנושא דחוף הואיל ויש לוח זמנים קצוב להגשת התנגדויות לתוכנית</t>
  </si>
  <si>
    <t>נשלחו בקשות להצעות מחיר ל-5 חברות, רק המציע עומד בדרישות הבקשה. הנושא דחוף הואיל ויש לוח זמנים קצוב להגשת התנגדויות לתוכנית</t>
  </si>
  <si>
    <r>
      <t>פרוטוקול ועדת התקשרויות מס' 2019-12</t>
    </r>
    <r>
      <rPr>
        <b/>
        <sz val="16"/>
        <color theme="1"/>
        <rFont val="Arial"/>
        <family val="2"/>
      </rPr>
      <t xml:space="preserve"> תאריך: 25/07/19</t>
    </r>
  </si>
  <si>
    <t>החלטה מס' 2019-13-01</t>
  </si>
  <si>
    <t>יועץ לכתיבת מכרז פומבי לביצוע עבודות טיאוט וניקיון רחובות</t>
  </si>
  <si>
    <t>מנהלת מחלקת ניקיון העיר- ראובן אביסף</t>
  </si>
  <si>
    <t>פורטל יעוץ ותכנון</t>
  </si>
  <si>
    <t>אקוסטאר בע"מ</t>
  </si>
  <si>
    <t>עו"ד טל סומך</t>
  </si>
  <si>
    <t>רו"ח אמזלג יוסף</t>
  </si>
  <si>
    <t>החלטה מס' 2019-13-02</t>
  </si>
  <si>
    <t>הוספת מבנה/ מטבח במרכז קהילתי בית אברהם- אדריכלות</t>
  </si>
  <si>
    <t>ציפי סלמה</t>
  </si>
  <si>
    <t>דנה רצון</t>
  </si>
  <si>
    <t>הגדלת התקשרות- בודק תוכניות רישוי ובקשות להיתר</t>
  </si>
  <si>
    <t>מנהלת מחלקת רישוי בניה- שרית שיליאן</t>
  </si>
  <si>
    <t>החלטה מס' 2019-13-03</t>
  </si>
  <si>
    <t>בהמשך להחלטה מס' 2019-05-16 מבקשים הגדלת התקשרות נוספת לפי סעיף 3.21 לנוהל התקשרויות.</t>
  </si>
  <si>
    <t>הגדלת התקשרות- עתיר ידע- תכנון תנועה, פיזי, ניקוי ותאום מערכות</t>
  </si>
  <si>
    <t>החלטה מס' 2019-13-04</t>
  </si>
  <si>
    <t>בהמשך להחלטה מס' 2018-19-11 מבקשים הגדלת התקשרות נוספת לפי סעיף 3.21 לנוהל התקשרויות. הואיל ויש צורך בהעברת מיקום המסוף בשל תוצאות קרינה חריגות, יש צורך ברה תכנון המסוף.</t>
  </si>
  <si>
    <t>החלטה מס' 2019-13-05</t>
  </si>
  <si>
    <t>סקר עצים- שביל אופניים שצ"פ קריית חינוך</t>
  </si>
  <si>
    <t>גונן- עצים וסביבה</t>
  </si>
  <si>
    <t>החלטה מס' 2019-13-06</t>
  </si>
  <si>
    <t>מס' מרכבה:102490, תב"ר 2236022956</t>
  </si>
  <si>
    <t>החלטה מס' 2019-13-07</t>
  </si>
  <si>
    <t>סקר עצים- ציר התע"ש</t>
  </si>
  <si>
    <t>החלטה מס' 2019-13-08</t>
  </si>
  <si>
    <t>חידון הקיימות העירוני תש"פ</t>
  </si>
  <si>
    <t xml:space="preserve"> סגנית מנהלת אגף קיימות וחדשנות- תמי קצבורג נבנצל</t>
  </si>
  <si>
    <t>קומיוניטי</t>
  </si>
  <si>
    <t>צעד ירוק</t>
  </si>
  <si>
    <t>החלטה מס' 2019-13-09</t>
  </si>
  <si>
    <t xml:space="preserve"> מנהלת מחלקת פיקוח על הבניה- צבי וכליס</t>
  </si>
  <si>
    <t>בדיקת מבנים לפי בקשות אישור לטאבו</t>
  </si>
  <si>
    <t>קשת מהנדסים</t>
  </si>
  <si>
    <t>סכום ליח'/ מבנה</t>
  </si>
  <si>
    <t>150 מבנים</t>
  </si>
  <si>
    <t>אהרון דניאל מהנדסים</t>
  </si>
  <si>
    <t>אלדור יעוץ הנדסי בע"מ</t>
  </si>
  <si>
    <t>נשלחו הצעות מחיר ל-5 משרדים</t>
  </si>
  <si>
    <t>ייעוץ תחום הסברה ותקשורת</t>
  </si>
  <si>
    <t>החלטה מס' 2019-13-10</t>
  </si>
  <si>
    <t>הגדלת התקשרות - אדריכלית נוף</t>
  </si>
  <si>
    <t>100 שעות חודשיות לתקופה של שנה</t>
  </si>
  <si>
    <t>בהמשך להחלטה מס' 2019-08-05 מבקשים הגדלת התקשרות לפי סעיף 3.21 לנוהל התקשרויות.</t>
  </si>
  <si>
    <t>החלטה מס' 2019-13-11</t>
  </si>
  <si>
    <t>מדידה רח' ישעיהו וחלק מרח הנביאים</t>
  </si>
  <si>
    <t>אורי חן ציון</t>
  </si>
  <si>
    <t>תלאווי מדידות בע"מ</t>
  </si>
  <si>
    <t>אפלבאום מדידות</t>
  </si>
  <si>
    <t>קנה מידה</t>
  </si>
  <si>
    <t>החלטה מס' 2019-13-12</t>
  </si>
  <si>
    <t>מדידה רח' נחל הדס גוש 6433</t>
  </si>
  <si>
    <t>החלטה מס' 2019-13-13</t>
  </si>
  <si>
    <t>מדידה שביל ציבורי בין חצרות הדר לניצנים- גוש 6482</t>
  </si>
  <si>
    <t>החלטה מס' 2019-13-14</t>
  </si>
  <si>
    <t>מדידה חורשת הדודאים 6430/178</t>
  </si>
  <si>
    <t>החלטה מס' 2019-13-15</t>
  </si>
  <si>
    <t>פרויקט מעג"ן- מרפאה בעיסוק</t>
  </si>
  <si>
    <t>מנהלת מחלקת גני ילדים- אביבה מורדקוביץ</t>
  </si>
  <si>
    <t>הילה תשבי</t>
  </si>
  <si>
    <t>12 שעות שבועיות  למשך 10 חודשים</t>
  </si>
  <si>
    <t>שירה בר</t>
  </si>
  <si>
    <t>הדס לניר</t>
  </si>
  <si>
    <t>הילית קנטור</t>
  </si>
  <si>
    <t>החלטה מס' 2019-13-16</t>
  </si>
  <si>
    <t>פרויקט מעג"ן- קלינאית תקשורת</t>
  </si>
  <si>
    <t>ליאור דה בר</t>
  </si>
  <si>
    <t>יעל לדרר</t>
  </si>
  <si>
    <t>מיכל ברמן</t>
  </si>
  <si>
    <t>ענבל רהט</t>
  </si>
  <si>
    <t>היחידה הסביבתית</t>
  </si>
  <si>
    <t>החלטה מס' 2019-13-17</t>
  </si>
  <si>
    <t>תכנון פיסי ותיאום מערכות- צומת עתיר ידע</t>
  </si>
  <si>
    <t>שי מורן</t>
  </si>
  <si>
    <t>תבר תכנון</t>
  </si>
  <si>
    <t>מרכבה: 1001013479, תב"ר 2230022959</t>
  </si>
  <si>
    <t xml:space="preserve"> תב"ר שצ"פים</t>
  </si>
  <si>
    <t>החלטה מס' 2019-13-18</t>
  </si>
  <si>
    <t>ליווי אדריכלי לאגף הנדסה</t>
  </si>
  <si>
    <t>דניאל אזרד</t>
  </si>
  <si>
    <t>אריאל גושן</t>
  </si>
  <si>
    <t>רן בלנדר</t>
  </si>
  <si>
    <t>תבר תכנון/ הוצאות קבלניות</t>
  </si>
  <si>
    <t>החלטה מס' 2019-13-19</t>
  </si>
  <si>
    <t>תכנון חשמל ותאורה רחוב הצברים</t>
  </si>
  <si>
    <t>ג.ב מהנדסים</t>
  </si>
  <si>
    <t>מרכבה: 49832, תב"ר: 2230022958</t>
  </si>
  <si>
    <t>אריאל מלכה</t>
  </si>
  <si>
    <t>החלטה מס' 2019-13-20</t>
  </si>
  <si>
    <t>מרכבה: 740832, תב"ר: 2230052950</t>
  </si>
  <si>
    <t>תיקון החלטה בודק תכניות (תב"ע) למח' תכנון עיר</t>
  </si>
  <si>
    <t>בהמשך להחלטה 2019-11-05 בה אושר המציע בר טכנולוגיות ל180 שעות למשך 3 חודשים, מבקשים לתקן את מס השעות ל-300 שעות.</t>
  </si>
  <si>
    <t>100 שעות חודשיות* 3 חודשים</t>
  </si>
  <si>
    <t>100 שעות חודשיות* 4 חודשים</t>
  </si>
  <si>
    <t>הצעה לא מאושרת. יש לבדוק רלוונטיות של הנושא</t>
  </si>
  <si>
    <t>כ</t>
  </si>
  <si>
    <t>החלטה אינה מאושרת. באחריות מהנדסת העיר לבדוק בשנית את תכולת ההצעה.</t>
  </si>
  <si>
    <r>
      <t>פרוטוקול ועדת התקשרויות מס' 2019-13</t>
    </r>
    <r>
      <rPr>
        <b/>
        <sz val="16"/>
        <color theme="1"/>
        <rFont val="Arial"/>
        <family val="2"/>
      </rPr>
      <t xml:space="preserve"> תאריך: 22/08/19</t>
    </r>
  </si>
  <si>
    <t>אושרה ההצעה לפי סעיף 3.21 לנוהל התקשרויות. מאושר עד תאריך 31/12/19. יש לצאת למכרז מש"א</t>
  </si>
  <si>
    <t>נשלחו בקשות הצעות מחיר ל-4 משרדים: אהרון ברגר, גונן- עצים וסביבה, אלכס שפירא, דניאל אלמליח</t>
  </si>
  <si>
    <t>נשלחו בקשות הצעות מחיר ל-4 משרדים: אורי חן ציון, תלאווי מדידות בע"מ, אפלבאום מדידות, קנה מידה</t>
  </si>
  <si>
    <t>נשלחו בקשות הצעות מחיר ל-5 משרדים: קשת מהנדסים, אהרון דניאל מהנדסים, אלדור יעוץ הנדסי בע"מ, לבטח הנדסה ובטיחות, י.מ.קריזל הנדסה בע"מ</t>
  </si>
  <si>
    <t>נשלחו בקשות הצעות מחיר ל-4 משרדים: דגש הנדסה, נתן תומר, שי מורן, קרני מהנדסים</t>
  </si>
  <si>
    <t>סקר עצים- שביל אופניים רחוב המוביל בקטע נחליאלי-דרך הפועל</t>
  </si>
  <si>
    <t>100 שעות לתקופה של שנה</t>
  </si>
  <si>
    <t>החלטה מס' 2019-11-11</t>
  </si>
  <si>
    <t>הגדלת התקשרות- הנגשת מוסדות חינוך</t>
  </si>
  <si>
    <t>בהמשך להחלטה מס' 2018-03-06 מבקשים הגדלת התקשרות נוספת לפי סעיף 3.21 לנוהל התקשרויות.</t>
  </si>
  <si>
    <r>
      <t>סדר יום ועדת התקשרויות מס' 2019-14</t>
    </r>
    <r>
      <rPr>
        <b/>
        <sz val="16"/>
        <color theme="1"/>
        <rFont val="Arial"/>
        <family val="2"/>
      </rPr>
      <t xml:space="preserve"> תאריך: 12/9/19</t>
    </r>
  </si>
  <si>
    <t xml:space="preserve">אושרה ההצעה לפי סעיף 3.21 לנוהל התקשרויות. </t>
  </si>
  <si>
    <t>החלטה מס' 2019-14-01</t>
  </si>
  <si>
    <t>החלטה מס' 2019-14-02</t>
  </si>
  <si>
    <t>יועצת מחו"ל בנושא "אפס פסולת"</t>
  </si>
  <si>
    <t>ביה ג'ונסון</t>
  </si>
  <si>
    <t>הנ"ל היחידה בעולם שעוסקת ונותנת מענה לצרכי העירייה בתחום הרלוונטי</t>
  </si>
  <si>
    <t>הגדלת התקשרות- קידום מחודש של תכנית המתאר הכוללנית</t>
  </si>
  <si>
    <t>פירשט מזור אדריכלים</t>
  </si>
  <si>
    <t>החלטה מס' 2019-15-01</t>
  </si>
  <si>
    <t>החלטה מס' 2019-15-02</t>
  </si>
  <si>
    <t>הגדלת התקשרות- יעוץ למפת סיפור (ישום GIS) לתכנית המתאר כפר סבא</t>
  </si>
  <si>
    <t>תכנית המתאר</t>
  </si>
  <si>
    <t>בהמשך להחלטה 2019-08-04 , מבקשים הגדלת התקשרות לפי סעיף 3.21 לנוהל התקשרויות.</t>
  </si>
  <si>
    <t>החלטה מס' 2019-15-03</t>
  </si>
  <si>
    <t>סקר קרקע- ציר התע"ש</t>
  </si>
  <si>
    <t>נעשה פניה ל-4 משרדים</t>
  </si>
  <si>
    <t>תבר 2230022954, מרכבה: 102490</t>
  </si>
  <si>
    <t>משה בר קידוחי ניסיון</t>
  </si>
  <si>
    <t>החלטה מס' 2019-15-04</t>
  </si>
  <si>
    <t>החלטה מס' 2019-15-05</t>
  </si>
  <si>
    <t>החלטה מס' 2019-15-06</t>
  </si>
  <si>
    <t>החלטה מס' 2019-15-07</t>
  </si>
  <si>
    <t>החלטה מס' 2019-15-08</t>
  </si>
  <si>
    <t>גיל פולק</t>
  </si>
  <si>
    <t>נעה שרגאי</t>
  </si>
  <si>
    <t>החלטה מס' 2019-15-09</t>
  </si>
  <si>
    <t>יועץ נגישות שוטף למחלקת תחבורה</t>
  </si>
  <si>
    <t>אייל בן צבי</t>
  </si>
  <si>
    <t>עינב קוה</t>
  </si>
  <si>
    <t>אבי ורשבסקי</t>
  </si>
  <si>
    <t>50 שעות חודשיות למשך שנה</t>
  </si>
  <si>
    <t>החלטה מס' 2019-15-10</t>
  </si>
  <si>
    <t>הנגשת מקום שאינו בניין- פיקוח עבודות</t>
  </si>
  <si>
    <t>גל מרום</t>
  </si>
  <si>
    <t>היקף פרוייקט  10,000,000</t>
  </si>
  <si>
    <t>יעוץ נגישות לועדות תנועה שוטף</t>
  </si>
  <si>
    <t>אבו פרג' עווד</t>
  </si>
  <si>
    <t>אגם</t>
  </si>
  <si>
    <t>תקופת העסקה הינה 3 שנים</t>
  </si>
  <si>
    <t>סקר עצים- שביל אופניים ציר נורדאו</t>
  </si>
  <si>
    <t>מס' מרכבה:863177, תב"ר 2250022953</t>
  </si>
  <si>
    <t>החלטה מס' 2019-15-11</t>
  </si>
  <si>
    <t>החלטה מס' 2019-15-12</t>
  </si>
  <si>
    <t>רמאור  בע"מ</t>
  </si>
  <si>
    <t>שאול מהנדסים</t>
  </si>
  <si>
    <t>מס' מרכבה:49832, תב"ר 22300022958</t>
  </si>
  <si>
    <t>החלטה מס' 2019-15-13</t>
  </si>
  <si>
    <t>תכנון חשמל ותאורה רחוב תל חי צפון</t>
  </si>
  <si>
    <t>מס' מרכבה:740832, תב"ר 2230052950</t>
  </si>
  <si>
    <t>נשלחה בקשה להצעת מחיר ל-5 משרדים</t>
  </si>
  <si>
    <t>החלטה מס' 2019-15-14</t>
  </si>
  <si>
    <t>הגדלת התקשרות- ניהול ופיקוח על עבודות שיפוץ מוסדות חינוך 2019</t>
  </si>
  <si>
    <t>החלטה מס' 2019-15-15</t>
  </si>
  <si>
    <t>פאדי בשארה</t>
  </si>
  <si>
    <t>החלטה מס' 2019-15-16</t>
  </si>
  <si>
    <t>הגדלת התקשרות- תכנון אדריכלי לשיפוץ עומק של גני ילדים</t>
  </si>
  <si>
    <t>נתי זיו- סטודיו זיו בע"מ</t>
  </si>
  <si>
    <t>החלטה מס' 2019-15-17</t>
  </si>
  <si>
    <t>מדידה לצורך תכנון שביל אופניים ברח' בן יהודה בקטע הגליל הנביאים</t>
  </si>
  <si>
    <t>מס' מרכבה:1001131580, תב"ר 225006951</t>
  </si>
  <si>
    <t>אורי חן-ציון</t>
  </si>
  <si>
    <t>אפלבאום</t>
  </si>
  <si>
    <t>החלטה מס' 2019-15-18</t>
  </si>
  <si>
    <t>מדידה לצורך תכנון שביל אופניים ברח' צל אביב יפו בקטע תל חי- כביש 40</t>
  </si>
  <si>
    <t>בהמשך להחלטה 12 מיום 30.10.12 מבקשים הגדלת התקשרות לפי סעיף 3.21 לנוהל התקשרויות. ההגדלה נחוצה עבור: ניטור ובחינת השלכות של תוכניות מאושרות ותוכניות מקודמות, טיפול מחדש בהתנגדויות ושיתוף ציבור ובחינה מחודשת של נושא הגבולות.</t>
  </si>
  <si>
    <t xml:space="preserve"> בהמשך להחלטה 2019-13-05 בה נדחתה ההצעה עקב הצורך בביצוע בסקר במסגרת אגרונום קיים. מנהל אגף חזות העיר טוען כי אין באפשרותו לבצע את הסקר באופן פנימי ולכן מועלה בשנית.נשלחו בקשות הצעות מחיר ל-4 משרדים: אהרון ברגר, גונן- עצים וסביבה, אלכס שפירא, דניאל אלמליח</t>
  </si>
  <si>
    <t>בהמשך להחלטה 2019-13-06 בה נדחתה ההצעה עקב הצורך בביצוע בסקר במסגרת אגרונום קיים. מנהל אגף חזות העיר טוען כי אין באפשרותו לבצע את הסקר באופן פנימי ולכן מועלה בשנית. נשלחו בקשות הצעות מחיר ל-4 משרדים: אהרון ברגר, גונן- עצים וסביבה, אלכס שפירא, דניאל אלמליח</t>
  </si>
  <si>
    <t>בהמשך להחלטה 2019-13-07 בה נדחתה ההצעה עקב הצורך בביצוע בסקר במסגרת אגרונום קיים. מנהל אגף חזות העיר טוען כי אין באפשרותו לבצע את הסקר באופן פנימי ולכן מועלה בשנית. נשלחו בקשות הצעות מחיר ל-4 משרדים: אהרון ברגר, גונן- עצים וסביבה, אלכס שפירא, דניאל אלמליח</t>
  </si>
  <si>
    <t>בהמשך להחלטה 2019-03-05, מבקשים הגדלת התקשרות לפי סעיף 3.21 לנוהל התקשרויות, הואיל ומדובר בעבודת המשך</t>
  </si>
  <si>
    <t>החלטה מס' 2019-15-19</t>
  </si>
  <si>
    <t>הנגשת מבני ציבור - מנהל פרויקט (החלפת מנהל קיים)</t>
  </si>
  <si>
    <t>ת.ל.ן להנדסה</t>
  </si>
  <si>
    <t>א.ג.ם ניהול ופיקוח</t>
  </si>
  <si>
    <t>בהמשך להחלטה 2018-05-04, בה זכה היועץ אייל רוטברט, עקב חוסר שביעות רצון מקצועי ושירותי  ממנהל הפרויקט, מבקשים להחליף את החברה המבצעת ולכן הנושא עולה בשנית. תקופת ההעסקה הינו ל-3 שנים.</t>
  </si>
  <si>
    <t>החלטה אינה מאושרת. באחריות מהנדסת העיר להציג למנכל העירייה בדיקת עומק של תכולת ההצעה: חוזה קיים, אבני דרך, תשלום וכו.</t>
  </si>
  <si>
    <r>
      <t>פרוטוקול ועדת התקשרויות מס' 2019-15</t>
    </r>
    <r>
      <rPr>
        <b/>
        <sz val="16"/>
        <color theme="1"/>
        <rFont val="Arial"/>
        <family val="2"/>
      </rPr>
      <t xml:space="preserve"> תאריך: 28/10/19</t>
    </r>
  </si>
  <si>
    <t>אושרה ההצעה עם הציון המשוקלל הגבוה ביותר. להבא יש לדאוג לאיתור הצעות נוספות בתחום הרלוונטי ובמסגרת המחירים הסבירה.</t>
  </si>
  <si>
    <t xml:space="preserve">אושרה ההצעה עם הציון המשוקלל הגבוה ביותר. </t>
  </si>
  <si>
    <t xml:space="preserve"> לא מאושר. יש לבדוק רלוונטיות של הנושא</t>
  </si>
  <si>
    <t>היקף פרוייקט  2,540,117</t>
  </si>
  <si>
    <t>היקף פרוייקט  1,873,272</t>
  </si>
  <si>
    <t>לא מאושר. באחריות מהנדסת העיר לערוך בחינה מחודשת של הנושא</t>
  </si>
  <si>
    <t>החלטה מס' 2019-16-01</t>
  </si>
  <si>
    <t>הגדלת התקשרות- ייעוץ תחום הסברה ותקשורת</t>
  </si>
  <si>
    <t>6 חודשים</t>
  </si>
  <si>
    <t>בהמשך להחלטה 2019-07-08 ולאור גידול בהיקף העבודה, מבקשים הגדלת התקשרות/ תוספת חודשית על סכום של 1000 ש"ח לחוזה הקיים לפי סעיף 3.21 לנוהל התקשרויות.</t>
  </si>
  <si>
    <t>החלטה מס' 2019-16-02</t>
  </si>
  <si>
    <t>יעוץ אסרטגי ושירותי לובינג בנושא מאבק בתחנות הכוח</t>
  </si>
  <si>
    <t>הקבינט</t>
  </si>
  <si>
    <t>4 חודשים עם הארכה לעוד חודשיים</t>
  </si>
  <si>
    <t>מומנטום</t>
  </si>
  <si>
    <t>ריבפליק יועצים</t>
  </si>
  <si>
    <t>גלעד יחסי ממשל</t>
  </si>
  <si>
    <t>מאיר אסרף, עו"ד</t>
  </si>
  <si>
    <r>
      <t>פרוטוקול ועדת התקשרויות מס' 2019-16</t>
    </r>
    <r>
      <rPr>
        <b/>
        <sz val="16"/>
        <color theme="1"/>
        <rFont val="Arial"/>
        <family val="2"/>
      </rPr>
      <t xml:space="preserve"> תאריך: 20/11/19</t>
    </r>
  </si>
  <si>
    <t>הגדלת התקשרות- יעוץ תנועה- פארק התעסוקה המוביל (תב"ע תע"ש)</t>
  </si>
  <si>
    <t>קו הנדסה תנועה בע"מ</t>
  </si>
  <si>
    <t>החלטה מס' 2019-17-01</t>
  </si>
  <si>
    <t>החלטה מס' 2019-17-02</t>
  </si>
  <si>
    <t>הגדלת התקשרות- יעוץ אדריכל נוף- פארק התעסוקה המוביל (תב"ע תע"ש)</t>
  </si>
  <si>
    <t>ברקן אלחייני אדריכלות נוף</t>
  </si>
  <si>
    <t>החלטה מס' 2019-17-03</t>
  </si>
  <si>
    <t>הגדלת התקשרות- יעוץ שמאות ומקרקעין- פארק התעסוקה המוביל (תב"ע תע"ש)</t>
  </si>
  <si>
    <t>ז.כ למדידות והנדסה</t>
  </si>
  <si>
    <t>הסבת חוזה מהחברה הכלכלית</t>
  </si>
  <si>
    <t>החלטה מס' 2019-17-04</t>
  </si>
  <si>
    <t>הגדלת התקשרות- ניהול פרויקט- פארק התעסוקה המוביל (תב"ע תע"ש)</t>
  </si>
  <si>
    <t>הגדלת התקשרות- יעוץ אדריכלי- פארק התעסוקה המוביל (תב"ע תע"ש)</t>
  </si>
  <si>
    <t>פרייס פילצר יעבץ אדריכלים</t>
  </si>
  <si>
    <t>החלטה מס' 2019-17-05</t>
  </si>
  <si>
    <t>תכנון תנועה- רח עתיר ידע</t>
  </si>
  <si>
    <t>מורן הנדסה בע"מ</t>
  </si>
  <si>
    <t>החלטה מס' 2019-17-06</t>
  </si>
  <si>
    <t>מרכבה 1001129767, תב"ר 225006951</t>
  </si>
  <si>
    <t>מדידה בשכונת הפארק- רח' הר נבו/ הר תבור, אז"ר, עהר מירון והר שוקף/ הר עצמון, גוש 6434+ חלקות וחלק מ-559</t>
  </si>
  <si>
    <t>החלטה מס' 2019-17-07</t>
  </si>
  <si>
    <t>בהמשך להחלטה 2019-15-10 ולאחר בדיקת רלוונטיות, מבקשים להעלות מחדש</t>
  </si>
  <si>
    <t>החלטה מס' 2019-17-08</t>
  </si>
  <si>
    <t>יועץ נגישות לתחום הנגשות למח' רישוי עסקים</t>
  </si>
  <si>
    <t>סגנית מנהלת אגף הנדסנ לרישוי ופיקוח - רעיה סבירסקי</t>
  </si>
  <si>
    <t>שמר  בטיחות והנדסה</t>
  </si>
  <si>
    <t>החלטה מס' 2019-17-09</t>
  </si>
  <si>
    <t>החלטה מס' 2019-17-10</t>
  </si>
  <si>
    <t>החלטה מס' 2019-17-11</t>
  </si>
  <si>
    <t>סגנית גזבר- אורית דנאי גנדל</t>
  </si>
  <si>
    <t>רו"ח אריק גולדיאן- א.ר.א.ב בונוס בע"מ</t>
  </si>
  <si>
    <t>חוסאם</t>
  </si>
  <si>
    <t>אורי חן ציוון</t>
  </si>
  <si>
    <t>החלטה מס' 2019-17-12</t>
  </si>
  <si>
    <t>אדריכלות פנים- חטיבה חדשה</t>
  </si>
  <si>
    <t>מח' מנהלת רכש ומכרזים- אביטל חדד</t>
  </si>
  <si>
    <t>ערן זילברמן</t>
  </si>
  <si>
    <t>עמית נימליך</t>
  </si>
  <si>
    <t>תב"ר הצטיידות חטיבה חדשה</t>
  </si>
  <si>
    <t>יעוץ נגישות לועדות תנועה</t>
  </si>
  <si>
    <t>לתקופה של 12 חודשים</t>
  </si>
  <si>
    <t>סכום חודשי</t>
  </si>
  <si>
    <t>בהמשך להחלטה 2018-05-04, בה זכה היועץ אייל רוטברט, עקב חוסר שביעות רצון מקצועי ושירותי  ממנהל הפרויקט, מבקשים להחליף את החברה המבצעת ולכן הנושא עולה בשנית. תקופת ההעסקה הינו ל-3 שנים קיימת חלוקה לפי שנים בחומרים הנלווים.</t>
  </si>
  <si>
    <r>
      <t>פרוטוקול ועדת התקשרויות מס' 2019-17</t>
    </r>
    <r>
      <rPr>
        <b/>
        <sz val="16"/>
        <color theme="1"/>
        <rFont val="Arial"/>
        <family val="2"/>
      </rPr>
      <t xml:space="preserve"> תאריך: 28/11/19</t>
    </r>
  </si>
  <si>
    <t>איציק פאריינתי ייזום יעוץ וניהול</t>
  </si>
  <si>
    <t>משתתפים: איתי צחר - מנכ"ל העירייה, צבי אפרת- ס/גזבר, אילה זיו - נציגת היועמ"ש, רעות סימונס -רכזת הוועדה, עליזה זיידלר גרנות- מהנדסת העיר</t>
  </si>
  <si>
    <t>בוצעה פניה אחידה ל-5 מציעים</t>
  </si>
  <si>
    <t>הגדלת התקשרות- ייצוג מול רשות המס(מס הכנסה וביטוח לאומי) כולל ביקורות שוטפות</t>
  </si>
  <si>
    <t>החלטה מס' 2019-17-13</t>
  </si>
  <si>
    <t>הגדלת התקשרות- ליווי משפטי- פארק התעסוקה המוביל (תב"ע תע"ש)</t>
  </si>
  <si>
    <t>רוזן בסיס בן גל עו"ד</t>
  </si>
  <si>
    <t>משתתפים: איתי צחר - מנכ"ל העירייה, צבי אפרת- ס/גזבר, אילה זיו - נציגת היועמ"ש, רעות סימונס -מ"מ רכזת הוועדה</t>
  </si>
  <si>
    <t>מנהלת מח' גנים - אביבה מורדוקוביץ'</t>
  </si>
  <si>
    <t>איריס אינגבר-פסקין</t>
  </si>
  <si>
    <t>מירב מור אופיר</t>
  </si>
  <si>
    <t>48 שעות חודשיות למשך שנה</t>
  </si>
  <si>
    <t>החלטה מס' 2019-18-01</t>
  </si>
  <si>
    <t>תזונאית בגני ילדים</t>
  </si>
  <si>
    <r>
      <t>פרוטוקול ועדת התקשרויות מס' 2019-18</t>
    </r>
    <r>
      <rPr>
        <b/>
        <sz val="16"/>
        <color theme="1"/>
        <rFont val="Arial"/>
        <family val="2"/>
      </rPr>
      <t xml:space="preserve"> תאריך: 24/12/19</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</si>
</sst>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 #,##0.00;&quot;₪&quot;\ \-#,##0.00"/>
    <numFmt numFmtId="44" formatCode="_ &quot;₪&quot;\ * #,##0.00_ ;_ &quot;₪&quot;\ * \-#,##0.00_ ;_ &quot;₪&quot;\ * &quot;-&quot;??_ ;_ @_ "/>
    <numFmt numFmtId="43" formatCode="_ * #,##0.00_ ;_ * \-#,##0.00_ ;_ * &quot;-&quot;??_ ;_ @_ "/>
    <numFmt numFmtId="164" formatCode="&quot;₪&quot;\ #,##0"/>
    <numFmt numFmtId="165" formatCode="&quot;₪&quot;\ #,##0.00"/>
  </numFmts>
  <fonts count="24" x14ac:knownFonts="1">
    <font>
      <sz val="11"/>
      <color theme="1"/>
      <name val="Arial"/>
      <family val="2"/>
      <charset val="177"/>
      <scheme val="minor"/>
    </font>
    <font>
      <sz val="11"/>
      <color rgb="FF006100"/>
      <name val="Arial"/>
      <family val="2"/>
      <charset val="177"/>
      <scheme val="minor"/>
    </font>
    <font>
      <sz val="11"/>
      <color rgb="FF9C0006"/>
      <name val="Arial"/>
      <family val="2"/>
      <charset val="177"/>
      <scheme val="minor"/>
    </font>
    <font>
      <b/>
      <sz val="16"/>
      <name val="Arial"/>
      <family val="2"/>
    </font>
    <font>
      <b/>
      <sz val="16"/>
      <color theme="1"/>
      <name val="Arial"/>
      <family val="2"/>
    </font>
    <font>
      <b/>
      <sz val="10"/>
      <name val="Arial"/>
      <family val="2"/>
    </font>
    <font>
      <b/>
      <sz val="12"/>
      <name val="Arial"/>
      <family val="2"/>
    </font>
    <font>
      <sz val="10"/>
      <name val="Arial"/>
      <family val="2"/>
    </font>
    <font>
      <sz val="10"/>
      <color theme="1"/>
      <name val="Arial"/>
      <family val="2"/>
      <scheme val="minor"/>
    </font>
    <font>
      <sz val="11"/>
      <color rgb="FF008000"/>
      <name val="Arial"/>
      <family val="2"/>
      <charset val="177"/>
      <scheme val="minor"/>
    </font>
    <font>
      <sz val="10"/>
      <name val="Arial"/>
      <family val="2"/>
      <charset val="177"/>
      <scheme val="minor"/>
    </font>
    <font>
      <sz val="12"/>
      <name val="Arial"/>
      <family val="2"/>
      <scheme val="minor"/>
    </font>
    <font>
      <sz val="11"/>
      <color theme="1"/>
      <name val="Arial"/>
      <family val="2"/>
      <charset val="177"/>
      <scheme val="minor"/>
    </font>
    <font>
      <b/>
      <sz val="11"/>
      <name val="Arial"/>
      <family val="2"/>
    </font>
    <font>
      <sz val="9"/>
      <name val="Arial"/>
      <family val="2"/>
    </font>
    <font>
      <sz val="8"/>
      <color rgb="FF9C0006"/>
      <name val="Arial"/>
      <family val="2"/>
      <charset val="177"/>
      <scheme val="minor"/>
    </font>
    <font>
      <sz val="11"/>
      <name val="Arial"/>
      <family val="2"/>
      <charset val="177"/>
      <scheme val="minor"/>
    </font>
    <font>
      <sz val="8"/>
      <name val="Arial"/>
      <family val="2"/>
    </font>
    <font>
      <sz val="10"/>
      <color rgb="FF9C0006"/>
      <name val="Arial"/>
      <family val="2"/>
      <charset val="177"/>
      <scheme val="minor"/>
    </font>
    <font>
      <b/>
      <sz val="9"/>
      <name val="Arial"/>
      <family val="2"/>
    </font>
    <font>
      <sz val="10"/>
      <name val="Arial"/>
      <family val="2"/>
      <scheme val="minor"/>
    </font>
    <font>
      <sz val="10"/>
      <name val="Arial"/>
      <family val="2"/>
      <charset val="177"/>
    </font>
    <font>
      <sz val="9"/>
      <name val="Arial"/>
      <family val="2"/>
      <charset val="177"/>
      <scheme val="minor"/>
    </font>
    <font>
      <sz val="11"/>
      <color theme="1"/>
      <name val="Arial"/>
      <family val="2"/>
    </font>
  </fonts>
  <fills count="9">
    <fill>
      <patternFill patternType="none"/>
    </fill>
    <fill>
      <patternFill patternType="gray125"/>
    </fill>
    <fill>
      <patternFill patternType="solid">
        <fgColor rgb="FFC6EFCE"/>
      </patternFill>
    </fill>
    <fill>
      <patternFill patternType="solid">
        <fgColor rgb="FFFFC7CE"/>
      </patternFill>
    </fill>
    <fill>
      <patternFill patternType="solid">
        <fgColor theme="0" tint="-0.14999847407452621"/>
        <bgColor indexed="64"/>
      </patternFill>
    </fill>
    <fill>
      <patternFill patternType="solid">
        <fgColor theme="2"/>
        <bgColor indexed="64"/>
      </patternFill>
    </fill>
    <fill>
      <patternFill patternType="solid">
        <fgColor theme="0"/>
        <bgColor indexed="64"/>
      </patternFill>
    </fill>
    <fill>
      <patternFill patternType="solid">
        <fgColor theme="9" tint="0.59999389629810485"/>
        <bgColor indexed="64"/>
      </patternFill>
    </fill>
    <fill>
      <patternFill patternType="solid">
        <fgColor rgb="FFFFFF9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s>
  <cellStyleXfs count="5">
    <xf numFmtId="0" fontId="0" fillId="0" borderId="0"/>
    <xf numFmtId="0" fontId="1" fillId="2" borderId="0" applyNumberFormat="0" applyBorder="0" applyAlignment="0" applyProtection="0"/>
    <xf numFmtId="0" fontId="2" fillId="3" borderId="0" applyNumberFormat="0" applyBorder="0" applyAlignment="0" applyProtection="0"/>
    <xf numFmtId="9" fontId="12" fillId="0" borderId="0" applyFont="0" applyFill="0" applyBorder="0" applyAlignment="0" applyProtection="0"/>
    <xf numFmtId="43" fontId="12" fillId="0" borderId="0" applyFont="0" applyFill="0" applyBorder="0" applyAlignment="0" applyProtection="0"/>
  </cellStyleXfs>
  <cellXfs count="297">
    <xf numFmtId="0" fontId="0" fillId="0" borderId="0" xfId="0"/>
    <xf numFmtId="0" fontId="6" fillId="0" borderId="1" xfId="0" applyFont="1" applyFill="1" applyBorder="1" applyAlignment="1">
      <alignment horizontal="center" vertical="center" readingOrder="2"/>
    </xf>
    <xf numFmtId="0" fontId="6" fillId="0" borderId="1" xfId="0" applyFont="1" applyBorder="1" applyAlignment="1">
      <alignment horizontal="center" vertical="center" readingOrder="2"/>
    </xf>
    <xf numFmtId="0" fontId="6" fillId="0" borderId="1" xfId="0" applyFont="1" applyBorder="1" applyAlignment="1">
      <alignment horizontal="center" vertical="center" wrapText="1" readingOrder="2"/>
    </xf>
    <xf numFmtId="164" fontId="6" fillId="0" borderId="1" xfId="0" applyNumberFormat="1" applyFont="1" applyBorder="1" applyAlignment="1">
      <alignment vertical="center" wrapText="1" readingOrder="2"/>
    </xf>
    <xf numFmtId="164" fontId="6" fillId="0" borderId="1" xfId="0" applyNumberFormat="1" applyFont="1" applyBorder="1" applyAlignment="1">
      <alignment horizontal="right" vertical="center" wrapText="1" readingOrder="2"/>
    </xf>
    <xf numFmtId="0" fontId="6" fillId="0" borderId="1" xfId="0" applyFont="1" applyFill="1" applyBorder="1" applyAlignment="1">
      <alignment horizontal="center" vertical="center" wrapText="1" readingOrder="2"/>
    </xf>
    <xf numFmtId="3" fontId="7" fillId="0" borderId="1" xfId="0" applyNumberFormat="1" applyFont="1" applyFill="1" applyBorder="1" applyAlignment="1">
      <alignment horizontal="center" vertical="center" wrapText="1" readingOrder="2"/>
    </xf>
    <xf numFmtId="165" fontId="7" fillId="0" borderId="1" xfId="0" applyNumberFormat="1" applyFont="1" applyFill="1" applyBorder="1" applyAlignment="1">
      <alignment horizontal="center" vertical="center" wrapText="1" readingOrder="2"/>
    </xf>
    <xf numFmtId="0" fontId="7" fillId="0" borderId="1" xfId="0" applyFont="1" applyFill="1" applyBorder="1" applyAlignment="1">
      <alignment horizontal="center" vertical="center" wrapText="1" readingOrder="2"/>
    </xf>
    <xf numFmtId="0" fontId="0" fillId="0" borderId="0" xfId="0" applyFill="1"/>
    <xf numFmtId="0" fontId="0" fillId="0" borderId="0" xfId="0" applyAlignment="1">
      <alignment readingOrder="2"/>
    </xf>
    <xf numFmtId="164" fontId="0" fillId="0" borderId="0" xfId="0" applyNumberFormat="1" applyAlignment="1">
      <alignment readingOrder="2"/>
    </xf>
    <xf numFmtId="0" fontId="11" fillId="0" borderId="0" xfId="0" applyFont="1" applyAlignment="1">
      <alignment readingOrder="2"/>
    </xf>
    <xf numFmtId="0" fontId="11" fillId="0" borderId="0" xfId="0" applyFont="1" applyFill="1"/>
    <xf numFmtId="0" fontId="8" fillId="0" borderId="0" xfId="0" applyFont="1" applyAlignment="1">
      <alignment horizontal="center" vertical="center"/>
    </xf>
    <xf numFmtId="165" fontId="10" fillId="0" borderId="1" xfId="2" applyNumberFormat="1" applyFont="1" applyFill="1" applyBorder="1" applyAlignment="1">
      <alignment horizontal="center" vertical="center" wrapText="1" readingOrder="2"/>
    </xf>
    <xf numFmtId="0" fontId="7" fillId="7" borderId="1" xfId="0" applyFont="1" applyFill="1" applyBorder="1" applyAlignment="1">
      <alignment horizontal="center" vertical="center" wrapText="1" readingOrder="2"/>
    </xf>
    <xf numFmtId="3" fontId="7" fillId="7" borderId="1" xfId="0" applyNumberFormat="1" applyFont="1" applyFill="1" applyBorder="1" applyAlignment="1">
      <alignment horizontal="center" vertical="center" wrapText="1" readingOrder="2"/>
    </xf>
    <xf numFmtId="165" fontId="7" fillId="7" borderId="1" xfId="0" applyNumberFormat="1" applyFont="1" applyFill="1" applyBorder="1" applyAlignment="1">
      <alignment horizontal="center" vertical="center" wrapText="1" readingOrder="2"/>
    </xf>
    <xf numFmtId="10" fontId="10" fillId="0" borderId="1" xfId="3" applyNumberFormat="1" applyFont="1" applyFill="1" applyBorder="1" applyAlignment="1">
      <alignment horizontal="center" vertical="center" wrapText="1" readingOrder="2"/>
    </xf>
    <xf numFmtId="0" fontId="8" fillId="0" borderId="1" xfId="0" applyFont="1" applyBorder="1" applyAlignment="1">
      <alignment horizontal="center" vertical="center"/>
    </xf>
    <xf numFmtId="0" fontId="10" fillId="7" borderId="1" xfId="2" applyFont="1" applyFill="1" applyBorder="1" applyAlignment="1">
      <alignment horizontal="center" vertical="center" wrapText="1" readingOrder="2"/>
    </xf>
    <xf numFmtId="3" fontId="10" fillId="7" borderId="1" xfId="2" applyNumberFormat="1" applyFont="1" applyFill="1" applyBorder="1" applyAlignment="1">
      <alignment horizontal="center" vertical="center" wrapText="1" readingOrder="2"/>
    </xf>
    <xf numFmtId="165" fontId="10" fillId="7" borderId="1" xfId="2" applyNumberFormat="1" applyFont="1" applyFill="1" applyBorder="1" applyAlignment="1">
      <alignment horizontal="center" vertical="center" wrapText="1" readingOrder="2"/>
    </xf>
    <xf numFmtId="10" fontId="10" fillId="7" borderId="1" xfId="3" applyNumberFormat="1" applyFont="1" applyFill="1" applyBorder="1" applyAlignment="1">
      <alignment horizontal="center" vertical="center" wrapText="1" readingOrder="2"/>
    </xf>
    <xf numFmtId="0" fontId="7" fillId="0" borderId="1" xfId="0" applyFont="1" applyFill="1" applyBorder="1" applyAlignment="1">
      <alignment horizontal="center" vertical="center" wrapText="1" readingOrder="2"/>
    </xf>
    <xf numFmtId="0" fontId="7" fillId="0" borderId="1" xfId="0" applyFont="1" applyFill="1" applyBorder="1" applyAlignment="1">
      <alignment horizontal="center" vertical="center" wrapText="1" readingOrder="2"/>
    </xf>
    <xf numFmtId="165" fontId="7" fillId="6" borderId="1" xfId="0" applyNumberFormat="1" applyFont="1" applyFill="1" applyBorder="1" applyAlignment="1">
      <alignment horizontal="center" vertical="center" wrapText="1" readingOrder="2"/>
    </xf>
    <xf numFmtId="0" fontId="6" fillId="0" borderId="5" xfId="0" applyFont="1" applyFill="1" applyBorder="1" applyAlignment="1">
      <alignment horizontal="center" vertical="center" wrapText="1" readingOrder="2"/>
    </xf>
    <xf numFmtId="0" fontId="7" fillId="0" borderId="6" xfId="0" applyFont="1" applyFill="1" applyBorder="1" applyAlignment="1">
      <alignment horizontal="center" vertical="center" wrapText="1" readingOrder="2"/>
    </xf>
    <xf numFmtId="44" fontId="1" fillId="0" borderId="5" xfId="1" applyNumberFormat="1" applyFill="1" applyBorder="1" applyAlignment="1">
      <alignment horizontal="center" vertical="center" wrapText="1"/>
    </xf>
    <xf numFmtId="0" fontId="7" fillId="0" borderId="1" xfId="0" applyFont="1" applyFill="1" applyBorder="1" applyAlignment="1">
      <alignment horizontal="center" vertical="center" wrapText="1" readingOrder="2"/>
    </xf>
    <xf numFmtId="0" fontId="7" fillId="0" borderId="1" xfId="0" applyFont="1" applyFill="1" applyBorder="1" applyAlignment="1">
      <alignment horizontal="center" vertical="center" wrapText="1" readingOrder="2"/>
    </xf>
    <xf numFmtId="0" fontId="7" fillId="0" borderId="5" xfId="0" applyFont="1" applyFill="1" applyBorder="1" applyAlignment="1">
      <alignment horizontal="center" vertical="center" wrapText="1" readingOrder="2"/>
    </xf>
    <xf numFmtId="0" fontId="6" fillId="0" borderId="5" xfId="0" applyFont="1" applyFill="1" applyBorder="1" applyAlignment="1">
      <alignment horizontal="center" vertical="center" wrapText="1" readingOrder="2"/>
    </xf>
    <xf numFmtId="0" fontId="8" fillId="0" borderId="5" xfId="0" applyFont="1" applyFill="1" applyBorder="1" applyAlignment="1">
      <alignment horizontal="center" vertical="center" wrapText="1" readingOrder="2"/>
    </xf>
    <xf numFmtId="0" fontId="8" fillId="0" borderId="7" xfId="0" applyFont="1" applyFill="1" applyBorder="1" applyAlignment="1">
      <alignment horizontal="center" vertical="center" wrapText="1" readingOrder="2"/>
    </xf>
    <xf numFmtId="0" fontId="9" fillId="0" borderId="0" xfId="0" applyFont="1" applyAlignment="1">
      <alignment horizontal="center" vertical="center"/>
    </xf>
    <xf numFmtId="44" fontId="1" fillId="0" borderId="5" xfId="1" applyNumberFormat="1" applyFill="1" applyBorder="1" applyAlignment="1">
      <alignment horizontal="center" vertical="center" wrapText="1"/>
    </xf>
    <xf numFmtId="0" fontId="7" fillId="0" borderId="1" xfId="0" applyFont="1" applyFill="1" applyBorder="1" applyAlignment="1">
      <alignment horizontal="center" vertical="center" wrapText="1" readingOrder="2"/>
    </xf>
    <xf numFmtId="0" fontId="7" fillId="0" borderId="1" xfId="0" applyFont="1" applyFill="1" applyBorder="1" applyAlignment="1">
      <alignment horizontal="center" vertical="center" wrapText="1" readingOrder="2"/>
    </xf>
    <xf numFmtId="0" fontId="7" fillId="8" borderId="1" xfId="0" applyFont="1" applyFill="1" applyBorder="1" applyAlignment="1">
      <alignment horizontal="center" vertical="center" wrapText="1" readingOrder="2"/>
    </xf>
    <xf numFmtId="3" fontId="7" fillId="8" borderId="1" xfId="0" applyNumberFormat="1" applyFont="1" applyFill="1" applyBorder="1" applyAlignment="1">
      <alignment horizontal="center" vertical="center" wrapText="1" readingOrder="2"/>
    </xf>
    <xf numFmtId="0" fontId="7" fillId="0" borderId="1" xfId="0" applyFont="1" applyFill="1" applyBorder="1" applyAlignment="1">
      <alignment horizontal="center" vertical="center" wrapText="1" readingOrder="2"/>
    </xf>
    <xf numFmtId="165" fontId="10" fillId="8" borderId="1" xfId="2" applyNumberFormat="1" applyFont="1" applyFill="1" applyBorder="1" applyAlignment="1">
      <alignment horizontal="center" vertical="center" wrapText="1" readingOrder="2"/>
    </xf>
    <xf numFmtId="0" fontId="7" fillId="0" borderId="1" xfId="0" applyFont="1" applyFill="1" applyBorder="1" applyAlignment="1">
      <alignment horizontal="center" vertical="center" wrapText="1" readingOrder="2"/>
    </xf>
    <xf numFmtId="0" fontId="8" fillId="0" borderId="7" xfId="0" applyFont="1" applyFill="1" applyBorder="1" applyAlignment="1">
      <alignment horizontal="center" vertical="center" wrapText="1" readingOrder="2"/>
    </xf>
    <xf numFmtId="0" fontId="7" fillId="0" borderId="5" xfId="0" applyFont="1" applyFill="1" applyBorder="1" applyAlignment="1">
      <alignment horizontal="center" vertical="center" wrapText="1" readingOrder="2"/>
    </xf>
    <xf numFmtId="0" fontId="9" fillId="0" borderId="0" xfId="0" applyFont="1" applyAlignment="1">
      <alignment horizontal="center" vertical="center"/>
    </xf>
    <xf numFmtId="0" fontId="7" fillId="0" borderId="1" xfId="0" applyFont="1" applyFill="1" applyBorder="1" applyAlignment="1">
      <alignment horizontal="center" vertical="center" wrapText="1" readingOrder="2"/>
    </xf>
    <xf numFmtId="0" fontId="7" fillId="0" borderId="5" xfId="0" applyFont="1" applyFill="1" applyBorder="1" applyAlignment="1">
      <alignment horizontal="center" vertical="center" wrapText="1" readingOrder="2"/>
    </xf>
    <xf numFmtId="44" fontId="1" fillId="0" borderId="5" xfId="1" applyNumberFormat="1" applyFill="1" applyBorder="1" applyAlignment="1">
      <alignment horizontal="center" vertical="center" wrapText="1"/>
    </xf>
    <xf numFmtId="0" fontId="8" fillId="0" borderId="5" xfId="0" applyFont="1" applyFill="1" applyBorder="1" applyAlignment="1">
      <alignment horizontal="center" vertical="center" wrapText="1" readingOrder="2"/>
    </xf>
    <xf numFmtId="0" fontId="14" fillId="0" borderId="5" xfId="0" applyFont="1" applyFill="1" applyBorder="1" applyAlignment="1">
      <alignment horizontal="center" vertical="center" wrapText="1" readingOrder="2"/>
    </xf>
    <xf numFmtId="0" fontId="14" fillId="0" borderId="1" xfId="0" applyFont="1" applyFill="1" applyBorder="1" applyAlignment="1">
      <alignment horizontal="center" vertical="center" wrapText="1" readingOrder="2"/>
    </xf>
    <xf numFmtId="0" fontId="6" fillId="0" borderId="7" xfId="0" applyFont="1" applyFill="1" applyBorder="1" applyAlignment="1">
      <alignment horizontal="center" vertical="center" wrapText="1" readingOrder="2"/>
    </xf>
    <xf numFmtId="0" fontId="8" fillId="0" borderId="7" xfId="0" applyFont="1" applyFill="1" applyBorder="1" applyAlignment="1">
      <alignment horizontal="center" vertical="center" wrapText="1" readingOrder="2"/>
    </xf>
    <xf numFmtId="0" fontId="7" fillId="0" borderId="5" xfId="0" applyFont="1" applyFill="1" applyBorder="1" applyAlignment="1">
      <alignment horizontal="center" vertical="center" wrapText="1" readingOrder="2"/>
    </xf>
    <xf numFmtId="0" fontId="6" fillId="0" borderId="5" xfId="0" applyFont="1" applyFill="1" applyBorder="1" applyAlignment="1">
      <alignment horizontal="center" vertical="center" wrapText="1" readingOrder="2"/>
    </xf>
    <xf numFmtId="0" fontId="9" fillId="0" borderId="0" xfId="0" applyFont="1" applyAlignment="1">
      <alignment horizontal="center" vertical="center"/>
    </xf>
    <xf numFmtId="0" fontId="8" fillId="0" borderId="5" xfId="0" applyFont="1" applyFill="1" applyBorder="1" applyAlignment="1">
      <alignment horizontal="center" vertical="center" wrapText="1" readingOrder="2"/>
    </xf>
    <xf numFmtId="0" fontId="7" fillId="0" borderId="6" xfId="0" applyFont="1" applyFill="1" applyBorder="1" applyAlignment="1">
      <alignment horizontal="center" vertical="center" wrapText="1" readingOrder="2"/>
    </xf>
    <xf numFmtId="0" fontId="8" fillId="0" borderId="6" xfId="0" applyFont="1" applyFill="1" applyBorder="1" applyAlignment="1">
      <alignment horizontal="center" vertical="center" wrapText="1" readingOrder="2"/>
    </xf>
    <xf numFmtId="0" fontId="15" fillId="3" borderId="1" xfId="2" applyFont="1" applyBorder="1" applyAlignment="1">
      <alignment horizontal="center" vertical="center" wrapText="1" readingOrder="2"/>
    </xf>
    <xf numFmtId="3" fontId="2" fillId="3" borderId="1" xfId="2" applyNumberFormat="1" applyBorder="1" applyAlignment="1">
      <alignment horizontal="center" vertical="center" wrapText="1" readingOrder="2"/>
    </xf>
    <xf numFmtId="165" fontId="2" fillId="3" borderId="1" xfId="2" applyNumberFormat="1" applyBorder="1" applyAlignment="1">
      <alignment horizontal="center" vertical="center" wrapText="1" readingOrder="2"/>
    </xf>
    <xf numFmtId="0" fontId="2" fillId="3" borderId="1" xfId="2" applyBorder="1" applyAlignment="1">
      <alignment horizontal="center" vertical="center" wrapText="1" readingOrder="2"/>
    </xf>
    <xf numFmtId="165" fontId="10" fillId="6" borderId="1" xfId="2" applyNumberFormat="1" applyFont="1" applyFill="1" applyBorder="1" applyAlignment="1">
      <alignment horizontal="center" vertical="center" wrapText="1" readingOrder="2"/>
    </xf>
    <xf numFmtId="3" fontId="16" fillId="7" borderId="1" xfId="2" applyNumberFormat="1" applyFont="1" applyFill="1" applyBorder="1" applyAlignment="1">
      <alignment horizontal="center" vertical="center" wrapText="1" readingOrder="2"/>
    </xf>
    <xf numFmtId="165" fontId="16" fillId="7" borderId="1" xfId="2" applyNumberFormat="1" applyFont="1" applyFill="1" applyBorder="1" applyAlignment="1">
      <alignment horizontal="center" vertical="center" wrapText="1" readingOrder="2"/>
    </xf>
    <xf numFmtId="0" fontId="16" fillId="7" borderId="1" xfId="2" applyFont="1" applyFill="1" applyBorder="1" applyAlignment="1">
      <alignment horizontal="center" vertical="center" wrapText="1" readingOrder="2"/>
    </xf>
    <xf numFmtId="10" fontId="7" fillId="0" borderId="1" xfId="0" applyNumberFormat="1" applyFont="1" applyFill="1" applyBorder="1" applyAlignment="1">
      <alignment horizontal="center" vertical="center" wrapText="1" readingOrder="2"/>
    </xf>
    <xf numFmtId="0" fontId="10" fillId="0" borderId="1" xfId="2" applyFont="1" applyFill="1" applyBorder="1" applyAlignment="1">
      <alignment horizontal="center" vertical="center" wrapText="1" readingOrder="2"/>
    </xf>
    <xf numFmtId="3" fontId="10" fillId="0" borderId="1" xfId="2" applyNumberFormat="1" applyFont="1" applyFill="1" applyBorder="1" applyAlignment="1">
      <alignment horizontal="center" vertical="center" wrapText="1" readingOrder="2"/>
    </xf>
    <xf numFmtId="10" fontId="7" fillId="7" borderId="1" xfId="0" applyNumberFormat="1" applyFont="1" applyFill="1" applyBorder="1" applyAlignment="1">
      <alignment horizontal="center" vertical="center" wrapText="1" readingOrder="2"/>
    </xf>
    <xf numFmtId="9" fontId="7" fillId="0" borderId="1" xfId="0" applyNumberFormat="1" applyFont="1" applyFill="1" applyBorder="1" applyAlignment="1">
      <alignment horizontal="center" vertical="center" wrapText="1" readingOrder="2"/>
    </xf>
    <xf numFmtId="0" fontId="7" fillId="0" borderId="5" xfId="0" applyFont="1" applyFill="1" applyBorder="1" applyAlignment="1">
      <alignment horizontal="center" vertical="center" wrapText="1" readingOrder="2"/>
    </xf>
    <xf numFmtId="0" fontId="8" fillId="0" borderId="5" xfId="0" applyFont="1" applyFill="1" applyBorder="1" applyAlignment="1">
      <alignment horizontal="center" vertical="center" wrapText="1" readingOrder="2"/>
    </xf>
    <xf numFmtId="44" fontId="1" fillId="0" borderId="5" xfId="1" applyNumberFormat="1" applyFill="1" applyBorder="1" applyAlignment="1">
      <alignment horizontal="center" vertical="center" wrapText="1"/>
    </xf>
    <xf numFmtId="0" fontId="7" fillId="6" borderId="1" xfId="0" applyFont="1" applyFill="1" applyBorder="1" applyAlignment="1">
      <alignment horizontal="center" vertical="center" wrapText="1" readingOrder="2"/>
    </xf>
    <xf numFmtId="3" fontId="7" fillId="6" borderId="1" xfId="0" applyNumberFormat="1" applyFont="1" applyFill="1" applyBorder="1" applyAlignment="1">
      <alignment horizontal="center" vertical="center" wrapText="1" readingOrder="2"/>
    </xf>
    <xf numFmtId="0" fontId="7" fillId="0" borderId="1" xfId="0" applyFont="1" applyFill="1" applyBorder="1" applyAlignment="1">
      <alignment horizontal="center" vertical="center" wrapText="1" readingOrder="2"/>
    </xf>
    <xf numFmtId="0" fontId="7" fillId="0" borderId="1" xfId="0" applyFont="1" applyFill="1" applyBorder="1" applyAlignment="1">
      <alignment horizontal="center" vertical="center" wrapText="1" readingOrder="2"/>
    </xf>
    <xf numFmtId="0" fontId="7" fillId="0" borderId="1" xfId="0" applyFont="1" applyFill="1" applyBorder="1" applyAlignment="1">
      <alignment horizontal="center" vertical="center" wrapText="1" readingOrder="2"/>
    </xf>
    <xf numFmtId="0" fontId="6" fillId="0" borderId="5" xfId="0" applyFont="1" applyFill="1" applyBorder="1" applyAlignment="1">
      <alignment horizontal="center" vertical="center" wrapText="1" readingOrder="2"/>
    </xf>
    <xf numFmtId="0" fontId="7" fillId="7" borderId="7" xfId="0" applyFont="1" applyFill="1" applyBorder="1" applyAlignment="1">
      <alignment horizontal="center" vertical="center" wrapText="1" readingOrder="2"/>
    </xf>
    <xf numFmtId="0" fontId="6" fillId="0" borderId="5" xfId="0" applyFont="1" applyFill="1" applyBorder="1" applyAlignment="1">
      <alignment horizontal="center" vertical="center" wrapText="1" readingOrder="2"/>
    </xf>
    <xf numFmtId="0" fontId="7" fillId="0" borderId="1" xfId="0" applyFont="1" applyFill="1" applyBorder="1" applyAlignment="1">
      <alignment horizontal="center" vertical="center" wrapText="1" readingOrder="2"/>
    </xf>
    <xf numFmtId="0" fontId="7" fillId="6" borderId="7" xfId="0" applyFont="1" applyFill="1" applyBorder="1" applyAlignment="1">
      <alignment horizontal="center" vertical="center" wrapText="1" readingOrder="2"/>
    </xf>
    <xf numFmtId="44" fontId="1" fillId="0" borderId="5" xfId="1" applyNumberFormat="1" applyFill="1" applyBorder="1" applyAlignment="1">
      <alignment horizontal="center" vertical="center" wrapText="1"/>
    </xf>
    <xf numFmtId="0" fontId="7" fillId="0" borderId="6" xfId="0" applyFont="1" applyFill="1" applyBorder="1" applyAlignment="1">
      <alignment horizontal="center" vertical="center" wrapText="1" readingOrder="2"/>
    </xf>
    <xf numFmtId="0" fontId="8" fillId="0" borderId="6" xfId="0" applyFont="1" applyFill="1" applyBorder="1" applyAlignment="1">
      <alignment horizontal="center" vertical="center" wrapText="1" readingOrder="2"/>
    </xf>
    <xf numFmtId="0" fontId="7" fillId="0" borderId="1" xfId="0" applyFont="1" applyFill="1" applyBorder="1" applyAlignment="1">
      <alignment horizontal="center" vertical="center" wrapText="1" readingOrder="2"/>
    </xf>
    <xf numFmtId="0" fontId="7" fillId="0" borderId="7" xfId="0" applyFont="1" applyFill="1" applyBorder="1" applyAlignment="1">
      <alignment horizontal="center" vertical="center" wrapText="1" readingOrder="2"/>
    </xf>
    <xf numFmtId="44" fontId="1" fillId="0" borderId="5" xfId="1" applyNumberFormat="1" applyFill="1" applyBorder="1" applyAlignment="1">
      <alignment horizontal="center" vertical="center" wrapText="1"/>
    </xf>
    <xf numFmtId="0" fontId="7" fillId="0" borderId="6" xfId="0" applyFont="1" applyFill="1" applyBorder="1" applyAlignment="1">
      <alignment horizontal="center" vertical="center" wrapText="1" readingOrder="2"/>
    </xf>
    <xf numFmtId="0" fontId="7" fillId="0" borderId="1" xfId="0" applyFont="1" applyFill="1" applyBorder="1" applyAlignment="1">
      <alignment horizontal="center" vertical="center" wrapText="1" readingOrder="2"/>
    </xf>
    <xf numFmtId="9" fontId="10" fillId="0" borderId="1" xfId="3" applyFont="1" applyFill="1" applyBorder="1" applyAlignment="1">
      <alignment horizontal="center" vertical="center" wrapText="1" readingOrder="2"/>
    </xf>
    <xf numFmtId="0" fontId="7" fillId="0" borderId="7" xfId="0" applyFont="1" applyFill="1" applyBorder="1" applyAlignment="1">
      <alignment horizontal="center" vertical="center" wrapText="1" readingOrder="2"/>
    </xf>
    <xf numFmtId="0" fontId="7" fillId="0" borderId="5" xfId="0" applyFont="1" applyFill="1" applyBorder="1" applyAlignment="1">
      <alignment horizontal="center" vertical="center" wrapText="1" readingOrder="2"/>
    </xf>
    <xf numFmtId="44" fontId="1" fillId="0" borderId="5" xfId="1" applyNumberFormat="1" applyFill="1" applyBorder="1" applyAlignment="1">
      <alignment horizontal="center" vertical="center" wrapText="1"/>
    </xf>
    <xf numFmtId="0" fontId="8" fillId="0" borderId="5" xfId="0" applyFont="1" applyFill="1" applyBorder="1" applyAlignment="1">
      <alignment horizontal="center" vertical="center" wrapText="1" readingOrder="2"/>
    </xf>
    <xf numFmtId="0" fontId="17" fillId="0" borderId="5" xfId="0" applyFont="1" applyFill="1" applyBorder="1" applyAlignment="1">
      <alignment horizontal="center" vertical="center" wrapText="1" readingOrder="2"/>
    </xf>
    <xf numFmtId="0" fontId="7" fillId="0" borderId="1" xfId="0" applyFont="1" applyFill="1" applyBorder="1" applyAlignment="1">
      <alignment horizontal="center" vertical="center" wrapText="1" readingOrder="2"/>
    </xf>
    <xf numFmtId="0" fontId="7" fillId="0" borderId="7" xfId="0" applyFont="1" applyFill="1" applyBorder="1" applyAlignment="1">
      <alignment horizontal="center" vertical="center" wrapText="1" readingOrder="2"/>
    </xf>
    <xf numFmtId="0" fontId="7" fillId="0" borderId="1" xfId="0" applyFont="1" applyFill="1" applyBorder="1" applyAlignment="1">
      <alignment horizontal="center" vertical="center" wrapText="1" readingOrder="2"/>
    </xf>
    <xf numFmtId="0" fontId="7" fillId="0" borderId="7" xfId="0" applyFont="1" applyFill="1" applyBorder="1" applyAlignment="1">
      <alignment horizontal="center" vertical="center" wrapText="1" readingOrder="2"/>
    </xf>
    <xf numFmtId="0" fontId="7" fillId="0" borderId="1" xfId="0" applyFont="1" applyFill="1" applyBorder="1" applyAlignment="1">
      <alignment horizontal="center" vertical="center" wrapText="1" readingOrder="2"/>
    </xf>
    <xf numFmtId="44" fontId="1" fillId="0" borderId="5" xfId="1" applyNumberFormat="1" applyFill="1" applyBorder="1" applyAlignment="1">
      <alignment horizontal="center" vertical="center" wrapText="1"/>
    </xf>
    <xf numFmtId="0" fontId="6" fillId="0" borderId="5" xfId="0" applyFont="1" applyFill="1" applyBorder="1" applyAlignment="1">
      <alignment horizontal="center" vertical="center" wrapText="1" readingOrder="2"/>
    </xf>
    <xf numFmtId="0" fontId="7" fillId="0" borderId="6" xfId="0" applyFont="1" applyFill="1" applyBorder="1" applyAlignment="1">
      <alignment horizontal="center" vertical="center" wrapText="1" readingOrder="2"/>
    </xf>
    <xf numFmtId="0" fontId="6" fillId="0" borderId="5" xfId="0" applyFont="1" applyFill="1" applyBorder="1" applyAlignment="1">
      <alignment horizontal="center" vertical="center" wrapText="1" readingOrder="2"/>
    </xf>
    <xf numFmtId="0" fontId="7" fillId="0" borderId="1" xfId="0" applyFont="1" applyFill="1" applyBorder="1" applyAlignment="1">
      <alignment horizontal="center" vertical="center" wrapText="1" readingOrder="2"/>
    </xf>
    <xf numFmtId="10" fontId="2" fillId="3" borderId="1" xfId="2" applyNumberFormat="1" applyBorder="1" applyAlignment="1">
      <alignment horizontal="center" vertical="center" wrapText="1" readingOrder="2"/>
    </xf>
    <xf numFmtId="9" fontId="10" fillId="7" borderId="1" xfId="3" applyFont="1" applyFill="1" applyBorder="1" applyAlignment="1">
      <alignment horizontal="center" vertical="center" wrapText="1" readingOrder="2"/>
    </xf>
    <xf numFmtId="0" fontId="18" fillId="3" borderId="1" xfId="2" applyFont="1" applyBorder="1" applyAlignment="1">
      <alignment horizontal="center" vertical="center" wrapText="1" readingOrder="2"/>
    </xf>
    <xf numFmtId="0" fontId="7" fillId="0" borderId="5" xfId="0" applyFont="1" applyFill="1" applyBorder="1" applyAlignment="1">
      <alignment horizontal="center" vertical="center" wrapText="1" readingOrder="2"/>
    </xf>
    <xf numFmtId="44" fontId="1" fillId="0" borderId="5" xfId="1" applyNumberFormat="1" applyFill="1" applyBorder="1" applyAlignment="1">
      <alignment horizontal="center" vertical="center" wrapText="1"/>
    </xf>
    <xf numFmtId="0" fontId="8" fillId="0" borderId="5" xfId="0" applyFont="1" applyFill="1" applyBorder="1" applyAlignment="1">
      <alignment horizontal="center" vertical="center" wrapText="1" readingOrder="2"/>
    </xf>
    <xf numFmtId="0" fontId="17" fillId="0" borderId="5" xfId="0" applyFont="1" applyFill="1" applyBorder="1" applyAlignment="1">
      <alignment horizontal="center" vertical="center" wrapText="1" readingOrder="2"/>
    </xf>
    <xf numFmtId="0" fontId="7" fillId="0" borderId="6" xfId="0" applyFont="1" applyFill="1" applyBorder="1" applyAlignment="1">
      <alignment horizontal="center" vertical="center" wrapText="1" readingOrder="2"/>
    </xf>
    <xf numFmtId="0" fontId="8" fillId="0" borderId="6" xfId="0" applyFont="1" applyFill="1" applyBorder="1" applyAlignment="1">
      <alignment horizontal="center" vertical="center" wrapText="1" readingOrder="2"/>
    </xf>
    <xf numFmtId="0" fontId="7" fillId="0" borderId="1" xfId="0" applyFont="1" applyFill="1" applyBorder="1" applyAlignment="1">
      <alignment horizontal="center" vertical="center" wrapText="1" readingOrder="2"/>
    </xf>
    <xf numFmtId="0" fontId="7" fillId="0" borderId="1" xfId="0" applyFont="1" applyFill="1" applyBorder="1" applyAlignment="1">
      <alignment horizontal="center" vertical="center" wrapText="1" readingOrder="2"/>
    </xf>
    <xf numFmtId="0" fontId="6" fillId="0" borderId="5" xfId="0" applyFont="1" applyFill="1" applyBorder="1" applyAlignment="1">
      <alignment horizontal="center" vertical="center" wrapText="1" readingOrder="2"/>
    </xf>
    <xf numFmtId="0" fontId="7" fillId="0" borderId="1" xfId="0" applyFont="1" applyFill="1" applyBorder="1" applyAlignment="1">
      <alignment horizontal="center" vertical="center" wrapText="1" readingOrder="2"/>
    </xf>
    <xf numFmtId="0" fontId="19" fillId="0" borderId="5" xfId="0" applyFont="1" applyFill="1" applyBorder="1" applyAlignment="1">
      <alignment horizontal="center" vertical="center" wrapText="1" readingOrder="2"/>
    </xf>
    <xf numFmtId="3" fontId="18" fillId="3" borderId="1" xfId="2" applyNumberFormat="1" applyFont="1" applyBorder="1" applyAlignment="1">
      <alignment horizontal="center" vertical="center" wrapText="1" readingOrder="2"/>
    </xf>
    <xf numFmtId="165" fontId="18" fillId="3" borderId="1" xfId="2" applyNumberFormat="1" applyFont="1" applyBorder="1" applyAlignment="1">
      <alignment horizontal="center" vertical="center" wrapText="1" readingOrder="2"/>
    </xf>
    <xf numFmtId="7" fontId="18" fillId="3" borderId="1" xfId="4" applyNumberFormat="1" applyFont="1" applyFill="1" applyBorder="1" applyAlignment="1">
      <alignment horizontal="center" vertical="center" wrapText="1" readingOrder="2"/>
    </xf>
    <xf numFmtId="0" fontId="7" fillId="0" borderId="1" xfId="0" applyFont="1" applyFill="1" applyBorder="1" applyAlignment="1">
      <alignment horizontal="center" vertical="center" wrapText="1" readingOrder="2"/>
    </xf>
    <xf numFmtId="0" fontId="7" fillId="0" borderId="5" xfId="0" applyFont="1" applyFill="1" applyBorder="1" applyAlignment="1">
      <alignment horizontal="center" vertical="center" wrapText="1" readingOrder="2"/>
    </xf>
    <xf numFmtId="0" fontId="7" fillId="0" borderId="6" xfId="0" applyFont="1" applyFill="1" applyBorder="1" applyAlignment="1">
      <alignment horizontal="center" vertical="center" wrapText="1" readingOrder="2"/>
    </xf>
    <xf numFmtId="44" fontId="1" fillId="0" borderId="5" xfId="1" applyNumberFormat="1" applyFill="1" applyBorder="1" applyAlignment="1">
      <alignment horizontal="center" vertical="center" wrapText="1"/>
    </xf>
    <xf numFmtId="0" fontId="8" fillId="0" borderId="5" xfId="0" applyFont="1" applyFill="1" applyBorder="1" applyAlignment="1">
      <alignment horizontal="center" vertical="center" wrapText="1" readingOrder="2"/>
    </xf>
    <xf numFmtId="0" fontId="6" fillId="0" borderId="5" xfId="0" applyFont="1" applyFill="1" applyBorder="1" applyAlignment="1">
      <alignment horizontal="center" vertical="center" wrapText="1" readingOrder="2"/>
    </xf>
    <xf numFmtId="0" fontId="17" fillId="0" borderId="5" xfId="0" applyFont="1" applyFill="1" applyBorder="1" applyAlignment="1">
      <alignment horizontal="center" vertical="center" wrapText="1" readingOrder="2"/>
    </xf>
    <xf numFmtId="0" fontId="7" fillId="0" borderId="1" xfId="0" applyFont="1" applyFill="1" applyBorder="1" applyAlignment="1">
      <alignment horizontal="center" vertical="center" wrapText="1" readingOrder="2"/>
    </xf>
    <xf numFmtId="0" fontId="7" fillId="0" borderId="1" xfId="0" applyFont="1" applyFill="1" applyBorder="1" applyAlignment="1">
      <alignment horizontal="center" vertical="center" wrapText="1" readingOrder="2"/>
    </xf>
    <xf numFmtId="0" fontId="7" fillId="0" borderId="6" xfId="0" applyFont="1" applyFill="1" applyBorder="1" applyAlignment="1">
      <alignment horizontal="center" vertical="center" wrapText="1" readingOrder="2"/>
    </xf>
    <xf numFmtId="44" fontId="1" fillId="0" borderId="5" xfId="1" applyNumberFormat="1" applyFill="1" applyBorder="1" applyAlignment="1">
      <alignment horizontal="center" vertical="center" wrapText="1"/>
    </xf>
    <xf numFmtId="0" fontId="8" fillId="0" borderId="1" xfId="0" applyFont="1" applyBorder="1" applyAlignment="1">
      <alignment horizontal="center" vertical="center" wrapText="1"/>
    </xf>
    <xf numFmtId="0" fontId="10" fillId="6" borderId="1" xfId="2" applyFont="1" applyFill="1" applyBorder="1" applyAlignment="1">
      <alignment horizontal="center" vertical="center" wrapText="1" readingOrder="2"/>
    </xf>
    <xf numFmtId="0" fontId="6" fillId="0" borderId="5" xfId="0" applyFont="1" applyFill="1" applyBorder="1" applyAlignment="1">
      <alignment horizontal="center" vertical="center" wrapText="1" readingOrder="2"/>
    </xf>
    <xf numFmtId="49" fontId="8" fillId="0" borderId="5" xfId="0" applyNumberFormat="1" applyFont="1" applyFill="1" applyBorder="1" applyAlignment="1">
      <alignment horizontal="center" vertical="center" wrapText="1" readingOrder="2"/>
    </xf>
    <xf numFmtId="0" fontId="7" fillId="0" borderId="5" xfId="0" applyFont="1" applyFill="1" applyBorder="1" applyAlignment="1">
      <alignment horizontal="center" vertical="center" wrapText="1" readingOrder="2"/>
    </xf>
    <xf numFmtId="0" fontId="6" fillId="0" borderId="5" xfId="0" applyFont="1" applyFill="1" applyBorder="1" applyAlignment="1">
      <alignment horizontal="center" vertical="center" wrapText="1" readingOrder="2"/>
    </xf>
    <xf numFmtId="44" fontId="1" fillId="0" borderId="5" xfId="1" applyNumberFormat="1" applyFill="1" applyBorder="1" applyAlignment="1">
      <alignment horizontal="center" vertical="center" wrapText="1"/>
    </xf>
    <xf numFmtId="0" fontId="17" fillId="0" borderId="5" xfId="0" applyFont="1" applyFill="1" applyBorder="1" applyAlignment="1">
      <alignment horizontal="center" vertical="center" wrapText="1" readingOrder="2"/>
    </xf>
    <xf numFmtId="0" fontId="7" fillId="0" borderId="5" xfId="0" applyFont="1" applyFill="1" applyBorder="1" applyAlignment="1">
      <alignment horizontal="center" vertical="center" wrapText="1" readingOrder="2"/>
    </xf>
    <xf numFmtId="0" fontId="8" fillId="0" borderId="5" xfId="0" applyFont="1" applyFill="1" applyBorder="1" applyAlignment="1">
      <alignment horizontal="center" vertical="center" wrapText="1" readingOrder="2"/>
    </xf>
    <xf numFmtId="44" fontId="1" fillId="0" borderId="5" xfId="1" applyNumberFormat="1" applyFill="1" applyBorder="1" applyAlignment="1">
      <alignment horizontal="center" vertical="center" wrapText="1"/>
    </xf>
    <xf numFmtId="0" fontId="7" fillId="0" borderId="1" xfId="0" applyFont="1" applyFill="1" applyBorder="1" applyAlignment="1">
      <alignment horizontal="center" vertical="center" wrapText="1" readingOrder="2"/>
    </xf>
    <xf numFmtId="0" fontId="7" fillId="0" borderId="1" xfId="0" applyFont="1" applyFill="1" applyBorder="1" applyAlignment="1">
      <alignment horizontal="center" vertical="center" wrapText="1" readingOrder="2"/>
    </xf>
    <xf numFmtId="0" fontId="7" fillId="0" borderId="1" xfId="0" applyFont="1" applyFill="1" applyBorder="1" applyAlignment="1">
      <alignment horizontal="center" vertical="center" wrapText="1" readingOrder="2"/>
    </xf>
    <xf numFmtId="0" fontId="7" fillId="0" borderId="1" xfId="0" applyFont="1" applyFill="1" applyBorder="1" applyAlignment="1">
      <alignment horizontal="center" vertical="center" wrapText="1" readingOrder="2"/>
    </xf>
    <xf numFmtId="0" fontId="7" fillId="0" borderId="1" xfId="0" applyFont="1" applyFill="1" applyBorder="1" applyAlignment="1">
      <alignment horizontal="center" vertical="center" wrapText="1" readingOrder="2"/>
    </xf>
    <xf numFmtId="0" fontId="7" fillId="0" borderId="1" xfId="0" applyFont="1" applyFill="1" applyBorder="1" applyAlignment="1">
      <alignment horizontal="center" vertical="center" wrapText="1" readingOrder="2"/>
    </xf>
    <xf numFmtId="3" fontId="10" fillId="6" borderId="1" xfId="2" applyNumberFormat="1" applyFont="1" applyFill="1" applyBorder="1" applyAlignment="1">
      <alignment horizontal="center" vertical="center" wrapText="1" readingOrder="2"/>
    </xf>
    <xf numFmtId="0" fontId="7" fillId="0" borderId="5" xfId="0" applyFont="1" applyFill="1" applyBorder="1" applyAlignment="1">
      <alignment horizontal="center" vertical="center" wrapText="1" readingOrder="2"/>
    </xf>
    <xf numFmtId="0" fontId="6" fillId="0" borderId="5" xfId="0" applyFont="1" applyFill="1" applyBorder="1" applyAlignment="1">
      <alignment horizontal="center" vertical="center" wrapText="1" readingOrder="2"/>
    </xf>
    <xf numFmtId="44" fontId="1" fillId="0" borderId="5" xfId="1" applyNumberFormat="1" applyFill="1" applyBorder="1" applyAlignment="1">
      <alignment horizontal="center" vertical="center" wrapText="1"/>
    </xf>
    <xf numFmtId="0" fontId="8" fillId="0" borderId="5" xfId="0" applyFont="1" applyFill="1" applyBorder="1" applyAlignment="1">
      <alignment horizontal="center" vertical="center" wrapText="1" readingOrder="2"/>
    </xf>
    <xf numFmtId="0" fontId="6" fillId="0" borderId="5" xfId="0" applyFont="1" applyFill="1" applyBorder="1" applyAlignment="1">
      <alignment horizontal="center" vertical="center" wrapText="1" readingOrder="2"/>
    </xf>
    <xf numFmtId="0" fontId="8" fillId="0" borderId="5" xfId="0" applyFont="1" applyFill="1" applyBorder="1" applyAlignment="1">
      <alignment horizontal="center" vertical="center" wrapText="1" readingOrder="2"/>
    </xf>
    <xf numFmtId="0" fontId="8" fillId="0" borderId="7" xfId="0" applyFont="1" applyFill="1" applyBorder="1" applyAlignment="1">
      <alignment horizontal="center" vertical="center" wrapText="1" readingOrder="2"/>
    </xf>
    <xf numFmtId="0" fontId="6" fillId="0" borderId="7" xfId="0" applyFont="1" applyFill="1" applyBorder="1" applyAlignment="1">
      <alignment horizontal="center" vertical="center" wrapText="1" readingOrder="2"/>
    </xf>
    <xf numFmtId="0" fontId="7" fillId="0" borderId="5" xfId="0" applyFont="1" applyFill="1" applyBorder="1" applyAlignment="1">
      <alignment horizontal="center" vertical="center" wrapText="1" readingOrder="2"/>
    </xf>
    <xf numFmtId="0" fontId="9" fillId="0" borderId="0" xfId="0" applyFont="1" applyAlignment="1">
      <alignment horizontal="center" vertical="center"/>
    </xf>
    <xf numFmtId="0" fontId="7" fillId="0" borderId="1" xfId="0" applyFont="1" applyFill="1" applyBorder="1" applyAlignment="1">
      <alignment horizontal="center" vertical="center" wrapText="1" readingOrder="2"/>
    </xf>
    <xf numFmtId="0" fontId="7" fillId="0" borderId="1" xfId="0" applyFont="1" applyFill="1" applyBorder="1" applyAlignment="1">
      <alignment horizontal="center" vertical="center" wrapText="1" readingOrder="2"/>
    </xf>
    <xf numFmtId="7" fontId="10" fillId="0" borderId="1" xfId="4" applyNumberFormat="1" applyFont="1" applyFill="1" applyBorder="1" applyAlignment="1">
      <alignment horizontal="center" vertical="center" wrapText="1" readingOrder="2"/>
    </xf>
    <xf numFmtId="0" fontId="7" fillId="0" borderId="1" xfId="0" applyFont="1" applyFill="1" applyBorder="1" applyAlignment="1">
      <alignment horizontal="center" vertical="center" wrapText="1" readingOrder="2"/>
    </xf>
    <xf numFmtId="0" fontId="7" fillId="0" borderId="1" xfId="0" applyFont="1" applyFill="1" applyBorder="1" applyAlignment="1">
      <alignment horizontal="center" vertical="center" wrapText="1" readingOrder="2"/>
    </xf>
    <xf numFmtId="0" fontId="6" fillId="0" borderId="5" xfId="0" applyFont="1" applyFill="1" applyBorder="1" applyAlignment="1">
      <alignment horizontal="center" vertical="center" wrapText="1" readingOrder="2"/>
    </xf>
    <xf numFmtId="7" fontId="10" fillId="7" borderId="1" xfId="4" applyNumberFormat="1" applyFont="1" applyFill="1" applyBorder="1" applyAlignment="1">
      <alignment horizontal="center" vertical="center" wrapText="1" readingOrder="2"/>
    </xf>
    <xf numFmtId="165" fontId="20" fillId="7" borderId="1" xfId="2" applyNumberFormat="1" applyFont="1" applyFill="1" applyBorder="1" applyAlignment="1">
      <alignment horizontal="center" vertical="center" wrapText="1" readingOrder="2"/>
    </xf>
    <xf numFmtId="0" fontId="7" fillId="0" borderId="5" xfId="0" applyFont="1" applyFill="1" applyBorder="1" applyAlignment="1">
      <alignment horizontal="center" vertical="center" wrapText="1" readingOrder="2"/>
    </xf>
    <xf numFmtId="0" fontId="6" fillId="0" borderId="5" xfId="0" applyFont="1" applyFill="1" applyBorder="1" applyAlignment="1">
      <alignment horizontal="center" vertical="center" wrapText="1" readingOrder="2"/>
    </xf>
    <xf numFmtId="0" fontId="6" fillId="0" borderId="7" xfId="0" applyFont="1" applyFill="1" applyBorder="1" applyAlignment="1">
      <alignment horizontal="center" vertical="center" wrapText="1" readingOrder="2"/>
    </xf>
    <xf numFmtId="44" fontId="1" fillId="0" borderId="5" xfId="1" applyNumberFormat="1" applyFill="1" applyBorder="1" applyAlignment="1">
      <alignment horizontal="center" vertical="center" wrapText="1"/>
    </xf>
    <xf numFmtId="0" fontId="8" fillId="0" borderId="5" xfId="0" applyFont="1" applyFill="1" applyBorder="1" applyAlignment="1">
      <alignment horizontal="center" vertical="center" wrapText="1" readingOrder="2"/>
    </xf>
    <xf numFmtId="0" fontId="9" fillId="0" borderId="0" xfId="0" applyFont="1" applyAlignment="1">
      <alignment horizontal="center" vertical="center"/>
    </xf>
    <xf numFmtId="0" fontId="7" fillId="0" borderId="1" xfId="0" applyFont="1" applyFill="1" applyBorder="1" applyAlignment="1">
      <alignment horizontal="center" vertical="center" wrapText="1" readingOrder="2"/>
    </xf>
    <xf numFmtId="0" fontId="6" fillId="0" borderId="5" xfId="0" applyFont="1" applyFill="1" applyBorder="1" applyAlignment="1">
      <alignment horizontal="center" vertical="center" wrapText="1" readingOrder="2"/>
    </xf>
    <xf numFmtId="0" fontId="6" fillId="0" borderId="7" xfId="0" applyFont="1" applyFill="1" applyBorder="1" applyAlignment="1">
      <alignment horizontal="center" vertical="center" wrapText="1" readingOrder="2"/>
    </xf>
    <xf numFmtId="0" fontId="7" fillId="0" borderId="5" xfId="0" applyFont="1" applyFill="1" applyBorder="1" applyAlignment="1">
      <alignment horizontal="center" vertical="center" wrapText="1" readingOrder="2"/>
    </xf>
    <xf numFmtId="0" fontId="6" fillId="0" borderId="5" xfId="0" applyFont="1" applyFill="1" applyBorder="1" applyAlignment="1">
      <alignment horizontal="center" vertical="center" wrapText="1" readingOrder="2"/>
    </xf>
    <xf numFmtId="0" fontId="6" fillId="0" borderId="7" xfId="0" applyFont="1" applyFill="1" applyBorder="1" applyAlignment="1">
      <alignment horizontal="center" vertical="center" wrapText="1" readingOrder="2"/>
    </xf>
    <xf numFmtId="0" fontId="8" fillId="0" borderId="5" xfId="0" applyFont="1" applyFill="1" applyBorder="1" applyAlignment="1">
      <alignment horizontal="center" vertical="center" wrapText="1" readingOrder="2"/>
    </xf>
    <xf numFmtId="0" fontId="9" fillId="0" borderId="0" xfId="0" applyFont="1" applyAlignment="1">
      <alignment horizontal="center" vertical="center"/>
    </xf>
    <xf numFmtId="0" fontId="7" fillId="0" borderId="1" xfId="0" applyFont="1" applyFill="1" applyBorder="1" applyAlignment="1">
      <alignment horizontal="center" vertical="center" wrapText="1" readingOrder="2"/>
    </xf>
    <xf numFmtId="0" fontId="7" fillId="0" borderId="1" xfId="0" applyFont="1" applyFill="1" applyBorder="1" applyAlignment="1">
      <alignment horizontal="center" vertical="center" wrapText="1" readingOrder="2"/>
    </xf>
    <xf numFmtId="0" fontId="7" fillId="0" borderId="1" xfId="0" applyFont="1" applyFill="1" applyBorder="1" applyAlignment="1">
      <alignment horizontal="center" vertical="center" wrapText="1" readingOrder="2"/>
    </xf>
    <xf numFmtId="0" fontId="7" fillId="0" borderId="1" xfId="0" applyFont="1" applyFill="1" applyBorder="1" applyAlignment="1">
      <alignment horizontal="center" vertical="center" wrapText="1" readingOrder="2"/>
    </xf>
    <xf numFmtId="3" fontId="21" fillId="0" borderId="1" xfId="0" applyNumberFormat="1" applyFont="1" applyFill="1" applyBorder="1" applyAlignment="1">
      <alignment horizontal="center" vertical="center" wrapText="1" readingOrder="2"/>
    </xf>
    <xf numFmtId="165" fontId="21" fillId="0" borderId="1" xfId="0" applyNumberFormat="1" applyFont="1" applyFill="1" applyBorder="1" applyAlignment="1">
      <alignment horizontal="center" vertical="center" wrapText="1" readingOrder="2"/>
    </xf>
    <xf numFmtId="0" fontId="7" fillId="0" borderId="5" xfId="0" applyFont="1" applyFill="1" applyBorder="1" applyAlignment="1">
      <alignment horizontal="center" vertical="center" wrapText="1" readingOrder="2"/>
    </xf>
    <xf numFmtId="0" fontId="17" fillId="0" borderId="5" xfId="0" applyFont="1" applyFill="1" applyBorder="1" applyAlignment="1">
      <alignment horizontal="center" vertical="center" wrapText="1" readingOrder="2"/>
    </xf>
    <xf numFmtId="44" fontId="1" fillId="0" borderId="5" xfId="1" applyNumberFormat="1" applyFill="1" applyBorder="1" applyAlignment="1">
      <alignment horizontal="center" vertical="center" wrapText="1"/>
    </xf>
    <xf numFmtId="0" fontId="8" fillId="0" borderId="5" xfId="0" applyFont="1" applyFill="1" applyBorder="1" applyAlignment="1">
      <alignment horizontal="center" vertical="center" wrapText="1" readingOrder="2"/>
    </xf>
    <xf numFmtId="0" fontId="7" fillId="0" borderId="1" xfId="0" applyFont="1" applyFill="1" applyBorder="1" applyAlignment="1">
      <alignment horizontal="center" vertical="center" wrapText="1" readingOrder="2"/>
    </xf>
    <xf numFmtId="165" fontId="22" fillId="0" borderId="1" xfId="2" applyNumberFormat="1" applyFont="1" applyFill="1" applyBorder="1" applyAlignment="1">
      <alignment horizontal="center" vertical="center" wrapText="1" readingOrder="2"/>
    </xf>
    <xf numFmtId="0" fontId="7" fillId="0" borderId="1" xfId="0" applyFont="1" applyFill="1" applyBorder="1" applyAlignment="1">
      <alignment horizontal="center" vertical="center" wrapText="1" readingOrder="2"/>
    </xf>
    <xf numFmtId="0" fontId="7" fillId="0" borderId="1" xfId="0" applyFont="1" applyFill="1" applyBorder="1" applyAlignment="1">
      <alignment horizontal="center" vertical="center" wrapText="1" readingOrder="2"/>
    </xf>
    <xf numFmtId="165" fontId="22" fillId="7" borderId="1" xfId="2" applyNumberFormat="1" applyFont="1" applyFill="1" applyBorder="1" applyAlignment="1">
      <alignment horizontal="center" vertical="center" wrapText="1" readingOrder="2"/>
    </xf>
    <xf numFmtId="0" fontId="6" fillId="0" borderId="5" xfId="0" applyFont="1" applyFill="1" applyBorder="1" applyAlignment="1">
      <alignment horizontal="center" vertical="center" wrapText="1" readingOrder="2"/>
    </xf>
    <xf numFmtId="0" fontId="7" fillId="0" borderId="1" xfId="0" applyFont="1" applyFill="1" applyBorder="1" applyAlignment="1">
      <alignment horizontal="center" vertical="center" wrapText="1" readingOrder="2"/>
    </xf>
    <xf numFmtId="0" fontId="7" fillId="0" borderId="5" xfId="0" applyFont="1" applyFill="1" applyBorder="1" applyAlignment="1">
      <alignment horizontal="center" vertical="center" wrapText="1" readingOrder="2"/>
    </xf>
    <xf numFmtId="0" fontId="6" fillId="0" borderId="5" xfId="0" applyFont="1" applyFill="1" applyBorder="1" applyAlignment="1">
      <alignment horizontal="center" vertical="center" wrapText="1" readingOrder="2"/>
    </xf>
    <xf numFmtId="0" fontId="8" fillId="0" borderId="5" xfId="0" applyFont="1" applyFill="1" applyBorder="1" applyAlignment="1">
      <alignment horizontal="center" vertical="center" wrapText="1" readingOrder="2"/>
    </xf>
    <xf numFmtId="0" fontId="9" fillId="0" borderId="0" xfId="0" applyFont="1" applyAlignment="1">
      <alignment horizontal="center" vertical="center"/>
    </xf>
    <xf numFmtId="0" fontId="7" fillId="0" borderId="5" xfId="0" applyFont="1" applyFill="1" applyBorder="1" applyAlignment="1">
      <alignment horizontal="center" vertical="center" wrapText="1" readingOrder="2"/>
    </xf>
    <xf numFmtId="0" fontId="6" fillId="0" borderId="5" xfId="0" applyFont="1" applyFill="1" applyBorder="1" applyAlignment="1">
      <alignment horizontal="center" vertical="center" wrapText="1" readingOrder="2"/>
    </xf>
    <xf numFmtId="0" fontId="8" fillId="0" borderId="5" xfId="0" applyFont="1" applyFill="1" applyBorder="1" applyAlignment="1">
      <alignment horizontal="center" vertical="center" wrapText="1" readingOrder="2"/>
    </xf>
    <xf numFmtId="0" fontId="9" fillId="0" borderId="0" xfId="0" applyFont="1" applyAlignment="1">
      <alignment horizontal="center" vertical="center"/>
    </xf>
    <xf numFmtId="0" fontId="7" fillId="0" borderId="5" xfId="0" applyFont="1" applyFill="1" applyBorder="1" applyAlignment="1">
      <alignment horizontal="center" vertical="center" wrapText="1" readingOrder="2"/>
    </xf>
    <xf numFmtId="0" fontId="6" fillId="0" borderId="5" xfId="0" applyFont="1" applyFill="1" applyBorder="1" applyAlignment="1">
      <alignment horizontal="center" vertical="center" wrapText="1" readingOrder="2"/>
    </xf>
    <xf numFmtId="44" fontId="1" fillId="0" borderId="5" xfId="1" applyNumberFormat="1" applyFill="1" applyBorder="1" applyAlignment="1">
      <alignment horizontal="center" vertical="center" wrapText="1"/>
    </xf>
    <xf numFmtId="0" fontId="8" fillId="0" borderId="5" xfId="0" applyFont="1" applyFill="1" applyBorder="1" applyAlignment="1">
      <alignment horizontal="center" vertical="center" wrapText="1" readingOrder="2"/>
    </xf>
    <xf numFmtId="0" fontId="17" fillId="0" borderId="5" xfId="0" applyFont="1" applyFill="1" applyBorder="1" applyAlignment="1">
      <alignment horizontal="center" vertical="center" wrapText="1" readingOrder="2"/>
    </xf>
    <xf numFmtId="0" fontId="9" fillId="0" borderId="0" xfId="0" applyFont="1" applyAlignment="1">
      <alignment horizontal="center" vertical="center"/>
    </xf>
    <xf numFmtId="0" fontId="7" fillId="0" borderId="1" xfId="0" applyFont="1" applyFill="1" applyBorder="1" applyAlignment="1">
      <alignment horizontal="center" vertical="center" wrapText="1" readingOrder="2"/>
    </xf>
    <xf numFmtId="0" fontId="7" fillId="0" borderId="5" xfId="0" applyFont="1" applyFill="1" applyBorder="1" applyAlignment="1">
      <alignment horizontal="center" vertical="center" wrapText="1" readingOrder="2"/>
    </xf>
    <xf numFmtId="0" fontId="6" fillId="0" borderId="5" xfId="0" applyFont="1" applyFill="1" applyBorder="1" applyAlignment="1">
      <alignment horizontal="center" vertical="center" wrapText="1" readingOrder="2"/>
    </xf>
    <xf numFmtId="0" fontId="8" fillId="0" borderId="5" xfId="0" applyFont="1" applyFill="1" applyBorder="1" applyAlignment="1">
      <alignment horizontal="center" vertical="center" wrapText="1" readingOrder="2"/>
    </xf>
    <xf numFmtId="0" fontId="9" fillId="0" borderId="0" xfId="0" applyFont="1" applyAlignment="1">
      <alignment horizontal="center" vertical="center"/>
    </xf>
    <xf numFmtId="0" fontId="7" fillId="0" borderId="1" xfId="0" applyFont="1" applyFill="1" applyBorder="1" applyAlignment="1">
      <alignment horizontal="center" vertical="center" wrapText="1" readingOrder="2"/>
    </xf>
    <xf numFmtId="0" fontId="6" fillId="0" borderId="5" xfId="0" applyFont="1" applyFill="1" applyBorder="1" applyAlignment="1">
      <alignment horizontal="center" vertical="center" wrapText="1" readingOrder="2"/>
    </xf>
    <xf numFmtId="0" fontId="7" fillId="0" borderId="5" xfId="0" applyFont="1" applyFill="1" applyBorder="1" applyAlignment="1">
      <alignment horizontal="center" vertical="center" wrapText="1" readingOrder="2"/>
    </xf>
    <xf numFmtId="44" fontId="1" fillId="0" borderId="5" xfId="1" applyNumberFormat="1" applyFill="1" applyBorder="1" applyAlignment="1">
      <alignment horizontal="center" vertical="center" wrapText="1"/>
    </xf>
    <xf numFmtId="0" fontId="17" fillId="0" borderId="5" xfId="0" applyFont="1" applyFill="1" applyBorder="1" applyAlignment="1">
      <alignment horizontal="center" vertical="center" wrapText="1" readingOrder="2"/>
    </xf>
    <xf numFmtId="0" fontId="7" fillId="0" borderId="1" xfId="0" applyFont="1" applyFill="1" applyBorder="1" applyAlignment="1">
      <alignment horizontal="center" vertical="center" wrapText="1" readingOrder="2"/>
    </xf>
    <xf numFmtId="0" fontId="23" fillId="0" borderId="0" xfId="0" applyFont="1" applyAlignment="1">
      <alignment horizontal="right" vertical="center" readingOrder="2"/>
    </xf>
    <xf numFmtId="0" fontId="7" fillId="0" borderId="5" xfId="0" applyFont="1" applyFill="1" applyBorder="1" applyAlignment="1">
      <alignment horizontal="center" vertical="center" wrapText="1" readingOrder="2"/>
    </xf>
    <xf numFmtId="44" fontId="1" fillId="0" borderId="5" xfId="1" applyNumberFormat="1" applyFill="1" applyBorder="1" applyAlignment="1">
      <alignment horizontal="center" vertical="center" wrapText="1"/>
    </xf>
    <xf numFmtId="0" fontId="7" fillId="0" borderId="1" xfId="0" applyFont="1" applyFill="1" applyBorder="1" applyAlignment="1">
      <alignment horizontal="center" vertical="center" wrapText="1" readingOrder="2"/>
    </xf>
    <xf numFmtId="0" fontId="7" fillId="0" borderId="5" xfId="0" applyFont="1" applyFill="1" applyBorder="1" applyAlignment="1">
      <alignment horizontal="center" vertical="center" wrapText="1" readingOrder="2"/>
    </xf>
    <xf numFmtId="44" fontId="1" fillId="0" borderId="5" xfId="1" applyNumberFormat="1" applyFill="1" applyBorder="1" applyAlignment="1">
      <alignment horizontal="center" vertical="center" wrapText="1"/>
    </xf>
    <xf numFmtId="0" fontId="7" fillId="0" borderId="1" xfId="0" applyFont="1" applyFill="1" applyBorder="1" applyAlignment="1">
      <alignment horizontal="center" vertical="center" wrapText="1" readingOrder="2"/>
    </xf>
    <xf numFmtId="0" fontId="6" fillId="0" borderId="5" xfId="0" applyFont="1" applyFill="1" applyBorder="1" applyAlignment="1">
      <alignment horizontal="center" vertical="center" wrapText="1" readingOrder="2"/>
    </xf>
    <xf numFmtId="0" fontId="6" fillId="0" borderId="5" xfId="0" applyFont="1" applyFill="1" applyBorder="1" applyAlignment="1">
      <alignment horizontal="center" vertical="center" wrapText="1" readingOrder="2"/>
    </xf>
    <xf numFmtId="0" fontId="7" fillId="0" borderId="5" xfId="0" applyFont="1" applyFill="1" applyBorder="1" applyAlignment="1">
      <alignment horizontal="center" vertical="center" wrapText="1" readingOrder="2"/>
    </xf>
    <xf numFmtId="44" fontId="1" fillId="0" borderId="5" xfId="1" applyNumberFormat="1" applyFill="1" applyBorder="1" applyAlignment="1">
      <alignment horizontal="center" vertical="center" wrapText="1"/>
    </xf>
    <xf numFmtId="0" fontId="6" fillId="0" borderId="5" xfId="0" applyFont="1" applyFill="1" applyBorder="1" applyAlignment="1">
      <alignment horizontal="center" vertical="center" wrapText="1" readingOrder="2"/>
    </xf>
    <xf numFmtId="0" fontId="7" fillId="0" borderId="1" xfId="0" applyFont="1" applyFill="1" applyBorder="1" applyAlignment="1">
      <alignment horizontal="center" vertical="center" wrapText="1" readingOrder="2"/>
    </xf>
    <xf numFmtId="0" fontId="8" fillId="0" borderId="7" xfId="0" applyFont="1" applyFill="1" applyBorder="1" applyAlignment="1">
      <alignment horizontal="center" vertical="center" wrapText="1" readingOrder="2"/>
    </xf>
    <xf numFmtId="0" fontId="5" fillId="0" borderId="2" xfId="0" applyFont="1" applyFill="1" applyBorder="1" applyAlignment="1">
      <alignment horizontal="right" vertical="center" wrapText="1" readingOrder="2"/>
    </xf>
    <xf numFmtId="0" fontId="5" fillId="0" borderId="3" xfId="0" applyFont="1" applyFill="1" applyBorder="1" applyAlignment="1">
      <alignment horizontal="right" vertical="center" wrapText="1" readingOrder="2"/>
    </xf>
    <xf numFmtId="0" fontId="5" fillId="0" borderId="4" xfId="0" applyFont="1" applyFill="1" applyBorder="1" applyAlignment="1">
      <alignment horizontal="right" vertical="center" wrapText="1" readingOrder="2"/>
    </xf>
    <xf numFmtId="49" fontId="6" fillId="5" borderId="2" xfId="0" applyNumberFormat="1" applyFont="1" applyFill="1" applyBorder="1" applyAlignment="1">
      <alignment horizontal="center" vertical="center" readingOrder="2"/>
    </xf>
    <xf numFmtId="49" fontId="6" fillId="5" borderId="3" xfId="0" applyNumberFormat="1" applyFont="1" applyFill="1" applyBorder="1" applyAlignment="1">
      <alignment horizontal="center" vertical="center" readingOrder="2"/>
    </xf>
    <xf numFmtId="49" fontId="6" fillId="5" borderId="4" xfId="0" applyNumberFormat="1" applyFont="1" applyFill="1" applyBorder="1" applyAlignment="1">
      <alignment horizontal="center" vertical="center" readingOrder="2"/>
    </xf>
    <xf numFmtId="0" fontId="0" fillId="0" borderId="1" xfId="0" applyBorder="1" applyAlignment="1">
      <alignment horizontal="center" readingOrder="2"/>
    </xf>
    <xf numFmtId="0" fontId="3" fillId="4" borderId="1" xfId="0" applyFont="1" applyFill="1" applyBorder="1" applyAlignment="1">
      <alignment horizontal="center" vertical="center" readingOrder="2"/>
    </xf>
    <xf numFmtId="0" fontId="5" fillId="4" borderId="1" xfId="0" applyFont="1" applyFill="1" applyBorder="1" applyAlignment="1">
      <alignment horizontal="right" vertical="center" wrapText="1" readingOrder="2"/>
    </xf>
    <xf numFmtId="0" fontId="6" fillId="0" borderId="1" xfId="0" applyFont="1" applyFill="1" applyBorder="1" applyAlignment="1">
      <alignment horizontal="right" vertical="center" readingOrder="2"/>
    </xf>
    <xf numFmtId="0" fontId="5" fillId="0" borderId="1" xfId="0" applyFont="1" applyFill="1" applyBorder="1" applyAlignment="1">
      <alignment horizontal="right" vertical="center" readingOrder="2"/>
    </xf>
    <xf numFmtId="0" fontId="6" fillId="0" borderId="7" xfId="0" applyFont="1" applyFill="1" applyBorder="1" applyAlignment="1">
      <alignment horizontal="center" vertical="center" readingOrder="2"/>
    </xf>
    <xf numFmtId="0" fontId="6" fillId="0" borderId="6" xfId="0" applyFont="1" applyFill="1" applyBorder="1" applyAlignment="1">
      <alignment horizontal="center" vertical="center" readingOrder="2"/>
    </xf>
    <xf numFmtId="0" fontId="7" fillId="0" borderId="7" xfId="0" applyFont="1" applyFill="1" applyBorder="1" applyAlignment="1">
      <alignment horizontal="center" vertical="center" wrapText="1" readingOrder="2"/>
    </xf>
    <xf numFmtId="0" fontId="6" fillId="0" borderId="7" xfId="0" applyFont="1" applyFill="1" applyBorder="1" applyAlignment="1">
      <alignment horizontal="center" vertical="center" wrapText="1" readingOrder="2"/>
    </xf>
    <xf numFmtId="44" fontId="1" fillId="0" borderId="7" xfId="1" applyNumberFormat="1" applyFill="1" applyBorder="1" applyAlignment="1">
      <alignment horizontal="center" vertical="center" wrapText="1"/>
    </xf>
    <xf numFmtId="0" fontId="6" fillId="0" borderId="5" xfId="0" applyFont="1" applyFill="1" applyBorder="1" applyAlignment="1">
      <alignment horizontal="center" vertical="center" readingOrder="2"/>
    </xf>
    <xf numFmtId="0" fontId="7" fillId="0" borderId="5" xfId="0" applyFont="1" applyFill="1" applyBorder="1" applyAlignment="1">
      <alignment horizontal="center" vertical="center" wrapText="1" readingOrder="2"/>
    </xf>
    <xf numFmtId="44" fontId="1" fillId="0" borderId="5" xfId="1" applyNumberFormat="1" applyFill="1" applyBorder="1" applyAlignment="1">
      <alignment horizontal="center" vertical="center" wrapText="1"/>
    </xf>
    <xf numFmtId="0" fontId="8" fillId="0" borderId="5" xfId="0" applyFont="1" applyFill="1" applyBorder="1" applyAlignment="1">
      <alignment horizontal="center" vertical="center" wrapText="1" readingOrder="2"/>
    </xf>
    <xf numFmtId="0" fontId="7" fillId="0" borderId="6" xfId="0" applyFont="1" applyFill="1" applyBorder="1" applyAlignment="1">
      <alignment horizontal="center" vertical="center" wrapText="1" readingOrder="2"/>
    </xf>
    <xf numFmtId="44" fontId="1" fillId="0" borderId="6" xfId="1" applyNumberFormat="1" applyFill="1" applyBorder="1" applyAlignment="1">
      <alignment horizontal="center" vertical="center" wrapText="1"/>
    </xf>
    <xf numFmtId="0" fontId="8" fillId="0" borderId="6" xfId="0" applyFont="1" applyFill="1" applyBorder="1" applyAlignment="1">
      <alignment horizontal="center" vertical="center" wrapText="1" readingOrder="2"/>
    </xf>
    <xf numFmtId="0" fontId="6" fillId="0" borderId="5" xfId="0" applyFont="1" applyFill="1" applyBorder="1" applyAlignment="1">
      <alignment horizontal="center" vertical="center" wrapText="1" readingOrder="2"/>
    </xf>
    <xf numFmtId="0" fontId="6" fillId="0" borderId="6" xfId="0" applyFont="1" applyFill="1" applyBorder="1" applyAlignment="1">
      <alignment horizontal="center" vertical="center" wrapText="1" readingOrder="2"/>
    </xf>
    <xf numFmtId="0" fontId="14" fillId="0" borderId="5" xfId="0" applyFont="1" applyFill="1" applyBorder="1" applyAlignment="1">
      <alignment horizontal="center" vertical="center" wrapText="1" readingOrder="2"/>
    </xf>
    <xf numFmtId="0" fontId="14" fillId="0" borderId="7" xfId="0" applyFont="1" applyFill="1" applyBorder="1" applyAlignment="1">
      <alignment horizontal="center" vertical="center" wrapText="1" readingOrder="2"/>
    </xf>
    <xf numFmtId="0" fontId="5" fillId="0" borderId="2" xfId="0" applyFont="1" applyFill="1" applyBorder="1" applyAlignment="1">
      <alignment horizontal="right" vertical="center" readingOrder="2"/>
    </xf>
    <xf numFmtId="0" fontId="5" fillId="0" borderId="3" xfId="0" applyFont="1" applyFill="1" applyBorder="1" applyAlignment="1">
      <alignment horizontal="right" vertical="center" readingOrder="2"/>
    </xf>
    <xf numFmtId="0" fontId="5" fillId="0" borderId="4" xfId="0" applyFont="1" applyFill="1" applyBorder="1" applyAlignment="1">
      <alignment horizontal="right" vertical="center" readingOrder="2"/>
    </xf>
    <xf numFmtId="0" fontId="17" fillId="0" borderId="5" xfId="0" applyFont="1" applyFill="1" applyBorder="1" applyAlignment="1">
      <alignment horizontal="center" vertical="center" wrapText="1" readingOrder="2"/>
    </xf>
    <xf numFmtId="0" fontId="17" fillId="0" borderId="7" xfId="0" applyFont="1" applyFill="1" applyBorder="1" applyAlignment="1">
      <alignment horizontal="center" vertical="center" wrapText="1" readingOrder="2"/>
    </xf>
    <xf numFmtId="0" fontId="17" fillId="0" borderId="6" xfId="0" applyFont="1" applyFill="1" applyBorder="1" applyAlignment="1">
      <alignment horizontal="center" vertical="center" wrapText="1" readingOrder="2"/>
    </xf>
    <xf numFmtId="0" fontId="5" fillId="0" borderId="5" xfId="0" applyFont="1" applyFill="1" applyBorder="1" applyAlignment="1">
      <alignment horizontal="center" vertical="center" wrapText="1" readingOrder="2"/>
    </xf>
    <xf numFmtId="0" fontId="5" fillId="0" borderId="7" xfId="0" applyFont="1" applyFill="1" applyBorder="1" applyAlignment="1">
      <alignment horizontal="center" vertical="center" wrapText="1" readingOrder="2"/>
    </xf>
    <xf numFmtId="0" fontId="5" fillId="0" borderId="6" xfId="0" applyFont="1" applyFill="1" applyBorder="1" applyAlignment="1">
      <alignment horizontal="center" vertical="center" wrapText="1" readingOrder="2"/>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8" xfId="0" applyFont="1" applyFill="1" applyBorder="1" applyAlignment="1">
      <alignment horizontal="center" vertical="center" readingOrder="2"/>
    </xf>
    <xf numFmtId="0" fontId="6" fillId="0" borderId="9" xfId="0" applyFont="1" applyFill="1" applyBorder="1" applyAlignment="1">
      <alignment horizontal="center" vertical="center" readingOrder="2"/>
    </xf>
    <xf numFmtId="0" fontId="6" fillId="0" borderId="12" xfId="0" applyFont="1" applyFill="1" applyBorder="1" applyAlignment="1">
      <alignment horizontal="center" vertical="center" readingOrder="2"/>
    </xf>
    <xf numFmtId="0" fontId="5" fillId="0" borderId="1" xfId="0" applyFont="1" applyFill="1" applyBorder="1" applyAlignment="1">
      <alignment horizontal="right" vertical="center" wrapText="1" readingOrder="2"/>
    </xf>
    <xf numFmtId="0" fontId="13" fillId="0" borderId="7" xfId="0" applyFont="1" applyFill="1" applyBorder="1" applyAlignment="1">
      <alignment horizontal="center" vertical="center" wrapText="1" readingOrder="2"/>
    </xf>
    <xf numFmtId="0" fontId="7" fillId="0" borderId="1" xfId="0" applyFont="1" applyFill="1" applyBorder="1" applyAlignment="1">
      <alignment horizontal="center" vertical="center" wrapText="1" readingOrder="2"/>
    </xf>
    <xf numFmtId="0" fontId="6" fillId="0" borderId="10" xfId="0" applyFont="1" applyFill="1" applyBorder="1" applyAlignment="1">
      <alignment horizontal="center" vertical="center" wrapText="1" readingOrder="2"/>
    </xf>
    <xf numFmtId="0" fontId="6" fillId="0" borderId="0" xfId="0" applyFont="1" applyFill="1" applyBorder="1" applyAlignment="1">
      <alignment horizontal="center" vertical="center" wrapText="1" readingOrder="2"/>
    </xf>
    <xf numFmtId="0" fontId="6" fillId="0" borderId="11" xfId="0" applyFont="1" applyFill="1" applyBorder="1" applyAlignment="1">
      <alignment horizontal="center" vertical="center" wrapText="1" readingOrder="2"/>
    </xf>
  </cellXfs>
  <cellStyles count="5">
    <cellStyle name="Comma" xfId="4" builtinId="3"/>
    <cellStyle name="Normal" xfId="0" builtinId="0"/>
    <cellStyle name="Percent" xfId="3" builtinId="5"/>
    <cellStyle name="טוב" xfId="1" builtinId="26"/>
    <cellStyle name="רע" xfId="2" builtinId="27"/>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rightToLeft="1" tabSelected="1" zoomScaleNormal="100" zoomScaleSheetLayoutView="75" workbookViewId="0">
      <pane ySplit="6" topLeftCell="A7" activePane="bottomLeft" state="frozen"/>
      <selection pane="bottomLeft" activeCell="N1" sqref="A1:XFD1"/>
    </sheetView>
  </sheetViews>
  <sheetFormatPr defaultColWidth="8.69921875" defaultRowHeight="15" x14ac:dyDescent="0.25"/>
  <cols>
    <col min="1" max="1" width="4.19921875" customWidth="1"/>
    <col min="2" max="2" width="21.09765625" style="10" bestFit="1" customWidth="1"/>
    <col min="4" max="4" width="10.19921875" customWidth="1"/>
    <col min="5" max="5" width="7.69921875" customWidth="1"/>
    <col min="6" max="6" width="10.19921875" bestFit="1" customWidth="1"/>
    <col min="7" max="7" width="12.09765625" style="11" bestFit="1" customWidth="1"/>
    <col min="8" max="8" width="13.59765625" style="12" bestFit="1" customWidth="1"/>
    <col min="9" max="9" width="14.59765625" style="12" bestFit="1" customWidth="1"/>
    <col min="10" max="10" width="9" customWidth="1"/>
    <col min="11" max="11" width="23.59765625" style="13" customWidth="1"/>
    <col min="12" max="12" width="10.09765625" style="14" customWidth="1"/>
    <col min="13" max="13" width="19.69921875" style="15" customWidth="1"/>
  </cols>
  <sheetData>
    <row r="1" spans="1:13" ht="21" x14ac:dyDescent="0.25">
      <c r="A1" s="254"/>
      <c r="B1" s="255" t="s">
        <v>1138</v>
      </c>
      <c r="C1" s="255"/>
      <c r="D1" s="255"/>
      <c r="E1" s="255"/>
      <c r="F1" s="255"/>
      <c r="G1" s="255"/>
      <c r="H1" s="255"/>
      <c r="I1" s="255"/>
      <c r="J1" s="255"/>
      <c r="K1" s="255"/>
      <c r="L1" s="255"/>
      <c r="M1" s="255"/>
    </row>
    <row r="2" spans="1:13" ht="29.4" customHeight="1" x14ac:dyDescent="0.25">
      <c r="A2" s="254"/>
      <c r="B2" s="256" t="s">
        <v>1131</v>
      </c>
      <c r="C2" s="256"/>
      <c r="D2" s="256"/>
      <c r="E2" s="256"/>
      <c r="F2" s="256"/>
      <c r="G2" s="256"/>
      <c r="H2" s="256"/>
      <c r="I2" s="256"/>
      <c r="J2" s="256"/>
      <c r="K2" s="256"/>
      <c r="L2" s="256"/>
      <c r="M2" s="256"/>
    </row>
    <row r="3" spans="1:13" ht="15.6" x14ac:dyDescent="0.25">
      <c r="A3" s="254"/>
      <c r="B3" s="257" t="s">
        <v>853</v>
      </c>
      <c r="C3" s="257"/>
      <c r="D3" s="257"/>
      <c r="E3" s="257"/>
      <c r="F3" s="257"/>
      <c r="G3" s="257"/>
      <c r="H3" s="257"/>
      <c r="I3" s="257"/>
      <c r="J3" s="257"/>
      <c r="K3" s="257"/>
      <c r="L3" s="257"/>
      <c r="M3" s="257"/>
    </row>
    <row r="4" spans="1:13" ht="13.8" x14ac:dyDescent="0.25">
      <c r="A4" s="254"/>
      <c r="B4" s="258" t="s">
        <v>793</v>
      </c>
      <c r="C4" s="258"/>
      <c r="D4" s="258"/>
      <c r="E4" s="258"/>
      <c r="F4" s="258"/>
      <c r="G4" s="258"/>
      <c r="H4" s="258"/>
      <c r="I4" s="258"/>
      <c r="J4" s="258"/>
      <c r="K4" s="258"/>
      <c r="L4" s="258"/>
      <c r="M4" s="258"/>
    </row>
    <row r="5" spans="1:13" ht="13.8" x14ac:dyDescent="0.25">
      <c r="A5" s="254"/>
      <c r="B5" s="258" t="s">
        <v>792</v>
      </c>
      <c r="C5" s="258"/>
      <c r="D5" s="258"/>
      <c r="E5" s="258"/>
      <c r="F5" s="258"/>
      <c r="G5" s="258"/>
      <c r="H5" s="258"/>
      <c r="I5" s="258"/>
      <c r="J5" s="258"/>
      <c r="K5" s="258"/>
      <c r="L5" s="258"/>
      <c r="M5" s="258"/>
    </row>
    <row r="6" spans="1:13" ht="46.8" x14ac:dyDescent="0.25">
      <c r="A6" s="254"/>
      <c r="B6" s="1" t="s">
        <v>3</v>
      </c>
      <c r="C6" s="2" t="s">
        <v>4</v>
      </c>
      <c r="D6" s="3" t="s">
        <v>5</v>
      </c>
      <c r="E6" s="3" t="s">
        <v>6</v>
      </c>
      <c r="F6" s="3" t="s">
        <v>7</v>
      </c>
      <c r="G6" s="3" t="s">
        <v>8</v>
      </c>
      <c r="H6" s="4" t="s">
        <v>9</v>
      </c>
      <c r="I6" s="5" t="s">
        <v>10</v>
      </c>
      <c r="J6" s="3" t="s">
        <v>11</v>
      </c>
      <c r="K6" s="3" t="s">
        <v>12</v>
      </c>
      <c r="L6" s="6" t="s">
        <v>13</v>
      </c>
      <c r="M6" s="3" t="s">
        <v>14</v>
      </c>
    </row>
    <row r="7" spans="1:13" ht="15.6" x14ac:dyDescent="0.25">
      <c r="A7" s="251" t="s">
        <v>1136</v>
      </c>
      <c r="B7" s="252"/>
      <c r="C7" s="252"/>
      <c r="D7" s="252"/>
      <c r="E7" s="252"/>
      <c r="F7" s="252"/>
      <c r="G7" s="252"/>
      <c r="H7" s="252"/>
      <c r="I7" s="252"/>
      <c r="J7" s="252"/>
      <c r="K7" s="252"/>
      <c r="L7" s="252"/>
      <c r="M7" s="253"/>
    </row>
    <row r="8" spans="1:13" ht="39.6" x14ac:dyDescent="0.25">
      <c r="A8" s="259">
        <v>1</v>
      </c>
      <c r="B8" s="261" t="s">
        <v>1137</v>
      </c>
      <c r="C8" s="261" t="s">
        <v>1132</v>
      </c>
      <c r="D8" s="17" t="s">
        <v>294</v>
      </c>
      <c r="E8" s="18">
        <v>100</v>
      </c>
      <c r="F8" s="19" t="s">
        <v>15</v>
      </c>
      <c r="G8" s="19" t="s">
        <v>1135</v>
      </c>
      <c r="H8" s="19">
        <f>200</f>
        <v>200</v>
      </c>
      <c r="I8" s="19">
        <f>H8*48*12</f>
        <v>115200</v>
      </c>
      <c r="J8" s="17" t="s">
        <v>16</v>
      </c>
      <c r="K8" s="262" t="s">
        <v>1062</v>
      </c>
      <c r="L8" s="263" t="s">
        <v>48</v>
      </c>
      <c r="M8" s="247"/>
    </row>
    <row r="9" spans="1:13" ht="39.6" x14ac:dyDescent="0.25">
      <c r="A9" s="259"/>
      <c r="B9" s="261"/>
      <c r="C9" s="261"/>
      <c r="D9" s="246" t="s">
        <v>297</v>
      </c>
      <c r="E9" s="7">
        <v>66</v>
      </c>
      <c r="F9" s="8" t="s">
        <v>15</v>
      </c>
      <c r="G9" s="8" t="s">
        <v>1135</v>
      </c>
      <c r="H9" s="8">
        <f>300*117/100</f>
        <v>351</v>
      </c>
      <c r="I9" s="8">
        <f t="shared" ref="I9:I11" si="0">H9*48*12</f>
        <v>202176</v>
      </c>
      <c r="J9" s="246" t="s">
        <v>16</v>
      </c>
      <c r="K9" s="262"/>
      <c r="L9" s="263"/>
      <c r="M9" s="247"/>
    </row>
    <row r="10" spans="1:13" ht="39.6" x14ac:dyDescent="0.25">
      <c r="A10" s="259"/>
      <c r="B10" s="261"/>
      <c r="C10" s="261"/>
      <c r="D10" s="246" t="s">
        <v>1133</v>
      </c>
      <c r="E10" s="7">
        <v>66</v>
      </c>
      <c r="F10" s="8" t="s">
        <v>15</v>
      </c>
      <c r="G10" s="8" t="s">
        <v>1135</v>
      </c>
      <c r="H10" s="8">
        <f>300*117/100</f>
        <v>351</v>
      </c>
      <c r="I10" s="8">
        <f t="shared" si="0"/>
        <v>202176</v>
      </c>
      <c r="J10" s="246" t="s">
        <v>16</v>
      </c>
      <c r="K10" s="262"/>
      <c r="L10" s="263"/>
      <c r="M10" s="247"/>
    </row>
    <row r="11" spans="1:13" ht="39.6" x14ac:dyDescent="0.25">
      <c r="A11" s="259"/>
      <c r="B11" s="261"/>
      <c r="C11" s="261"/>
      <c r="D11" s="246" t="s">
        <v>1134</v>
      </c>
      <c r="E11" s="7">
        <v>63</v>
      </c>
      <c r="F11" s="8" t="s">
        <v>15</v>
      </c>
      <c r="G11" s="8" t="s">
        <v>1135</v>
      </c>
      <c r="H11" s="8">
        <f>320*117/100</f>
        <v>374.4</v>
      </c>
      <c r="I11" s="8">
        <f t="shared" si="0"/>
        <v>215654.39999999997</v>
      </c>
      <c r="J11" s="246" t="s">
        <v>16</v>
      </c>
      <c r="K11" s="262"/>
      <c r="L11" s="263"/>
      <c r="M11" s="247"/>
    </row>
    <row r="12" spans="1:13" ht="13.8" x14ac:dyDescent="0.25">
      <c r="A12" s="260"/>
      <c r="B12" s="248"/>
      <c r="C12" s="249"/>
      <c r="D12" s="249"/>
      <c r="E12" s="249"/>
      <c r="F12" s="249"/>
      <c r="G12" s="249"/>
      <c r="H12" s="249"/>
      <c r="I12" s="249"/>
      <c r="J12" s="249"/>
      <c r="K12" s="249"/>
      <c r="L12" s="249"/>
      <c r="M12" s="250"/>
    </row>
    <row r="14" spans="1:13" x14ac:dyDescent="0.25">
      <c r="B14" s="234"/>
    </row>
  </sheetData>
  <mergeCells count="14">
    <mergeCell ref="M8:M11"/>
    <mergeCell ref="B12:M12"/>
    <mergeCell ref="A7:M7"/>
    <mergeCell ref="A1:A6"/>
    <mergeCell ref="B1:M1"/>
    <mergeCell ref="B2:M2"/>
    <mergeCell ref="B3:M3"/>
    <mergeCell ref="B4:M4"/>
    <mergeCell ref="B5:M5"/>
    <mergeCell ref="A8:A12"/>
    <mergeCell ref="B8:B11"/>
    <mergeCell ref="C8:C11"/>
    <mergeCell ref="K8:K11"/>
    <mergeCell ref="L8:L11"/>
  </mergeCells>
  <pageMargins left="0.23622047244094491" right="0.23622047244094491" top="0.55118110236220474" bottom="0.55118110236220474" header="0.31496062992125984" footer="0.31496062992125984"/>
  <pageSetup paperSize="9" scale="7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0"/>
  <sheetViews>
    <sheetView rightToLeft="1" zoomScaleNormal="100" zoomScaleSheetLayoutView="75" workbookViewId="0">
      <pane ySplit="6" topLeftCell="A10" activePane="bottomLeft" state="frozen"/>
      <selection pane="bottomLeft" activeCell="D19" sqref="D19"/>
    </sheetView>
  </sheetViews>
  <sheetFormatPr defaultColWidth="8.69921875" defaultRowHeight="15" x14ac:dyDescent="0.25"/>
  <cols>
    <col min="1" max="1" width="4.19921875" customWidth="1"/>
    <col min="2" max="2" width="21.09765625" style="10" bestFit="1" customWidth="1"/>
    <col min="4" max="4" width="10.19921875" customWidth="1"/>
    <col min="5" max="5" width="7.69921875" customWidth="1"/>
    <col min="6" max="6" width="10.19921875" bestFit="1" customWidth="1"/>
    <col min="7" max="7" width="12.09765625" style="11" bestFit="1" customWidth="1"/>
    <col min="8" max="8" width="13.59765625" style="12" bestFit="1" customWidth="1"/>
    <col min="9" max="9" width="14.59765625" style="12" bestFit="1" customWidth="1"/>
    <col min="10" max="10" width="9" customWidth="1"/>
    <col min="11" max="11" width="23.59765625" style="13" customWidth="1"/>
    <col min="12" max="12" width="10.09765625" style="14" customWidth="1"/>
    <col min="13" max="13" width="19.69921875" style="15" customWidth="1"/>
  </cols>
  <sheetData>
    <row r="1" spans="1:13" ht="21" x14ac:dyDescent="0.25">
      <c r="A1" s="254"/>
      <c r="B1" s="255" t="s">
        <v>767</v>
      </c>
      <c r="C1" s="255"/>
      <c r="D1" s="255"/>
      <c r="E1" s="255"/>
      <c r="F1" s="255"/>
      <c r="G1" s="255"/>
      <c r="H1" s="255"/>
      <c r="I1" s="255"/>
      <c r="J1" s="255"/>
      <c r="K1" s="255"/>
      <c r="L1" s="255"/>
      <c r="M1" s="255"/>
    </row>
    <row r="2" spans="1:13" ht="29.4" customHeight="1" x14ac:dyDescent="0.25">
      <c r="A2" s="254"/>
      <c r="B2" s="256" t="s">
        <v>663</v>
      </c>
      <c r="C2" s="256"/>
      <c r="D2" s="256"/>
      <c r="E2" s="256"/>
      <c r="F2" s="256"/>
      <c r="G2" s="256"/>
      <c r="H2" s="256"/>
      <c r="I2" s="256"/>
      <c r="J2" s="256"/>
      <c r="K2" s="256"/>
      <c r="L2" s="256"/>
      <c r="M2" s="256"/>
    </row>
    <row r="3" spans="1:13" ht="15.6" x14ac:dyDescent="0.25">
      <c r="A3" s="254"/>
      <c r="B3" s="257" t="s">
        <v>745</v>
      </c>
      <c r="C3" s="257"/>
      <c r="D3" s="257"/>
      <c r="E3" s="257"/>
      <c r="F3" s="257"/>
      <c r="G3" s="257"/>
      <c r="H3" s="257"/>
      <c r="I3" s="257"/>
      <c r="J3" s="257"/>
      <c r="K3" s="257"/>
      <c r="L3" s="257"/>
      <c r="M3" s="257"/>
    </row>
    <row r="4" spans="1:13" ht="13.8" x14ac:dyDescent="0.25">
      <c r="A4" s="254"/>
      <c r="B4" s="258"/>
      <c r="C4" s="258"/>
      <c r="D4" s="258"/>
      <c r="E4" s="258"/>
      <c r="F4" s="258"/>
      <c r="G4" s="258"/>
      <c r="H4" s="258"/>
      <c r="I4" s="258"/>
      <c r="J4" s="258"/>
      <c r="K4" s="258"/>
      <c r="L4" s="258"/>
      <c r="M4" s="258"/>
    </row>
    <row r="5" spans="1:13" ht="13.8" x14ac:dyDescent="0.25">
      <c r="A5" s="254"/>
      <c r="B5" s="258"/>
      <c r="C5" s="258"/>
      <c r="D5" s="258"/>
      <c r="E5" s="258"/>
      <c r="F5" s="258"/>
      <c r="G5" s="258"/>
      <c r="H5" s="258"/>
      <c r="I5" s="258"/>
      <c r="J5" s="258"/>
      <c r="K5" s="258"/>
      <c r="L5" s="258"/>
      <c r="M5" s="258"/>
    </row>
    <row r="6" spans="1:13" ht="46.8" x14ac:dyDescent="0.25">
      <c r="A6" s="254"/>
      <c r="B6" s="1" t="s">
        <v>3</v>
      </c>
      <c r="C6" s="2" t="s">
        <v>4</v>
      </c>
      <c r="D6" s="3" t="s">
        <v>5</v>
      </c>
      <c r="E6" s="3" t="s">
        <v>6</v>
      </c>
      <c r="F6" s="3" t="s">
        <v>7</v>
      </c>
      <c r="G6" s="3" t="s">
        <v>8</v>
      </c>
      <c r="H6" s="4" t="s">
        <v>9</v>
      </c>
      <c r="I6" s="5" t="s">
        <v>10</v>
      </c>
      <c r="J6" s="3" t="s">
        <v>11</v>
      </c>
      <c r="K6" s="3" t="s">
        <v>12</v>
      </c>
      <c r="L6" s="6" t="s">
        <v>13</v>
      </c>
      <c r="M6" s="3" t="s">
        <v>14</v>
      </c>
    </row>
    <row r="7" spans="1:13" ht="15.6" x14ac:dyDescent="0.25">
      <c r="A7" s="251" t="s">
        <v>736</v>
      </c>
      <c r="B7" s="252"/>
      <c r="C7" s="252"/>
      <c r="D7" s="252"/>
      <c r="E7" s="252"/>
      <c r="F7" s="252"/>
      <c r="G7" s="252"/>
      <c r="H7" s="252"/>
      <c r="I7" s="252"/>
      <c r="J7" s="252"/>
      <c r="K7" s="252"/>
      <c r="L7" s="252"/>
      <c r="M7" s="253"/>
    </row>
    <row r="8" spans="1:13" ht="31.2" x14ac:dyDescent="0.25">
      <c r="A8" s="264">
        <v>1</v>
      </c>
      <c r="B8" s="146" t="s">
        <v>795</v>
      </c>
      <c r="C8" s="149" t="s">
        <v>540</v>
      </c>
      <c r="D8" s="22" t="s">
        <v>617</v>
      </c>
      <c r="E8" s="23">
        <v>85</v>
      </c>
      <c r="F8" s="24" t="s">
        <v>15</v>
      </c>
      <c r="G8" s="24" t="s">
        <v>541</v>
      </c>
      <c r="H8" s="24">
        <f>282*117/100</f>
        <v>329.94</v>
      </c>
      <c r="I8" s="24">
        <f>H8*25</f>
        <v>8248.5</v>
      </c>
      <c r="J8" s="22" t="s">
        <v>16</v>
      </c>
      <c r="K8" s="147" t="s">
        <v>46</v>
      </c>
      <c r="L8" s="148" t="s">
        <v>48</v>
      </c>
      <c r="M8" s="145"/>
    </row>
    <row r="9" spans="1:13" ht="14.25" customHeight="1" x14ac:dyDescent="0.25">
      <c r="A9" s="260"/>
      <c r="B9" s="248"/>
      <c r="C9" s="249"/>
      <c r="D9" s="249"/>
      <c r="E9" s="249"/>
      <c r="F9" s="249"/>
      <c r="G9" s="249"/>
      <c r="H9" s="249"/>
      <c r="I9" s="249"/>
      <c r="J9" s="249"/>
      <c r="K9" s="249"/>
      <c r="L9" s="249"/>
      <c r="M9" s="250"/>
    </row>
    <row r="10" spans="1:13" ht="15.6" x14ac:dyDescent="0.25">
      <c r="A10" s="251" t="s">
        <v>737</v>
      </c>
      <c r="B10" s="252"/>
      <c r="C10" s="252"/>
      <c r="D10" s="252"/>
      <c r="E10" s="252"/>
      <c r="F10" s="252"/>
      <c r="G10" s="252"/>
      <c r="H10" s="252"/>
      <c r="I10" s="252"/>
      <c r="J10" s="252"/>
      <c r="K10" s="252"/>
      <c r="L10" s="252"/>
      <c r="M10" s="253"/>
    </row>
    <row r="11" spans="1:13" ht="25.5" customHeight="1" x14ac:dyDescent="0.25">
      <c r="A11" s="264">
        <v>2</v>
      </c>
      <c r="B11" s="265" t="s">
        <v>738</v>
      </c>
      <c r="C11" s="265" t="s">
        <v>739</v>
      </c>
      <c r="D11" s="22" t="s">
        <v>740</v>
      </c>
      <c r="E11" s="23">
        <v>100</v>
      </c>
      <c r="F11" s="24" t="s">
        <v>15</v>
      </c>
      <c r="G11" s="24" t="s">
        <v>684</v>
      </c>
      <c r="H11" s="24">
        <f>270*117/100</f>
        <v>315.89999999999998</v>
      </c>
      <c r="I11" s="24">
        <f>H11*250</f>
        <v>78975</v>
      </c>
      <c r="J11" s="22" t="s">
        <v>16</v>
      </c>
      <c r="K11" s="271" t="s">
        <v>45</v>
      </c>
      <c r="L11" s="266" t="s">
        <v>48</v>
      </c>
      <c r="M11" s="267"/>
    </row>
    <row r="12" spans="1:13" ht="14.25" customHeight="1" x14ac:dyDescent="0.25">
      <c r="A12" s="259"/>
      <c r="B12" s="261"/>
      <c r="C12" s="261"/>
      <c r="D12" s="73" t="s">
        <v>741</v>
      </c>
      <c r="E12" s="74">
        <v>94</v>
      </c>
      <c r="F12" s="16" t="s">
        <v>15</v>
      </c>
      <c r="G12" s="16" t="s">
        <v>684</v>
      </c>
      <c r="H12" s="16">
        <f>270*117/100</f>
        <v>315.89999999999998</v>
      </c>
      <c r="I12" s="16">
        <f t="shared" ref="I12:I14" si="0">H12*250</f>
        <v>78975</v>
      </c>
      <c r="J12" s="73" t="s">
        <v>16</v>
      </c>
      <c r="K12" s="262"/>
      <c r="L12" s="263"/>
      <c r="M12" s="247"/>
    </row>
    <row r="13" spans="1:13" ht="26.4" x14ac:dyDescent="0.25">
      <c r="A13" s="259"/>
      <c r="B13" s="261"/>
      <c r="C13" s="261"/>
      <c r="D13" s="73" t="s">
        <v>742</v>
      </c>
      <c r="E13" s="74">
        <v>84</v>
      </c>
      <c r="F13" s="16" t="s">
        <v>15</v>
      </c>
      <c r="G13" s="16" t="s">
        <v>684</v>
      </c>
      <c r="H13" s="16">
        <f>350*117/100</f>
        <v>409.5</v>
      </c>
      <c r="I13" s="16">
        <f t="shared" si="0"/>
        <v>102375</v>
      </c>
      <c r="J13" s="73"/>
      <c r="K13" s="262"/>
      <c r="L13" s="263"/>
      <c r="M13" s="247"/>
    </row>
    <row r="14" spans="1:13" ht="26.4" x14ac:dyDescent="0.25">
      <c r="A14" s="259"/>
      <c r="B14" s="268"/>
      <c r="C14" s="268"/>
      <c r="D14" s="73" t="s">
        <v>743</v>
      </c>
      <c r="E14" s="74">
        <v>67</v>
      </c>
      <c r="F14" s="16" t="s">
        <v>15</v>
      </c>
      <c r="G14" s="16" t="s">
        <v>684</v>
      </c>
      <c r="H14" s="16">
        <f>360*117/100</f>
        <v>421.2</v>
      </c>
      <c r="I14" s="16">
        <f t="shared" si="0"/>
        <v>105300</v>
      </c>
      <c r="J14" s="73"/>
      <c r="K14" s="272"/>
      <c r="L14" s="269"/>
      <c r="M14" s="270"/>
    </row>
    <row r="15" spans="1:13" ht="14.25" customHeight="1" x14ac:dyDescent="0.25">
      <c r="A15" s="260"/>
      <c r="B15" s="248"/>
      <c r="C15" s="249"/>
      <c r="D15" s="249"/>
      <c r="E15" s="249"/>
      <c r="F15" s="249"/>
      <c r="G15" s="249"/>
      <c r="H15" s="249"/>
      <c r="I15" s="249"/>
      <c r="J15" s="249"/>
      <c r="K15" s="249"/>
      <c r="L15" s="249"/>
      <c r="M15" s="250"/>
    </row>
    <row r="16" spans="1:13" ht="15.6" x14ac:dyDescent="0.25">
      <c r="A16" s="251" t="s">
        <v>744</v>
      </c>
      <c r="B16" s="252"/>
      <c r="C16" s="252"/>
      <c r="D16" s="252"/>
      <c r="E16" s="252"/>
      <c r="F16" s="252"/>
      <c r="G16" s="252"/>
      <c r="H16" s="252"/>
      <c r="I16" s="252"/>
      <c r="J16" s="252"/>
      <c r="K16" s="252"/>
      <c r="L16" s="252"/>
      <c r="M16" s="253"/>
    </row>
    <row r="17" spans="1:13" ht="14.25" customHeight="1" x14ac:dyDescent="0.25">
      <c r="A17" s="264">
        <v>3</v>
      </c>
      <c r="B17" s="265" t="s">
        <v>746</v>
      </c>
      <c r="C17" s="278" t="s">
        <v>751</v>
      </c>
      <c r="D17" s="22" t="s">
        <v>748</v>
      </c>
      <c r="E17" s="23">
        <v>100</v>
      </c>
      <c r="F17" s="24" t="s">
        <v>20</v>
      </c>
      <c r="G17" s="24" t="s">
        <v>20</v>
      </c>
      <c r="H17" s="24">
        <f>20000*117/100</f>
        <v>23400</v>
      </c>
      <c r="I17" s="24">
        <f>H17</f>
        <v>23400</v>
      </c>
      <c r="J17" s="22"/>
      <c r="K17" s="271" t="s">
        <v>45</v>
      </c>
      <c r="L17" s="266" t="s">
        <v>48</v>
      </c>
      <c r="M17" s="267"/>
    </row>
    <row r="18" spans="1:13" ht="26.4" x14ac:dyDescent="0.25">
      <c r="A18" s="259"/>
      <c r="B18" s="261"/>
      <c r="C18" s="279"/>
      <c r="D18" s="73" t="s">
        <v>749</v>
      </c>
      <c r="E18" s="74">
        <v>82</v>
      </c>
      <c r="F18" s="16" t="s">
        <v>20</v>
      </c>
      <c r="G18" s="16" t="s">
        <v>20</v>
      </c>
      <c r="H18" s="16">
        <f>27000*117/100</f>
        <v>31590</v>
      </c>
      <c r="I18" s="16">
        <f>H18</f>
        <v>31590</v>
      </c>
      <c r="J18" s="73"/>
      <c r="K18" s="262"/>
      <c r="L18" s="263"/>
      <c r="M18" s="247"/>
    </row>
    <row r="19" spans="1:13" ht="14.25" customHeight="1" x14ac:dyDescent="0.25">
      <c r="A19" s="259"/>
      <c r="B19" s="268"/>
      <c r="C19" s="280"/>
      <c r="D19" s="73" t="s">
        <v>750</v>
      </c>
      <c r="E19" s="74">
        <v>79</v>
      </c>
      <c r="F19" s="16" t="s">
        <v>20</v>
      </c>
      <c r="G19" s="16" t="s">
        <v>20</v>
      </c>
      <c r="H19" s="16">
        <f>28500*117/100</f>
        <v>33345</v>
      </c>
      <c r="I19" s="16">
        <f>H19</f>
        <v>33345</v>
      </c>
      <c r="J19" s="73"/>
      <c r="K19" s="272"/>
      <c r="L19" s="269"/>
      <c r="M19" s="270"/>
    </row>
    <row r="20" spans="1:13" ht="14.25" customHeight="1" x14ac:dyDescent="0.25">
      <c r="A20" s="260"/>
      <c r="B20" s="248" t="s">
        <v>747</v>
      </c>
      <c r="C20" s="249"/>
      <c r="D20" s="249"/>
      <c r="E20" s="249"/>
      <c r="F20" s="249"/>
      <c r="G20" s="249"/>
      <c r="H20" s="249"/>
      <c r="I20" s="249"/>
      <c r="J20" s="249"/>
      <c r="K20" s="249"/>
      <c r="L20" s="249"/>
      <c r="M20" s="250"/>
    </row>
  </sheetData>
  <mergeCells count="25">
    <mergeCell ref="A16:M16"/>
    <mergeCell ref="A17:A20"/>
    <mergeCell ref="B17:B19"/>
    <mergeCell ref="C17:C19"/>
    <mergeCell ref="K17:K19"/>
    <mergeCell ref="L17:L19"/>
    <mergeCell ref="M17:M19"/>
    <mergeCell ref="B20:M20"/>
    <mergeCell ref="A1:A6"/>
    <mergeCell ref="B1:M1"/>
    <mergeCell ref="B2:M2"/>
    <mergeCell ref="B3:M3"/>
    <mergeCell ref="B4:M4"/>
    <mergeCell ref="B5:M5"/>
    <mergeCell ref="A7:M7"/>
    <mergeCell ref="A8:A9"/>
    <mergeCell ref="B9:M9"/>
    <mergeCell ref="A11:A15"/>
    <mergeCell ref="A10:M10"/>
    <mergeCell ref="B15:M15"/>
    <mergeCell ref="M11:M14"/>
    <mergeCell ref="L11:L14"/>
    <mergeCell ref="K11:K14"/>
    <mergeCell ref="C11:C14"/>
    <mergeCell ref="B11:B14"/>
  </mergeCells>
  <pageMargins left="0.23622047244094491" right="0.23622047244094491" top="0.55118110236220474" bottom="0.55118110236220474" header="0.31496062992125984" footer="0.31496062992125984"/>
  <pageSetup paperSize="9" scale="79" fitToHeight="0" orientation="landscape" r:id="rId1"/>
  <rowBreaks count="1" manualBreakCount="1">
    <brk id="9"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6"/>
  <sheetViews>
    <sheetView rightToLeft="1" zoomScaleNormal="100" zoomScaleSheetLayoutView="75" workbookViewId="0">
      <pane ySplit="6" topLeftCell="A38" activePane="bottomLeft" state="frozen"/>
      <selection pane="bottomLeft" activeCell="B45" sqref="A39:M45"/>
    </sheetView>
  </sheetViews>
  <sheetFormatPr defaultColWidth="8.69921875" defaultRowHeight="15" x14ac:dyDescent="0.25"/>
  <cols>
    <col min="1" max="1" width="4.19921875" customWidth="1"/>
    <col min="2" max="2" width="21.09765625" style="10" bestFit="1" customWidth="1"/>
    <col min="4" max="4" width="10.19921875" customWidth="1"/>
    <col min="5" max="5" width="7.69921875" customWidth="1"/>
    <col min="6" max="6" width="10.19921875" bestFit="1" customWidth="1"/>
    <col min="7" max="7" width="12.09765625" style="11" bestFit="1" customWidth="1"/>
    <col min="8" max="8" width="13.59765625" style="12" bestFit="1" customWidth="1"/>
    <col min="9" max="9" width="14.59765625" style="12" bestFit="1" customWidth="1"/>
    <col min="10" max="10" width="9" customWidth="1"/>
    <col min="11" max="11" width="23.59765625" style="13" customWidth="1"/>
    <col min="12" max="12" width="10.09765625" style="14" customWidth="1"/>
    <col min="13" max="13" width="19.69921875" style="15" customWidth="1"/>
  </cols>
  <sheetData>
    <row r="1" spans="1:13" ht="21" x14ac:dyDescent="0.25">
      <c r="A1" s="254"/>
      <c r="B1" s="255" t="s">
        <v>729</v>
      </c>
      <c r="C1" s="255"/>
      <c r="D1" s="255"/>
      <c r="E1" s="255"/>
      <c r="F1" s="255"/>
      <c r="G1" s="255"/>
      <c r="H1" s="255"/>
      <c r="I1" s="255"/>
      <c r="J1" s="255"/>
      <c r="K1" s="255"/>
      <c r="L1" s="255"/>
      <c r="M1" s="255"/>
    </row>
    <row r="2" spans="1:13" ht="29.4" customHeight="1" x14ac:dyDescent="0.25">
      <c r="A2" s="254"/>
      <c r="B2" s="256" t="s">
        <v>663</v>
      </c>
      <c r="C2" s="256"/>
      <c r="D2" s="256"/>
      <c r="E2" s="256"/>
      <c r="F2" s="256"/>
      <c r="G2" s="256"/>
      <c r="H2" s="256"/>
      <c r="I2" s="256"/>
      <c r="J2" s="256"/>
      <c r="K2" s="256"/>
      <c r="L2" s="256"/>
      <c r="M2" s="256"/>
    </row>
    <row r="3" spans="1:13" ht="15.6" x14ac:dyDescent="0.25">
      <c r="A3" s="254"/>
      <c r="B3" s="257" t="s">
        <v>78</v>
      </c>
      <c r="C3" s="257"/>
      <c r="D3" s="257"/>
      <c r="E3" s="257"/>
      <c r="F3" s="257"/>
      <c r="G3" s="257"/>
      <c r="H3" s="257"/>
      <c r="I3" s="257"/>
      <c r="J3" s="257"/>
      <c r="K3" s="257"/>
      <c r="L3" s="257"/>
      <c r="M3" s="257"/>
    </row>
    <row r="4" spans="1:13" ht="13.8" x14ac:dyDescent="0.25">
      <c r="A4" s="254"/>
      <c r="B4" s="258"/>
      <c r="C4" s="258"/>
      <c r="D4" s="258"/>
      <c r="E4" s="258"/>
      <c r="F4" s="258"/>
      <c r="G4" s="258"/>
      <c r="H4" s="258"/>
      <c r="I4" s="258"/>
      <c r="J4" s="258"/>
      <c r="K4" s="258"/>
      <c r="L4" s="258"/>
      <c r="M4" s="258"/>
    </row>
    <row r="5" spans="1:13" ht="13.8" x14ac:dyDescent="0.25">
      <c r="A5" s="254"/>
      <c r="B5" s="258"/>
      <c r="C5" s="258"/>
      <c r="D5" s="258"/>
      <c r="E5" s="258"/>
      <c r="F5" s="258"/>
      <c r="G5" s="258"/>
      <c r="H5" s="258"/>
      <c r="I5" s="258"/>
      <c r="J5" s="258"/>
      <c r="K5" s="258"/>
      <c r="L5" s="258"/>
      <c r="M5" s="258"/>
    </row>
    <row r="6" spans="1:13" ht="46.8" x14ac:dyDescent="0.25">
      <c r="A6" s="254"/>
      <c r="B6" s="1" t="s">
        <v>3</v>
      </c>
      <c r="C6" s="2" t="s">
        <v>4</v>
      </c>
      <c r="D6" s="3" t="s">
        <v>5</v>
      </c>
      <c r="E6" s="3" t="s">
        <v>6</v>
      </c>
      <c r="F6" s="3" t="s">
        <v>7</v>
      </c>
      <c r="G6" s="3" t="s">
        <v>8</v>
      </c>
      <c r="H6" s="4" t="s">
        <v>9</v>
      </c>
      <c r="I6" s="5" t="s">
        <v>10</v>
      </c>
      <c r="J6" s="3" t="s">
        <v>11</v>
      </c>
      <c r="K6" s="3" t="s">
        <v>12</v>
      </c>
      <c r="L6" s="6" t="s">
        <v>13</v>
      </c>
      <c r="M6" s="3" t="s">
        <v>14</v>
      </c>
    </row>
    <row r="7" spans="1:13" ht="15.6" x14ac:dyDescent="0.25">
      <c r="A7" s="251" t="s">
        <v>677</v>
      </c>
      <c r="B7" s="252"/>
      <c r="C7" s="252"/>
      <c r="D7" s="252"/>
      <c r="E7" s="252"/>
      <c r="F7" s="252"/>
      <c r="G7" s="252"/>
      <c r="H7" s="252"/>
      <c r="I7" s="252"/>
      <c r="J7" s="252"/>
      <c r="K7" s="252"/>
      <c r="L7" s="252"/>
      <c r="M7" s="253"/>
    </row>
    <row r="8" spans="1:13" ht="14.25" customHeight="1" x14ac:dyDescent="0.25">
      <c r="A8" s="259">
        <v>1</v>
      </c>
      <c r="B8" s="261" t="s">
        <v>673</v>
      </c>
      <c r="C8" s="279" t="s">
        <v>674</v>
      </c>
      <c r="D8" s="22" t="s">
        <v>176</v>
      </c>
      <c r="E8" s="23">
        <v>100</v>
      </c>
      <c r="F8" s="24" t="s">
        <v>20</v>
      </c>
      <c r="G8" s="24" t="s">
        <v>20</v>
      </c>
      <c r="H8" s="24">
        <f>28400*117/100</f>
        <v>33228</v>
      </c>
      <c r="I8" s="24">
        <f>H8</f>
        <v>33228</v>
      </c>
      <c r="J8" s="22" t="s">
        <v>16</v>
      </c>
      <c r="K8" s="262" t="s">
        <v>45</v>
      </c>
      <c r="L8" s="263" t="s">
        <v>48</v>
      </c>
      <c r="M8" s="247">
        <v>2830082762</v>
      </c>
    </row>
    <row r="9" spans="1:13" ht="14.25" customHeight="1" x14ac:dyDescent="0.25">
      <c r="A9" s="259"/>
      <c r="B9" s="261"/>
      <c r="C9" s="279"/>
      <c r="D9" s="138" t="s">
        <v>675</v>
      </c>
      <c r="E9" s="7">
        <v>80</v>
      </c>
      <c r="F9" s="16" t="s">
        <v>20</v>
      </c>
      <c r="G9" s="8" t="s">
        <v>20</v>
      </c>
      <c r="H9" s="8">
        <f>35600*117/100</f>
        <v>41652</v>
      </c>
      <c r="I9" s="16">
        <f>H9</f>
        <v>41652</v>
      </c>
      <c r="J9" s="138"/>
      <c r="K9" s="262"/>
      <c r="L9" s="263"/>
      <c r="M9" s="247"/>
    </row>
    <row r="10" spans="1:13" ht="18.75" customHeight="1" x14ac:dyDescent="0.25">
      <c r="A10" s="259"/>
      <c r="B10" s="261"/>
      <c r="C10" s="279"/>
      <c r="D10" s="138" t="s">
        <v>676</v>
      </c>
      <c r="E10" s="7">
        <v>80</v>
      </c>
      <c r="F10" s="16" t="s">
        <v>20</v>
      </c>
      <c r="G10" s="8" t="s">
        <v>20</v>
      </c>
      <c r="H10" s="8">
        <f>35500*117/100</f>
        <v>41535</v>
      </c>
      <c r="I10" s="16">
        <f>H10</f>
        <v>41535</v>
      </c>
      <c r="J10" s="138"/>
      <c r="K10" s="262"/>
      <c r="L10" s="263"/>
      <c r="M10" s="247"/>
    </row>
    <row r="11" spans="1:13" ht="13.8" x14ac:dyDescent="0.25">
      <c r="A11" s="260"/>
      <c r="B11" s="248" t="s">
        <v>708</v>
      </c>
      <c r="C11" s="249"/>
      <c r="D11" s="249"/>
      <c r="E11" s="249"/>
      <c r="F11" s="249"/>
      <c r="G11" s="249"/>
      <c r="H11" s="249"/>
      <c r="I11" s="249"/>
      <c r="J11" s="249"/>
      <c r="K11" s="249"/>
      <c r="L11" s="249"/>
      <c r="M11" s="250"/>
    </row>
    <row r="12" spans="1:13" ht="15.6" x14ac:dyDescent="0.25">
      <c r="A12" s="251" t="s">
        <v>678</v>
      </c>
      <c r="B12" s="252"/>
      <c r="C12" s="252"/>
      <c r="D12" s="252"/>
      <c r="E12" s="252"/>
      <c r="F12" s="252"/>
      <c r="G12" s="252"/>
      <c r="H12" s="252"/>
      <c r="I12" s="252"/>
      <c r="J12" s="252"/>
      <c r="K12" s="252"/>
      <c r="L12" s="252"/>
      <c r="M12" s="253"/>
    </row>
    <row r="13" spans="1:13" ht="26.4" x14ac:dyDescent="0.25">
      <c r="A13" s="259">
        <v>2</v>
      </c>
      <c r="B13" s="261" t="s">
        <v>680</v>
      </c>
      <c r="C13" s="279" t="s">
        <v>18</v>
      </c>
      <c r="D13" s="22" t="s">
        <v>136</v>
      </c>
      <c r="E13" s="23">
        <v>100</v>
      </c>
      <c r="F13" s="24" t="s">
        <v>20</v>
      </c>
      <c r="G13" s="24" t="s">
        <v>20</v>
      </c>
      <c r="H13" s="24">
        <f>17000*117/100</f>
        <v>19890</v>
      </c>
      <c r="I13" s="24">
        <f>H13</f>
        <v>19890</v>
      </c>
      <c r="J13" s="22" t="s">
        <v>16</v>
      </c>
      <c r="K13" s="262" t="s">
        <v>45</v>
      </c>
      <c r="L13" s="263" t="s">
        <v>48</v>
      </c>
      <c r="M13" s="247" t="s">
        <v>679</v>
      </c>
    </row>
    <row r="14" spans="1:13" ht="14.25" customHeight="1" x14ac:dyDescent="0.25">
      <c r="A14" s="259"/>
      <c r="B14" s="261"/>
      <c r="C14" s="279"/>
      <c r="D14" s="138" t="s">
        <v>681</v>
      </c>
      <c r="E14" s="7">
        <v>79</v>
      </c>
      <c r="F14" s="16" t="s">
        <v>20</v>
      </c>
      <c r="G14" s="8" t="s">
        <v>20</v>
      </c>
      <c r="H14" s="8">
        <f>24324*117/100</f>
        <v>28459.08</v>
      </c>
      <c r="I14" s="16">
        <f>H14</f>
        <v>28459.08</v>
      </c>
      <c r="J14" s="138" t="s">
        <v>16</v>
      </c>
      <c r="K14" s="262"/>
      <c r="L14" s="263"/>
      <c r="M14" s="247"/>
    </row>
    <row r="15" spans="1:13" ht="14.25" customHeight="1" x14ac:dyDescent="0.25">
      <c r="A15" s="259"/>
      <c r="B15" s="261"/>
      <c r="C15" s="279"/>
      <c r="D15" s="138" t="s">
        <v>682</v>
      </c>
      <c r="E15" s="7">
        <v>71</v>
      </c>
      <c r="F15" s="16" t="s">
        <v>20</v>
      </c>
      <c r="G15" s="8" t="s">
        <v>20</v>
      </c>
      <c r="H15" s="8">
        <f>29000*117/100</f>
        <v>33930</v>
      </c>
      <c r="I15" s="16">
        <f>H15</f>
        <v>33930</v>
      </c>
      <c r="J15" s="138" t="s">
        <v>16</v>
      </c>
      <c r="K15" s="262"/>
      <c r="L15" s="263"/>
      <c r="M15" s="247"/>
    </row>
    <row r="16" spans="1:13" ht="13.8" x14ac:dyDescent="0.25">
      <c r="A16" s="260"/>
      <c r="B16" s="248" t="s">
        <v>726</v>
      </c>
      <c r="C16" s="249"/>
      <c r="D16" s="249"/>
      <c r="E16" s="249"/>
      <c r="F16" s="249"/>
      <c r="G16" s="249"/>
      <c r="H16" s="249"/>
      <c r="I16" s="249"/>
      <c r="J16" s="249"/>
      <c r="K16" s="249"/>
      <c r="L16" s="249"/>
      <c r="M16" s="250"/>
    </row>
    <row r="17" spans="1:13" ht="15.6" x14ac:dyDescent="0.25">
      <c r="A17" s="251" t="s">
        <v>683</v>
      </c>
      <c r="B17" s="252"/>
      <c r="C17" s="252"/>
      <c r="D17" s="252"/>
      <c r="E17" s="252"/>
      <c r="F17" s="252"/>
      <c r="G17" s="252"/>
      <c r="H17" s="252"/>
      <c r="I17" s="252"/>
      <c r="J17" s="252"/>
      <c r="K17" s="252"/>
      <c r="L17" s="252"/>
      <c r="M17" s="253"/>
    </row>
    <row r="18" spans="1:13" ht="13.8" x14ac:dyDescent="0.25">
      <c r="A18" s="264">
        <v>3</v>
      </c>
      <c r="B18" s="265" t="s">
        <v>697</v>
      </c>
      <c r="C18" s="265" t="s">
        <v>19</v>
      </c>
      <c r="D18" s="139" t="s">
        <v>52</v>
      </c>
      <c r="E18" s="7">
        <v>94</v>
      </c>
      <c r="F18" s="8" t="s">
        <v>15</v>
      </c>
      <c r="G18" s="8" t="s">
        <v>684</v>
      </c>
      <c r="H18" s="8">
        <f>185*117/100</f>
        <v>216.45</v>
      </c>
      <c r="I18" s="8">
        <f>250*H18</f>
        <v>54112.5</v>
      </c>
      <c r="J18" s="139" t="s">
        <v>16</v>
      </c>
      <c r="K18" s="271" t="s">
        <v>45</v>
      </c>
      <c r="L18" s="287" t="s">
        <v>48</v>
      </c>
      <c r="M18" s="267">
        <v>2530092770</v>
      </c>
    </row>
    <row r="19" spans="1:13" ht="14.25" customHeight="1" x14ac:dyDescent="0.25">
      <c r="A19" s="259"/>
      <c r="B19" s="261"/>
      <c r="C19" s="261"/>
      <c r="D19" s="22" t="s">
        <v>59</v>
      </c>
      <c r="E19" s="23">
        <v>94.75</v>
      </c>
      <c r="F19" s="24" t="s">
        <v>15</v>
      </c>
      <c r="G19" s="24" t="s">
        <v>684</v>
      </c>
      <c r="H19" s="24">
        <f>200*117/100</f>
        <v>234</v>
      </c>
      <c r="I19" s="24">
        <f>250*H19</f>
        <v>58500</v>
      </c>
      <c r="J19" s="22" t="s">
        <v>16</v>
      </c>
      <c r="K19" s="262"/>
      <c r="L19" s="287"/>
      <c r="M19" s="247"/>
    </row>
    <row r="20" spans="1:13" ht="13.8" x14ac:dyDescent="0.25">
      <c r="A20" s="259"/>
      <c r="B20" s="261"/>
      <c r="C20" s="261"/>
      <c r="D20" s="139" t="s">
        <v>53</v>
      </c>
      <c r="E20" s="7">
        <v>82.86</v>
      </c>
      <c r="F20" s="8" t="s">
        <v>15</v>
      </c>
      <c r="G20" s="8" t="s">
        <v>684</v>
      </c>
      <c r="H20" s="8">
        <f>220*117/100</f>
        <v>257.39999999999998</v>
      </c>
      <c r="I20" s="8">
        <f>250*H20</f>
        <v>64349.999999999993</v>
      </c>
      <c r="J20" s="139" t="s">
        <v>16</v>
      </c>
      <c r="K20" s="262"/>
      <c r="L20" s="287"/>
      <c r="M20" s="247"/>
    </row>
    <row r="21" spans="1:13" ht="26.4" x14ac:dyDescent="0.25">
      <c r="A21" s="259"/>
      <c r="B21" s="261"/>
      <c r="C21" s="261"/>
      <c r="D21" s="139" t="s">
        <v>698</v>
      </c>
      <c r="E21" s="7">
        <v>63.24</v>
      </c>
      <c r="F21" s="8" t="s">
        <v>15</v>
      </c>
      <c r="G21" s="8" t="s">
        <v>684</v>
      </c>
      <c r="H21" s="8">
        <f>330*117/100</f>
        <v>386.1</v>
      </c>
      <c r="I21" s="8">
        <f>250*H21</f>
        <v>96525</v>
      </c>
      <c r="J21" s="139"/>
      <c r="K21" s="262"/>
      <c r="L21" s="287"/>
      <c r="M21" s="247"/>
    </row>
    <row r="22" spans="1:13" ht="14.25" customHeight="1" x14ac:dyDescent="0.25">
      <c r="A22" s="260"/>
      <c r="B22" s="248" t="s">
        <v>699</v>
      </c>
      <c r="C22" s="249"/>
      <c r="D22" s="249"/>
      <c r="E22" s="249"/>
      <c r="F22" s="249"/>
      <c r="G22" s="249"/>
      <c r="H22" s="249"/>
      <c r="I22" s="249"/>
      <c r="J22" s="249"/>
      <c r="K22" s="249"/>
      <c r="L22" s="249"/>
      <c r="M22" s="250"/>
    </row>
    <row r="23" spans="1:13" ht="15.6" x14ac:dyDescent="0.25">
      <c r="A23" s="251" t="s">
        <v>688</v>
      </c>
      <c r="B23" s="252"/>
      <c r="C23" s="252"/>
      <c r="D23" s="252"/>
      <c r="E23" s="252"/>
      <c r="F23" s="252"/>
      <c r="G23" s="252"/>
      <c r="H23" s="252"/>
      <c r="I23" s="252"/>
      <c r="J23" s="252"/>
      <c r="K23" s="252"/>
      <c r="L23" s="252"/>
      <c r="M23" s="253"/>
    </row>
    <row r="24" spans="1:13" ht="46.8" x14ac:dyDescent="0.25">
      <c r="A24" s="264">
        <v>4</v>
      </c>
      <c r="B24" s="132" t="s">
        <v>685</v>
      </c>
      <c r="C24" s="137" t="s">
        <v>540</v>
      </c>
      <c r="D24" s="22" t="s">
        <v>686</v>
      </c>
      <c r="E24" s="23">
        <v>100</v>
      </c>
      <c r="F24" s="24" t="s">
        <v>15</v>
      </c>
      <c r="G24" s="24" t="s">
        <v>687</v>
      </c>
      <c r="H24" s="24">
        <f>220*117/100</f>
        <v>257.39999999999998</v>
      </c>
      <c r="I24" s="24">
        <f>H24*150</f>
        <v>38610</v>
      </c>
      <c r="J24" s="22" t="s">
        <v>16</v>
      </c>
      <c r="K24" s="136" t="s">
        <v>727</v>
      </c>
      <c r="L24" s="134" t="s">
        <v>48</v>
      </c>
      <c r="M24" s="145" t="s">
        <v>735</v>
      </c>
    </row>
    <row r="25" spans="1:13" ht="14.25" customHeight="1" x14ac:dyDescent="0.25">
      <c r="A25" s="260"/>
      <c r="B25" s="248" t="s">
        <v>728</v>
      </c>
      <c r="C25" s="249"/>
      <c r="D25" s="249"/>
      <c r="E25" s="249"/>
      <c r="F25" s="249"/>
      <c r="G25" s="249"/>
      <c r="H25" s="249"/>
      <c r="I25" s="249"/>
      <c r="J25" s="249"/>
      <c r="K25" s="249"/>
      <c r="L25" s="249"/>
      <c r="M25" s="250"/>
    </row>
    <row r="26" spans="1:13" ht="15.6" x14ac:dyDescent="0.25">
      <c r="A26" s="251" t="s">
        <v>689</v>
      </c>
      <c r="B26" s="252"/>
      <c r="C26" s="252"/>
      <c r="D26" s="252"/>
      <c r="E26" s="252"/>
      <c r="F26" s="252"/>
      <c r="G26" s="252"/>
      <c r="H26" s="252"/>
      <c r="I26" s="252"/>
      <c r="J26" s="252"/>
      <c r="K26" s="252"/>
      <c r="L26" s="252"/>
      <c r="M26" s="253"/>
    </row>
    <row r="27" spans="1:13" ht="31.2" x14ac:dyDescent="0.25">
      <c r="A27" s="264">
        <v>5</v>
      </c>
      <c r="B27" s="132" t="s">
        <v>690</v>
      </c>
      <c r="C27" s="137" t="s">
        <v>35</v>
      </c>
      <c r="D27" s="22" t="s">
        <v>43</v>
      </c>
      <c r="E27" s="23">
        <v>100</v>
      </c>
      <c r="F27" s="24" t="s">
        <v>15</v>
      </c>
      <c r="G27" s="24" t="s">
        <v>691</v>
      </c>
      <c r="H27" s="24">
        <f>200*117/100</f>
        <v>234</v>
      </c>
      <c r="I27" s="24">
        <f>H27*100*3</f>
        <v>70200</v>
      </c>
      <c r="J27" s="22" t="s">
        <v>16</v>
      </c>
      <c r="K27" s="144" t="s">
        <v>46</v>
      </c>
      <c r="L27" s="134" t="s">
        <v>48</v>
      </c>
      <c r="M27" s="135"/>
    </row>
    <row r="28" spans="1:13" ht="13.8" x14ac:dyDescent="0.25">
      <c r="A28" s="260"/>
      <c r="B28" s="248" t="s">
        <v>693</v>
      </c>
      <c r="C28" s="249"/>
      <c r="D28" s="249"/>
      <c r="E28" s="249"/>
      <c r="F28" s="249"/>
      <c r="G28" s="249"/>
      <c r="H28" s="249"/>
      <c r="I28" s="249"/>
      <c r="J28" s="249"/>
      <c r="K28" s="249"/>
      <c r="L28" s="249"/>
      <c r="M28" s="250"/>
    </row>
    <row r="29" spans="1:13" ht="15.6" x14ac:dyDescent="0.25">
      <c r="A29" s="251" t="s">
        <v>695</v>
      </c>
      <c r="B29" s="252"/>
      <c r="C29" s="252"/>
      <c r="D29" s="252"/>
      <c r="E29" s="252"/>
      <c r="F29" s="252"/>
      <c r="G29" s="252"/>
      <c r="H29" s="252"/>
      <c r="I29" s="252"/>
      <c r="J29" s="252"/>
      <c r="K29" s="252"/>
      <c r="L29" s="252"/>
      <c r="M29" s="253"/>
    </row>
    <row r="30" spans="1:13" ht="52.8" x14ac:dyDescent="0.25">
      <c r="A30" s="288">
        <v>6</v>
      </c>
      <c r="B30" s="133" t="s">
        <v>694</v>
      </c>
      <c r="C30" s="133" t="s">
        <v>35</v>
      </c>
      <c r="D30" s="22" t="s">
        <v>441</v>
      </c>
      <c r="E30" s="23">
        <v>100</v>
      </c>
      <c r="F30" s="24" t="s">
        <v>15</v>
      </c>
      <c r="G30" s="24" t="s">
        <v>692</v>
      </c>
      <c r="H30" s="24">
        <v>150</v>
      </c>
      <c r="I30" s="24">
        <f>H30*120*3</f>
        <v>54000</v>
      </c>
      <c r="J30" s="22" t="s">
        <v>16</v>
      </c>
      <c r="K30" s="144" t="s">
        <v>46</v>
      </c>
      <c r="L30" s="134" t="s">
        <v>48</v>
      </c>
      <c r="M30" s="21"/>
    </row>
    <row r="31" spans="1:13" ht="13.8" x14ac:dyDescent="0.25">
      <c r="A31" s="289"/>
      <c r="B31" s="248" t="s">
        <v>696</v>
      </c>
      <c r="C31" s="249"/>
      <c r="D31" s="249"/>
      <c r="E31" s="249"/>
      <c r="F31" s="249"/>
      <c r="G31" s="249"/>
      <c r="H31" s="249"/>
      <c r="I31" s="249"/>
      <c r="J31" s="249"/>
      <c r="K31" s="249"/>
      <c r="L31" s="249"/>
      <c r="M31" s="250"/>
    </row>
    <row r="32" spans="1:13" ht="15.6" x14ac:dyDescent="0.25">
      <c r="A32" s="251" t="s">
        <v>700</v>
      </c>
      <c r="B32" s="252"/>
      <c r="C32" s="252"/>
      <c r="D32" s="252"/>
      <c r="E32" s="252"/>
      <c r="F32" s="252"/>
      <c r="G32" s="252"/>
      <c r="H32" s="252"/>
      <c r="I32" s="252"/>
      <c r="J32" s="252"/>
      <c r="K32" s="252"/>
      <c r="L32" s="252"/>
      <c r="M32" s="253"/>
    </row>
    <row r="33" spans="1:13" ht="26.4" x14ac:dyDescent="0.25">
      <c r="A33" s="259">
        <v>7</v>
      </c>
      <c r="B33" s="261" t="s">
        <v>556</v>
      </c>
      <c r="C33" s="261" t="s">
        <v>18</v>
      </c>
      <c r="D33" s="22" t="s">
        <v>550</v>
      </c>
      <c r="E33" s="23">
        <v>100</v>
      </c>
      <c r="F33" s="24" t="s">
        <v>17</v>
      </c>
      <c r="G33" s="24" t="s">
        <v>551</v>
      </c>
      <c r="H33" s="25">
        <v>0.03</v>
      </c>
      <c r="I33" s="24">
        <f>H33*3800000*117/100</f>
        <v>133380</v>
      </c>
      <c r="J33" s="22" t="s">
        <v>16</v>
      </c>
      <c r="K33" s="262" t="s">
        <v>45</v>
      </c>
      <c r="L33" s="263" t="s">
        <v>48</v>
      </c>
      <c r="M33" s="247" t="s">
        <v>554</v>
      </c>
    </row>
    <row r="34" spans="1:13" ht="26.4" x14ac:dyDescent="0.25">
      <c r="A34" s="259"/>
      <c r="B34" s="261"/>
      <c r="C34" s="261"/>
      <c r="D34" s="73" t="s">
        <v>302</v>
      </c>
      <c r="E34" s="74">
        <v>77</v>
      </c>
      <c r="F34" s="8" t="s">
        <v>17</v>
      </c>
      <c r="G34" s="8" t="s">
        <v>551</v>
      </c>
      <c r="H34" s="72">
        <v>4.4999999999999998E-2</v>
      </c>
      <c r="I34" s="8">
        <f t="shared" ref="I34:I37" si="0">H34*3800000*117/100</f>
        <v>200070</v>
      </c>
      <c r="J34" s="73" t="s">
        <v>16</v>
      </c>
      <c r="K34" s="262"/>
      <c r="L34" s="263"/>
      <c r="M34" s="247"/>
    </row>
    <row r="35" spans="1:13" ht="26.4" x14ac:dyDescent="0.25">
      <c r="A35" s="259"/>
      <c r="B35" s="261"/>
      <c r="C35" s="261"/>
      <c r="D35" s="73" t="s">
        <v>552</v>
      </c>
      <c r="E35" s="74">
        <v>72</v>
      </c>
      <c r="F35" s="8" t="s">
        <v>17</v>
      </c>
      <c r="G35" s="8" t="s">
        <v>551</v>
      </c>
      <c r="H35" s="72">
        <v>4.9500000000000002E-2</v>
      </c>
      <c r="I35" s="8">
        <f t="shared" si="0"/>
        <v>220077</v>
      </c>
      <c r="J35" s="73" t="s">
        <v>16</v>
      </c>
      <c r="K35" s="262"/>
      <c r="L35" s="263"/>
      <c r="M35" s="247"/>
    </row>
    <row r="36" spans="1:13" ht="26.4" x14ac:dyDescent="0.25">
      <c r="A36" s="259"/>
      <c r="B36" s="261"/>
      <c r="C36" s="261"/>
      <c r="D36" s="73" t="s">
        <v>305</v>
      </c>
      <c r="E36" s="74">
        <v>55</v>
      </c>
      <c r="F36" s="8" t="s">
        <v>17</v>
      </c>
      <c r="G36" s="8" t="s">
        <v>551</v>
      </c>
      <c r="H36" s="72">
        <v>8.5000000000000006E-2</v>
      </c>
      <c r="I36" s="8">
        <f t="shared" si="0"/>
        <v>377910</v>
      </c>
      <c r="J36" s="73"/>
      <c r="K36" s="262"/>
      <c r="L36" s="263"/>
      <c r="M36" s="247"/>
    </row>
    <row r="37" spans="1:13" ht="26.4" x14ac:dyDescent="0.25">
      <c r="A37" s="259"/>
      <c r="B37" s="261"/>
      <c r="C37" s="261"/>
      <c r="D37" s="73" t="s">
        <v>553</v>
      </c>
      <c r="E37" s="74">
        <v>51</v>
      </c>
      <c r="F37" s="8" t="s">
        <v>17</v>
      </c>
      <c r="G37" s="8" t="s">
        <v>551</v>
      </c>
      <c r="H37" s="72">
        <v>0.1</v>
      </c>
      <c r="I37" s="8">
        <f t="shared" si="0"/>
        <v>444600</v>
      </c>
      <c r="J37" s="73"/>
      <c r="K37" s="262"/>
      <c r="L37" s="263"/>
      <c r="M37" s="247"/>
    </row>
    <row r="38" spans="1:13" ht="13.8" x14ac:dyDescent="0.25">
      <c r="A38" s="260"/>
      <c r="B38" s="248"/>
      <c r="C38" s="249"/>
      <c r="D38" s="249"/>
      <c r="E38" s="249"/>
      <c r="F38" s="249"/>
      <c r="G38" s="249"/>
      <c r="H38" s="249"/>
      <c r="I38" s="249"/>
      <c r="J38" s="249"/>
      <c r="K38" s="249"/>
      <c r="L38" s="249"/>
      <c r="M38" s="250"/>
    </row>
    <row r="39" spans="1:13" ht="15.6" x14ac:dyDescent="0.25">
      <c r="A39" s="251" t="s">
        <v>701</v>
      </c>
      <c r="B39" s="252"/>
      <c r="C39" s="252"/>
      <c r="D39" s="252"/>
      <c r="E39" s="252"/>
      <c r="F39" s="252"/>
      <c r="G39" s="252"/>
      <c r="H39" s="252"/>
      <c r="I39" s="252"/>
      <c r="J39" s="252"/>
      <c r="K39" s="252"/>
      <c r="L39" s="252"/>
      <c r="M39" s="253"/>
    </row>
    <row r="40" spans="1:13" ht="26.4" x14ac:dyDescent="0.25">
      <c r="A40" s="259">
        <v>8</v>
      </c>
      <c r="B40" s="261" t="s">
        <v>597</v>
      </c>
      <c r="C40" s="261" t="s">
        <v>18</v>
      </c>
      <c r="D40" s="22" t="s">
        <v>550</v>
      </c>
      <c r="E40" s="23">
        <v>100</v>
      </c>
      <c r="F40" s="24" t="s">
        <v>17</v>
      </c>
      <c r="G40" s="24" t="s">
        <v>557</v>
      </c>
      <c r="H40" s="25">
        <v>0.03</v>
      </c>
      <c r="I40" s="24">
        <f>H40*7000000*117/100</f>
        <v>245700</v>
      </c>
      <c r="J40" s="22" t="s">
        <v>16</v>
      </c>
      <c r="K40" s="262" t="s">
        <v>45</v>
      </c>
      <c r="L40" s="263" t="s">
        <v>48</v>
      </c>
      <c r="M40" s="247" t="s">
        <v>612</v>
      </c>
    </row>
    <row r="41" spans="1:13" ht="26.4" x14ac:dyDescent="0.25">
      <c r="A41" s="259"/>
      <c r="B41" s="261"/>
      <c r="C41" s="261"/>
      <c r="D41" s="73" t="s">
        <v>302</v>
      </c>
      <c r="E41" s="74">
        <v>84</v>
      </c>
      <c r="F41" s="8" t="s">
        <v>17</v>
      </c>
      <c r="G41" s="8" t="s">
        <v>557</v>
      </c>
      <c r="H41" s="72">
        <v>3.8899999999999997E-2</v>
      </c>
      <c r="I41" s="8">
        <f t="shared" ref="I41:I44" si="1">H41*7000000*117/100</f>
        <v>318591</v>
      </c>
      <c r="J41" s="73" t="s">
        <v>16</v>
      </c>
      <c r="K41" s="262"/>
      <c r="L41" s="263"/>
      <c r="M41" s="247"/>
    </row>
    <row r="42" spans="1:13" ht="26.4" x14ac:dyDescent="0.25">
      <c r="A42" s="259"/>
      <c r="B42" s="261"/>
      <c r="C42" s="261"/>
      <c r="D42" s="73" t="s">
        <v>552</v>
      </c>
      <c r="E42" s="74">
        <v>72</v>
      </c>
      <c r="F42" s="8" t="s">
        <v>17</v>
      </c>
      <c r="G42" s="8" t="s">
        <v>557</v>
      </c>
      <c r="H42" s="72">
        <v>4.9500000000000002E-2</v>
      </c>
      <c r="I42" s="8">
        <f t="shared" si="1"/>
        <v>405405</v>
      </c>
      <c r="J42" s="73" t="s">
        <v>16</v>
      </c>
      <c r="K42" s="262"/>
      <c r="L42" s="263"/>
      <c r="M42" s="247"/>
    </row>
    <row r="43" spans="1:13" ht="26.4" x14ac:dyDescent="0.25">
      <c r="A43" s="259"/>
      <c r="B43" s="261"/>
      <c r="C43" s="261"/>
      <c r="D43" s="73" t="s">
        <v>305</v>
      </c>
      <c r="E43" s="74">
        <v>55</v>
      </c>
      <c r="F43" s="8" t="s">
        <v>17</v>
      </c>
      <c r="G43" s="8" t="s">
        <v>557</v>
      </c>
      <c r="H43" s="72">
        <v>8.5000000000000006E-2</v>
      </c>
      <c r="I43" s="8">
        <f t="shared" si="1"/>
        <v>696150</v>
      </c>
      <c r="J43" s="73"/>
      <c r="K43" s="262"/>
      <c r="L43" s="263"/>
      <c r="M43" s="247"/>
    </row>
    <row r="44" spans="1:13" ht="26.4" x14ac:dyDescent="0.25">
      <c r="A44" s="259"/>
      <c r="B44" s="261"/>
      <c r="C44" s="261"/>
      <c r="D44" s="73" t="s">
        <v>553</v>
      </c>
      <c r="E44" s="74">
        <v>51</v>
      </c>
      <c r="F44" s="8" t="s">
        <v>17</v>
      </c>
      <c r="G44" s="8" t="s">
        <v>557</v>
      </c>
      <c r="H44" s="72">
        <v>0.1</v>
      </c>
      <c r="I44" s="8">
        <f t="shared" si="1"/>
        <v>819000</v>
      </c>
      <c r="J44" s="73"/>
      <c r="K44" s="262"/>
      <c r="L44" s="263"/>
      <c r="M44" s="247"/>
    </row>
    <row r="45" spans="1:13" ht="13.8" x14ac:dyDescent="0.25">
      <c r="A45" s="260"/>
      <c r="B45" s="248"/>
      <c r="C45" s="249"/>
      <c r="D45" s="249"/>
      <c r="E45" s="249"/>
      <c r="F45" s="249"/>
      <c r="G45" s="249"/>
      <c r="H45" s="249"/>
      <c r="I45" s="249"/>
      <c r="J45" s="249"/>
      <c r="K45" s="249"/>
      <c r="L45" s="249"/>
      <c r="M45" s="250"/>
    </row>
    <row r="46" spans="1:13" ht="15.6" x14ac:dyDescent="0.25">
      <c r="A46" s="251" t="s">
        <v>702</v>
      </c>
      <c r="B46" s="252"/>
      <c r="C46" s="252"/>
      <c r="D46" s="252"/>
      <c r="E46" s="252"/>
      <c r="F46" s="252"/>
      <c r="G46" s="252"/>
      <c r="H46" s="252"/>
      <c r="I46" s="252"/>
      <c r="J46" s="252"/>
      <c r="K46" s="252"/>
      <c r="L46" s="252"/>
      <c r="M46" s="253"/>
    </row>
    <row r="47" spans="1:13" ht="39.6" x14ac:dyDescent="0.25">
      <c r="A47" s="259">
        <v>9</v>
      </c>
      <c r="B47" s="261" t="s">
        <v>703</v>
      </c>
      <c r="C47" s="261" t="s">
        <v>18</v>
      </c>
      <c r="D47" s="22" t="s">
        <v>734</v>
      </c>
      <c r="E47" s="23">
        <v>100</v>
      </c>
      <c r="F47" s="24" t="s">
        <v>20</v>
      </c>
      <c r="G47" s="24" t="s">
        <v>20</v>
      </c>
      <c r="H47" s="24">
        <f>29900*117/100</f>
        <v>34983</v>
      </c>
      <c r="I47" s="24">
        <f>H47</f>
        <v>34983</v>
      </c>
      <c r="J47" s="22" t="s">
        <v>16</v>
      </c>
      <c r="K47" s="262" t="s">
        <v>45</v>
      </c>
      <c r="L47" s="263" t="s">
        <v>48</v>
      </c>
      <c r="M47" s="247" t="s">
        <v>707</v>
      </c>
    </row>
    <row r="48" spans="1:13" ht="26.4" x14ac:dyDescent="0.25">
      <c r="A48" s="259"/>
      <c r="B48" s="261"/>
      <c r="C48" s="261"/>
      <c r="D48" s="73" t="s">
        <v>704</v>
      </c>
      <c r="E48" s="74">
        <v>94</v>
      </c>
      <c r="F48" s="16" t="s">
        <v>20</v>
      </c>
      <c r="G48" s="16" t="s">
        <v>20</v>
      </c>
      <c r="H48" s="16">
        <f>32570*117/100</f>
        <v>38106.9</v>
      </c>
      <c r="I48" s="16">
        <f>H48</f>
        <v>38106.9</v>
      </c>
      <c r="J48" s="73" t="s">
        <v>16</v>
      </c>
      <c r="K48" s="262"/>
      <c r="L48" s="263"/>
      <c r="M48" s="247"/>
    </row>
    <row r="49" spans="1:13" ht="14.25" customHeight="1" x14ac:dyDescent="0.25">
      <c r="A49" s="259"/>
      <c r="B49" s="261"/>
      <c r="C49" s="261"/>
      <c r="D49" s="73" t="s">
        <v>290</v>
      </c>
      <c r="E49" s="74">
        <v>82</v>
      </c>
      <c r="F49" s="16" t="s">
        <v>20</v>
      </c>
      <c r="G49" s="16" t="s">
        <v>20</v>
      </c>
      <c r="H49" s="16">
        <f>40000*117/100</f>
        <v>46800</v>
      </c>
      <c r="I49" s="16">
        <f t="shared" ref="I49:I51" si="2">H49</f>
        <v>46800</v>
      </c>
      <c r="J49" s="73" t="s">
        <v>16</v>
      </c>
      <c r="K49" s="262"/>
      <c r="L49" s="263"/>
      <c r="M49" s="247"/>
    </row>
    <row r="50" spans="1:13" ht="14.25" customHeight="1" x14ac:dyDescent="0.25">
      <c r="A50" s="259"/>
      <c r="B50" s="261"/>
      <c r="C50" s="261"/>
      <c r="D50" s="73" t="s">
        <v>705</v>
      </c>
      <c r="E50" s="74">
        <v>68</v>
      </c>
      <c r="F50" s="16" t="s">
        <v>20</v>
      </c>
      <c r="G50" s="16" t="s">
        <v>20</v>
      </c>
      <c r="H50" s="16">
        <f>55000*117/100</f>
        <v>64350</v>
      </c>
      <c r="I50" s="16">
        <f t="shared" si="2"/>
        <v>64350</v>
      </c>
      <c r="J50" s="73" t="s">
        <v>16</v>
      </c>
      <c r="K50" s="262"/>
      <c r="L50" s="263"/>
      <c r="M50" s="247"/>
    </row>
    <row r="51" spans="1:13" ht="14.25" customHeight="1" x14ac:dyDescent="0.25">
      <c r="A51" s="259"/>
      <c r="B51" s="261"/>
      <c r="C51" s="261"/>
      <c r="D51" s="73" t="s">
        <v>706</v>
      </c>
      <c r="E51" s="74">
        <v>51</v>
      </c>
      <c r="F51" s="16" t="s">
        <v>20</v>
      </c>
      <c r="G51" s="16" t="s">
        <v>20</v>
      </c>
      <c r="H51" s="16">
        <f>80000*117/100</f>
        <v>93600</v>
      </c>
      <c r="I51" s="16">
        <f t="shared" si="2"/>
        <v>93600</v>
      </c>
      <c r="J51" s="73" t="s">
        <v>16</v>
      </c>
      <c r="K51" s="262"/>
      <c r="L51" s="263"/>
      <c r="M51" s="247"/>
    </row>
    <row r="52" spans="1:13" ht="13.8" x14ac:dyDescent="0.25">
      <c r="A52" s="260"/>
      <c r="B52" s="248"/>
      <c r="C52" s="249"/>
      <c r="D52" s="249"/>
      <c r="E52" s="249"/>
      <c r="F52" s="249"/>
      <c r="G52" s="249"/>
      <c r="H52" s="249"/>
      <c r="I52" s="249"/>
      <c r="J52" s="249"/>
      <c r="K52" s="249"/>
      <c r="L52" s="249"/>
      <c r="M52" s="250"/>
    </row>
    <row r="53" spans="1:13" ht="15.6" x14ac:dyDescent="0.25">
      <c r="A53" s="251" t="s">
        <v>709</v>
      </c>
      <c r="B53" s="252"/>
      <c r="C53" s="252"/>
      <c r="D53" s="252"/>
      <c r="E53" s="252"/>
      <c r="F53" s="252"/>
      <c r="G53" s="252"/>
      <c r="H53" s="252"/>
      <c r="I53" s="252"/>
      <c r="J53" s="252"/>
      <c r="K53" s="252"/>
      <c r="L53" s="252"/>
      <c r="M53" s="253"/>
    </row>
    <row r="54" spans="1:13" ht="66" x14ac:dyDescent="0.25">
      <c r="A54" s="288">
        <v>10</v>
      </c>
      <c r="B54" s="140" t="s">
        <v>645</v>
      </c>
      <c r="C54" s="140" t="s">
        <v>646</v>
      </c>
      <c r="D54" s="22" t="s">
        <v>650</v>
      </c>
      <c r="E54" s="23">
        <v>94</v>
      </c>
      <c r="F54" s="24" t="s">
        <v>647</v>
      </c>
      <c r="G54" s="24" t="s">
        <v>730</v>
      </c>
      <c r="H54" s="24">
        <f>54073*117/100</f>
        <v>63265.41</v>
      </c>
      <c r="I54" s="24">
        <f>H54</f>
        <v>63265.41</v>
      </c>
      <c r="J54" s="22"/>
      <c r="K54" s="144" t="s">
        <v>46</v>
      </c>
      <c r="L54" s="141" t="s">
        <v>48</v>
      </c>
      <c r="M54" s="21">
        <v>1811000570</v>
      </c>
    </row>
    <row r="55" spans="1:13" ht="28.5" customHeight="1" x14ac:dyDescent="0.25">
      <c r="A55" s="289"/>
      <c r="B55" s="248" t="s">
        <v>710</v>
      </c>
      <c r="C55" s="249"/>
      <c r="D55" s="249"/>
      <c r="E55" s="249"/>
      <c r="F55" s="249"/>
      <c r="G55" s="249"/>
      <c r="H55" s="249"/>
      <c r="I55" s="249"/>
      <c r="J55" s="249"/>
      <c r="K55" s="249"/>
      <c r="L55" s="249"/>
      <c r="M55" s="250"/>
    </row>
    <row r="56" spans="1:13" ht="15.6" x14ac:dyDescent="0.25">
      <c r="A56" s="251" t="s">
        <v>711</v>
      </c>
      <c r="B56" s="252"/>
      <c r="C56" s="252"/>
      <c r="D56" s="252"/>
      <c r="E56" s="252"/>
      <c r="F56" s="252"/>
      <c r="G56" s="252"/>
      <c r="H56" s="252"/>
      <c r="I56" s="252"/>
      <c r="J56" s="252"/>
      <c r="K56" s="252"/>
      <c r="L56" s="252"/>
      <c r="M56" s="253"/>
    </row>
    <row r="57" spans="1:13" ht="79.2" x14ac:dyDescent="0.25">
      <c r="A57" s="288">
        <v>11</v>
      </c>
      <c r="B57" s="140" t="s">
        <v>712</v>
      </c>
      <c r="C57" s="140" t="s">
        <v>713</v>
      </c>
      <c r="D57" s="22" t="s">
        <v>714</v>
      </c>
      <c r="E57" s="23">
        <v>100</v>
      </c>
      <c r="F57" s="24" t="s">
        <v>647</v>
      </c>
      <c r="G57" s="24" t="s">
        <v>647</v>
      </c>
      <c r="H57" s="24">
        <f>173440*117/100</f>
        <v>202924.79999999999</v>
      </c>
      <c r="I57" s="24">
        <f>H57</f>
        <v>202924.79999999999</v>
      </c>
      <c r="J57" s="22" t="s">
        <v>16</v>
      </c>
      <c r="K57" s="144" t="s">
        <v>731</v>
      </c>
      <c r="L57" s="141" t="s">
        <v>48</v>
      </c>
      <c r="M57" s="142" t="s">
        <v>715</v>
      </c>
    </row>
    <row r="58" spans="1:13" ht="13.8" x14ac:dyDescent="0.25">
      <c r="A58" s="289"/>
      <c r="B58" s="248" t="s">
        <v>716</v>
      </c>
      <c r="C58" s="249"/>
      <c r="D58" s="249"/>
      <c r="E58" s="249"/>
      <c r="F58" s="249"/>
      <c r="G58" s="249"/>
      <c r="H58" s="249"/>
      <c r="I58" s="249"/>
      <c r="J58" s="249"/>
      <c r="K58" s="249"/>
      <c r="L58" s="249"/>
      <c r="M58" s="250"/>
    </row>
    <row r="59" spans="1:13" ht="15.6" x14ac:dyDescent="0.25">
      <c r="A59" s="251" t="s">
        <v>717</v>
      </c>
      <c r="B59" s="252"/>
      <c r="C59" s="252"/>
      <c r="D59" s="252"/>
      <c r="E59" s="252"/>
      <c r="F59" s="252"/>
      <c r="G59" s="252"/>
      <c r="H59" s="252"/>
      <c r="I59" s="252"/>
      <c r="J59" s="252"/>
      <c r="K59" s="252"/>
      <c r="L59" s="252"/>
      <c r="M59" s="253"/>
    </row>
    <row r="60" spans="1:13" ht="26.4" x14ac:dyDescent="0.25">
      <c r="A60" s="259">
        <v>12</v>
      </c>
      <c r="B60" s="261" t="s">
        <v>722</v>
      </c>
      <c r="C60" s="279" t="s">
        <v>35</v>
      </c>
      <c r="D60" s="116" t="s">
        <v>720</v>
      </c>
      <c r="E60" s="128">
        <v>100</v>
      </c>
      <c r="F60" s="129" t="s">
        <v>20</v>
      </c>
      <c r="G60" s="129" t="s">
        <v>20</v>
      </c>
      <c r="H60" s="130">
        <f>150000*117/100</f>
        <v>175500</v>
      </c>
      <c r="I60" s="129">
        <f>H60</f>
        <v>175500</v>
      </c>
      <c r="J60" s="116" t="s">
        <v>16</v>
      </c>
      <c r="K60" s="262" t="s">
        <v>618</v>
      </c>
      <c r="L60" s="263" t="s">
        <v>48</v>
      </c>
      <c r="M60" s="247">
        <v>44010</v>
      </c>
    </row>
    <row r="61" spans="1:13" ht="26.4" x14ac:dyDescent="0.25">
      <c r="A61" s="259"/>
      <c r="B61" s="261"/>
      <c r="C61" s="279"/>
      <c r="D61" s="143" t="s">
        <v>719</v>
      </c>
      <c r="E61" s="74">
        <v>75</v>
      </c>
      <c r="F61" s="16" t="s">
        <v>20</v>
      </c>
      <c r="G61" s="16" t="s">
        <v>20</v>
      </c>
      <c r="H61" s="16">
        <f>231000*117/100</f>
        <v>270270</v>
      </c>
      <c r="I61" s="16">
        <f t="shared" ref="I61" si="3">H61</f>
        <v>270270</v>
      </c>
      <c r="J61" s="73" t="s">
        <v>16</v>
      </c>
      <c r="K61" s="262"/>
      <c r="L61" s="263"/>
      <c r="M61" s="247"/>
    </row>
    <row r="62" spans="1:13" ht="13.8" x14ac:dyDescent="0.25">
      <c r="A62" s="260"/>
      <c r="B62" s="248" t="s">
        <v>718</v>
      </c>
      <c r="C62" s="249"/>
      <c r="D62" s="249"/>
      <c r="E62" s="249"/>
      <c r="F62" s="249"/>
      <c r="G62" s="249"/>
      <c r="H62" s="249"/>
      <c r="I62" s="249"/>
      <c r="J62" s="249"/>
      <c r="K62" s="249"/>
      <c r="L62" s="249"/>
      <c r="M62" s="250"/>
    </row>
    <row r="63" spans="1:13" ht="15.6" x14ac:dyDescent="0.25">
      <c r="A63" s="251" t="s">
        <v>721</v>
      </c>
      <c r="B63" s="252"/>
      <c r="C63" s="252"/>
      <c r="D63" s="252"/>
      <c r="E63" s="252"/>
      <c r="F63" s="252"/>
      <c r="G63" s="252"/>
      <c r="H63" s="252"/>
      <c r="I63" s="252"/>
      <c r="J63" s="252"/>
      <c r="K63" s="252"/>
      <c r="L63" s="252"/>
      <c r="M63" s="253"/>
    </row>
    <row r="64" spans="1:13" ht="26.4" x14ac:dyDescent="0.25">
      <c r="A64" s="259">
        <v>13</v>
      </c>
      <c r="B64" s="261" t="s">
        <v>723</v>
      </c>
      <c r="C64" s="279" t="s">
        <v>35</v>
      </c>
      <c r="D64" s="116" t="s">
        <v>724</v>
      </c>
      <c r="E64" s="128">
        <v>100</v>
      </c>
      <c r="F64" s="129" t="s">
        <v>20</v>
      </c>
      <c r="G64" s="129" t="s">
        <v>20</v>
      </c>
      <c r="H64" s="130">
        <f>420000*117/100</f>
        <v>491400</v>
      </c>
      <c r="I64" s="129">
        <f>H64</f>
        <v>491400</v>
      </c>
      <c r="J64" s="116" t="s">
        <v>16</v>
      </c>
      <c r="K64" s="262" t="s">
        <v>618</v>
      </c>
      <c r="L64" s="263" t="s">
        <v>48</v>
      </c>
      <c r="M64" s="247">
        <v>44007</v>
      </c>
    </row>
    <row r="65" spans="1:13" ht="26.4" x14ac:dyDescent="0.25">
      <c r="A65" s="259"/>
      <c r="B65" s="261"/>
      <c r="C65" s="279"/>
      <c r="D65" s="143" t="s">
        <v>725</v>
      </c>
      <c r="E65" s="74">
        <v>97</v>
      </c>
      <c r="F65" s="16" t="s">
        <v>20</v>
      </c>
      <c r="G65" s="16" t="s">
        <v>20</v>
      </c>
      <c r="H65" s="16">
        <f>439600*117/100</f>
        <v>514332</v>
      </c>
      <c r="I65" s="16">
        <f t="shared" ref="I65" si="4">H65</f>
        <v>514332</v>
      </c>
      <c r="J65" s="73" t="s">
        <v>16</v>
      </c>
      <c r="K65" s="262"/>
      <c r="L65" s="263"/>
      <c r="M65" s="247"/>
    </row>
    <row r="66" spans="1:13" ht="13.8" x14ac:dyDescent="0.25">
      <c r="A66" s="260"/>
      <c r="B66" s="248" t="s">
        <v>718</v>
      </c>
      <c r="C66" s="249"/>
      <c r="D66" s="249"/>
      <c r="E66" s="249"/>
      <c r="F66" s="249"/>
      <c r="G66" s="249"/>
      <c r="H66" s="249"/>
      <c r="I66" s="249"/>
      <c r="J66" s="249"/>
      <c r="K66" s="249"/>
      <c r="L66" s="249"/>
      <c r="M66" s="250"/>
    </row>
  </sheetData>
  <mergeCells count="85">
    <mergeCell ref="A53:M53"/>
    <mergeCell ref="A54:A55"/>
    <mergeCell ref="B55:M55"/>
    <mergeCell ref="A56:M56"/>
    <mergeCell ref="A57:A58"/>
    <mergeCell ref="B58:M58"/>
    <mergeCell ref="A46:M46"/>
    <mergeCell ref="A47:A52"/>
    <mergeCell ref="B47:B51"/>
    <mergeCell ref="C47:C51"/>
    <mergeCell ref="K47:K51"/>
    <mergeCell ref="L47:L51"/>
    <mergeCell ref="M47:M51"/>
    <mergeCell ref="B52:M52"/>
    <mergeCell ref="A29:M29"/>
    <mergeCell ref="A30:A31"/>
    <mergeCell ref="B31:M31"/>
    <mergeCell ref="A23:M23"/>
    <mergeCell ref="A24:A25"/>
    <mergeCell ref="B25:M25"/>
    <mergeCell ref="A26:M26"/>
    <mergeCell ref="A27:A28"/>
    <mergeCell ref="B28:M28"/>
    <mergeCell ref="M40:M44"/>
    <mergeCell ref="B45:M45"/>
    <mergeCell ref="A32:M32"/>
    <mergeCell ref="A33:A38"/>
    <mergeCell ref="B33:B37"/>
    <mergeCell ref="C33:C37"/>
    <mergeCell ref="K33:K37"/>
    <mergeCell ref="L33:L37"/>
    <mergeCell ref="M33:M37"/>
    <mergeCell ref="B38:M38"/>
    <mergeCell ref="A40:A45"/>
    <mergeCell ref="B40:B44"/>
    <mergeCell ref="C40:C44"/>
    <mergeCell ref="K40:K44"/>
    <mergeCell ref="L40:L44"/>
    <mergeCell ref="A39:M39"/>
    <mergeCell ref="A1:A6"/>
    <mergeCell ref="B1:M1"/>
    <mergeCell ref="B2:M2"/>
    <mergeCell ref="B3:M3"/>
    <mergeCell ref="B4:M4"/>
    <mergeCell ref="B5:M5"/>
    <mergeCell ref="A7:M7"/>
    <mergeCell ref="A8:A11"/>
    <mergeCell ref="B8:B10"/>
    <mergeCell ref="C8:C10"/>
    <mergeCell ref="K8:K10"/>
    <mergeCell ref="L8:L10"/>
    <mergeCell ref="M8:M10"/>
    <mergeCell ref="B11:M11"/>
    <mergeCell ref="A17:M17"/>
    <mergeCell ref="A18:A22"/>
    <mergeCell ref="B18:B21"/>
    <mergeCell ref="A12:M12"/>
    <mergeCell ref="A13:A16"/>
    <mergeCell ref="B13:B15"/>
    <mergeCell ref="C13:C15"/>
    <mergeCell ref="K13:K15"/>
    <mergeCell ref="L13:L15"/>
    <mergeCell ref="M13:M15"/>
    <mergeCell ref="B16:M16"/>
    <mergeCell ref="C18:C21"/>
    <mergeCell ref="K18:K21"/>
    <mergeCell ref="L18:L21"/>
    <mergeCell ref="M18:M21"/>
    <mergeCell ref="B22:M22"/>
    <mergeCell ref="A59:M59"/>
    <mergeCell ref="A60:A62"/>
    <mergeCell ref="B60:B61"/>
    <mergeCell ref="C60:C61"/>
    <mergeCell ref="K60:K61"/>
    <mergeCell ref="L60:L61"/>
    <mergeCell ref="M60:M61"/>
    <mergeCell ref="B62:M62"/>
    <mergeCell ref="A63:M63"/>
    <mergeCell ref="A64:A66"/>
    <mergeCell ref="B64:B65"/>
    <mergeCell ref="C64:C65"/>
    <mergeCell ref="K64:K65"/>
    <mergeCell ref="L64:L65"/>
    <mergeCell ref="M64:M65"/>
    <mergeCell ref="B66:M66"/>
  </mergeCells>
  <pageMargins left="0.23622047244094491" right="0.23622047244094491" top="0.55118110236220474" bottom="0.55118110236220474" header="0.31496062992125984" footer="0.31496062992125984"/>
  <pageSetup paperSize="9" scale="79" fitToHeight="0" orientation="landscape" r:id="rId1"/>
  <rowBreaks count="2" manualBreakCount="2">
    <brk id="31" max="16383" man="1"/>
    <brk id="58"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0"/>
  <sheetViews>
    <sheetView rightToLeft="1" zoomScaleNormal="100" zoomScaleSheetLayoutView="75" workbookViewId="0">
      <pane ySplit="6" topLeftCell="A33" activePane="bottomLeft" state="frozen"/>
      <selection pane="bottomLeft" activeCell="D37" sqref="D37"/>
    </sheetView>
  </sheetViews>
  <sheetFormatPr defaultColWidth="8.69921875" defaultRowHeight="15" x14ac:dyDescent="0.25"/>
  <cols>
    <col min="1" max="1" width="4.19921875" customWidth="1"/>
    <col min="2" max="2" width="21.09765625" style="10" bestFit="1" customWidth="1"/>
    <col min="4" max="4" width="10.19921875" customWidth="1"/>
    <col min="5" max="5" width="7.69921875" customWidth="1"/>
    <col min="6" max="6" width="10.19921875" bestFit="1" customWidth="1"/>
    <col min="7" max="7" width="12.09765625" style="11" bestFit="1" customWidth="1"/>
    <col min="8" max="8" width="13.59765625" style="12" bestFit="1" customWidth="1"/>
    <col min="9" max="9" width="14.59765625" style="12" bestFit="1" customWidth="1"/>
    <col min="10" max="10" width="9" customWidth="1"/>
    <col min="11" max="11" width="23.59765625" style="13" customWidth="1"/>
    <col min="12" max="12" width="13.5" style="14" customWidth="1"/>
    <col min="13" max="13" width="16.5" style="15" customWidth="1"/>
  </cols>
  <sheetData>
    <row r="1" spans="1:13" ht="21" x14ac:dyDescent="0.25">
      <c r="A1" s="254"/>
      <c r="B1" s="255" t="s">
        <v>662</v>
      </c>
      <c r="C1" s="255"/>
      <c r="D1" s="255"/>
      <c r="E1" s="255"/>
      <c r="F1" s="255"/>
      <c r="G1" s="255"/>
      <c r="H1" s="255"/>
      <c r="I1" s="255"/>
      <c r="J1" s="255"/>
      <c r="K1" s="255"/>
      <c r="L1" s="255"/>
      <c r="M1" s="255"/>
    </row>
    <row r="2" spans="1:13" ht="29.4" customHeight="1" x14ac:dyDescent="0.25">
      <c r="A2" s="254"/>
      <c r="B2" s="256" t="s">
        <v>663</v>
      </c>
      <c r="C2" s="256"/>
      <c r="D2" s="256"/>
      <c r="E2" s="256"/>
      <c r="F2" s="256"/>
      <c r="G2" s="256"/>
      <c r="H2" s="256"/>
      <c r="I2" s="256"/>
      <c r="J2" s="256"/>
      <c r="K2" s="256"/>
      <c r="L2" s="256"/>
      <c r="M2" s="256"/>
    </row>
    <row r="3" spans="1:13" ht="15.6" x14ac:dyDescent="0.25">
      <c r="A3" s="254"/>
      <c r="B3" s="257" t="s">
        <v>78</v>
      </c>
      <c r="C3" s="257"/>
      <c r="D3" s="257"/>
      <c r="E3" s="257"/>
      <c r="F3" s="257"/>
      <c r="G3" s="257"/>
      <c r="H3" s="257"/>
      <c r="I3" s="257"/>
      <c r="J3" s="257"/>
      <c r="K3" s="257"/>
      <c r="L3" s="257"/>
      <c r="M3" s="257"/>
    </row>
    <row r="4" spans="1:13" ht="13.8" x14ac:dyDescent="0.25">
      <c r="A4" s="254"/>
      <c r="B4" s="258"/>
      <c r="C4" s="258"/>
      <c r="D4" s="258"/>
      <c r="E4" s="258"/>
      <c r="F4" s="258"/>
      <c r="G4" s="258"/>
      <c r="H4" s="258"/>
      <c r="I4" s="258"/>
      <c r="J4" s="258"/>
      <c r="K4" s="258"/>
      <c r="L4" s="258"/>
      <c r="M4" s="258"/>
    </row>
    <row r="5" spans="1:13" ht="13.8" x14ac:dyDescent="0.25">
      <c r="A5" s="254"/>
      <c r="B5" s="258"/>
      <c r="C5" s="258"/>
      <c r="D5" s="258"/>
      <c r="E5" s="258"/>
      <c r="F5" s="258"/>
      <c r="G5" s="258"/>
      <c r="H5" s="258"/>
      <c r="I5" s="258"/>
      <c r="J5" s="258"/>
      <c r="K5" s="258"/>
      <c r="L5" s="258"/>
      <c r="M5" s="258"/>
    </row>
    <row r="6" spans="1:13" ht="46.8" x14ac:dyDescent="0.25">
      <c r="A6" s="254"/>
      <c r="B6" s="1" t="s">
        <v>3</v>
      </c>
      <c r="C6" s="2" t="s">
        <v>4</v>
      </c>
      <c r="D6" s="3" t="s">
        <v>5</v>
      </c>
      <c r="E6" s="3" t="s">
        <v>6</v>
      </c>
      <c r="F6" s="3" t="s">
        <v>7</v>
      </c>
      <c r="G6" s="3" t="s">
        <v>8</v>
      </c>
      <c r="H6" s="4" t="s">
        <v>9</v>
      </c>
      <c r="I6" s="5" t="s">
        <v>10</v>
      </c>
      <c r="J6" s="3" t="s">
        <v>11</v>
      </c>
      <c r="K6" s="3" t="s">
        <v>12</v>
      </c>
      <c r="L6" s="6" t="s">
        <v>13</v>
      </c>
      <c r="M6" s="3" t="s">
        <v>14</v>
      </c>
    </row>
    <row r="7" spans="1:13" ht="15.6" x14ac:dyDescent="0.25">
      <c r="A7" s="251" t="s">
        <v>631</v>
      </c>
      <c r="B7" s="252"/>
      <c r="C7" s="252"/>
      <c r="D7" s="252"/>
      <c r="E7" s="252"/>
      <c r="F7" s="252"/>
      <c r="G7" s="252"/>
      <c r="H7" s="252"/>
      <c r="I7" s="252"/>
      <c r="J7" s="252"/>
      <c r="K7" s="252"/>
      <c r="L7" s="252"/>
      <c r="M7" s="253"/>
    </row>
    <row r="8" spans="1:13" ht="39.6" x14ac:dyDescent="0.25">
      <c r="A8" s="290">
        <v>1</v>
      </c>
      <c r="B8" s="121" t="s">
        <v>624</v>
      </c>
      <c r="C8" s="121" t="s">
        <v>18</v>
      </c>
      <c r="D8" s="22" t="s">
        <v>625</v>
      </c>
      <c r="E8" s="23">
        <v>100</v>
      </c>
      <c r="F8" s="24" t="s">
        <v>20</v>
      </c>
      <c r="G8" s="24" t="s">
        <v>20</v>
      </c>
      <c r="H8" s="24">
        <f>15000*117/100</f>
        <v>17550</v>
      </c>
      <c r="I8" s="24">
        <f>H8</f>
        <v>17550</v>
      </c>
      <c r="J8" s="22" t="s">
        <v>16</v>
      </c>
      <c r="K8" s="125" t="s">
        <v>46</v>
      </c>
      <c r="L8" s="118" t="s">
        <v>48</v>
      </c>
      <c r="M8" s="122" t="s">
        <v>626</v>
      </c>
    </row>
    <row r="9" spans="1:13" ht="14.25" customHeight="1" x14ac:dyDescent="0.25">
      <c r="A9" s="289"/>
      <c r="B9" s="248" t="s">
        <v>627</v>
      </c>
      <c r="C9" s="249"/>
      <c r="D9" s="249"/>
      <c r="E9" s="249"/>
      <c r="F9" s="249"/>
      <c r="G9" s="249"/>
      <c r="H9" s="249"/>
      <c r="I9" s="249"/>
      <c r="J9" s="249"/>
      <c r="K9" s="249"/>
      <c r="L9" s="249"/>
      <c r="M9" s="250"/>
    </row>
    <row r="10" spans="1:13" ht="15.6" x14ac:dyDescent="0.25">
      <c r="A10" s="251" t="s">
        <v>632</v>
      </c>
      <c r="B10" s="252"/>
      <c r="C10" s="252"/>
      <c r="D10" s="252"/>
      <c r="E10" s="252"/>
      <c r="F10" s="252"/>
      <c r="G10" s="252"/>
      <c r="H10" s="252"/>
      <c r="I10" s="252"/>
      <c r="J10" s="252"/>
      <c r="K10" s="252"/>
      <c r="L10" s="252"/>
      <c r="M10" s="253"/>
    </row>
    <row r="11" spans="1:13" ht="14.25" customHeight="1" x14ac:dyDescent="0.25">
      <c r="A11" s="264">
        <v>2</v>
      </c>
      <c r="B11" s="265" t="s">
        <v>628</v>
      </c>
      <c r="C11" s="278" t="s">
        <v>19</v>
      </c>
      <c r="D11" s="116" t="s">
        <v>59</v>
      </c>
      <c r="E11" s="128">
        <v>100</v>
      </c>
      <c r="F11" s="129" t="s">
        <v>20</v>
      </c>
      <c r="G11" s="129" t="s">
        <v>20</v>
      </c>
      <c r="H11" s="130">
        <f>75000*117/100</f>
        <v>87750</v>
      </c>
      <c r="I11" s="129">
        <f>H11</f>
        <v>87750</v>
      </c>
      <c r="J11" s="116" t="s">
        <v>16</v>
      </c>
      <c r="K11" s="271" t="s">
        <v>664</v>
      </c>
      <c r="L11" s="266" t="s">
        <v>48</v>
      </c>
      <c r="M11" s="267">
        <v>283009</v>
      </c>
    </row>
    <row r="12" spans="1:13" ht="14.25" customHeight="1" x14ac:dyDescent="0.25">
      <c r="A12" s="259"/>
      <c r="B12" s="261"/>
      <c r="C12" s="279"/>
      <c r="D12" s="123" t="s">
        <v>630</v>
      </c>
      <c r="E12" s="7">
        <v>89</v>
      </c>
      <c r="F12" s="16" t="s">
        <v>20</v>
      </c>
      <c r="G12" s="8" t="s">
        <v>20</v>
      </c>
      <c r="H12" s="8">
        <f>89000*117/100</f>
        <v>104130</v>
      </c>
      <c r="I12" s="16">
        <f>H12</f>
        <v>104130</v>
      </c>
      <c r="J12" s="123" t="s">
        <v>16</v>
      </c>
      <c r="K12" s="262"/>
      <c r="L12" s="263"/>
      <c r="M12" s="247"/>
    </row>
    <row r="13" spans="1:13" ht="18.75" customHeight="1" x14ac:dyDescent="0.25">
      <c r="A13" s="259"/>
      <c r="B13" s="268"/>
      <c r="C13" s="280"/>
      <c r="D13" s="123" t="s">
        <v>52</v>
      </c>
      <c r="E13" s="7">
        <v>72</v>
      </c>
      <c r="F13" s="16" t="s">
        <v>20</v>
      </c>
      <c r="G13" s="8" t="s">
        <v>20</v>
      </c>
      <c r="H13" s="8">
        <f>125000*117/100</f>
        <v>146250</v>
      </c>
      <c r="I13" s="16">
        <f>H13</f>
        <v>146250</v>
      </c>
      <c r="J13" s="123" t="s">
        <v>16</v>
      </c>
      <c r="K13" s="272"/>
      <c r="L13" s="269"/>
      <c r="M13" s="270"/>
    </row>
    <row r="14" spans="1:13" ht="14.25" customHeight="1" x14ac:dyDescent="0.25">
      <c r="A14" s="260"/>
      <c r="B14" s="248" t="s">
        <v>629</v>
      </c>
      <c r="C14" s="249"/>
      <c r="D14" s="249"/>
      <c r="E14" s="249"/>
      <c r="F14" s="249"/>
      <c r="G14" s="249"/>
      <c r="H14" s="249"/>
      <c r="I14" s="249"/>
      <c r="J14" s="249"/>
      <c r="K14" s="249"/>
      <c r="L14" s="249"/>
      <c r="M14" s="250"/>
    </row>
    <row r="15" spans="1:13" ht="15.6" x14ac:dyDescent="0.25">
      <c r="A15" s="251" t="s">
        <v>639</v>
      </c>
      <c r="B15" s="252"/>
      <c r="C15" s="252"/>
      <c r="D15" s="252"/>
      <c r="E15" s="252"/>
      <c r="F15" s="252"/>
      <c r="G15" s="252"/>
      <c r="H15" s="252"/>
      <c r="I15" s="252"/>
      <c r="J15" s="252"/>
      <c r="K15" s="252"/>
      <c r="L15" s="252"/>
      <c r="M15" s="253"/>
    </row>
    <row r="16" spans="1:13" ht="40.799999999999997" x14ac:dyDescent="0.25">
      <c r="A16" s="264">
        <v>3</v>
      </c>
      <c r="B16" s="117" t="s">
        <v>633</v>
      </c>
      <c r="C16" s="120" t="s">
        <v>635</v>
      </c>
      <c r="D16" s="22" t="s">
        <v>636</v>
      </c>
      <c r="E16" s="23">
        <v>100</v>
      </c>
      <c r="F16" s="24" t="s">
        <v>409</v>
      </c>
      <c r="G16" s="24" t="s">
        <v>665</v>
      </c>
      <c r="H16" s="24">
        <f>1500*117/100</f>
        <v>1755</v>
      </c>
      <c r="I16" s="24">
        <f>H16*3</f>
        <v>5265</v>
      </c>
      <c r="J16" s="22" t="s">
        <v>16</v>
      </c>
      <c r="K16" s="125" t="s">
        <v>46</v>
      </c>
      <c r="L16" s="118" t="s">
        <v>48</v>
      </c>
      <c r="M16" s="119">
        <v>1616000521</v>
      </c>
    </row>
    <row r="17" spans="1:13" ht="14.25" customHeight="1" x14ac:dyDescent="0.25">
      <c r="A17" s="260"/>
      <c r="B17" s="248" t="s">
        <v>634</v>
      </c>
      <c r="C17" s="249"/>
      <c r="D17" s="249"/>
      <c r="E17" s="249"/>
      <c r="F17" s="249"/>
      <c r="G17" s="249"/>
      <c r="H17" s="249"/>
      <c r="I17" s="249"/>
      <c r="J17" s="249"/>
      <c r="K17" s="249"/>
      <c r="L17" s="249"/>
      <c r="M17" s="250"/>
    </row>
    <row r="18" spans="1:13" ht="15.6" x14ac:dyDescent="0.25">
      <c r="A18" s="251" t="s">
        <v>640</v>
      </c>
      <c r="B18" s="252"/>
      <c r="C18" s="252"/>
      <c r="D18" s="252"/>
      <c r="E18" s="252"/>
      <c r="F18" s="252"/>
      <c r="G18" s="252"/>
      <c r="H18" s="252"/>
      <c r="I18" s="252"/>
      <c r="J18" s="252"/>
      <c r="K18" s="252"/>
      <c r="L18" s="252"/>
      <c r="M18" s="253"/>
    </row>
    <row r="19" spans="1:13" ht="52.8" x14ac:dyDescent="0.25">
      <c r="A19" s="264">
        <v>4</v>
      </c>
      <c r="B19" s="117" t="s">
        <v>637</v>
      </c>
      <c r="C19" s="120" t="s">
        <v>635</v>
      </c>
      <c r="D19" s="22" t="s">
        <v>638</v>
      </c>
      <c r="E19" s="23">
        <v>100</v>
      </c>
      <c r="F19" s="24" t="s">
        <v>642</v>
      </c>
      <c r="G19" s="24" t="s">
        <v>239</v>
      </c>
      <c r="H19" s="24">
        <f>6200*117/100</f>
        <v>7254</v>
      </c>
      <c r="I19" s="24">
        <f>12*H19</f>
        <v>87048</v>
      </c>
      <c r="J19" s="22" t="s">
        <v>16</v>
      </c>
      <c r="K19" s="125" t="s">
        <v>46</v>
      </c>
      <c r="L19" s="118" t="s">
        <v>48</v>
      </c>
      <c r="M19" s="119">
        <v>1616000980</v>
      </c>
    </row>
    <row r="20" spans="1:13" ht="14.25" customHeight="1" x14ac:dyDescent="0.25">
      <c r="A20" s="260"/>
      <c r="B20" s="248" t="s">
        <v>643</v>
      </c>
      <c r="C20" s="249"/>
      <c r="D20" s="249"/>
      <c r="E20" s="249"/>
      <c r="F20" s="249"/>
      <c r="G20" s="249"/>
      <c r="H20" s="249"/>
      <c r="I20" s="249"/>
      <c r="J20" s="249"/>
      <c r="K20" s="249"/>
      <c r="L20" s="249"/>
      <c r="M20" s="250"/>
    </row>
    <row r="21" spans="1:13" ht="15.6" x14ac:dyDescent="0.25">
      <c r="A21" s="251" t="s">
        <v>641</v>
      </c>
      <c r="B21" s="252"/>
      <c r="C21" s="252"/>
      <c r="D21" s="252"/>
      <c r="E21" s="252"/>
      <c r="F21" s="252"/>
      <c r="G21" s="252"/>
      <c r="H21" s="252"/>
      <c r="I21" s="252"/>
      <c r="J21" s="252"/>
      <c r="K21" s="252"/>
      <c r="L21" s="252"/>
      <c r="M21" s="253"/>
    </row>
    <row r="22" spans="1:13" ht="108" x14ac:dyDescent="0.25">
      <c r="A22" s="290">
        <v>5</v>
      </c>
      <c r="B22" s="121" t="s">
        <v>645</v>
      </c>
      <c r="C22" s="121" t="s">
        <v>646</v>
      </c>
      <c r="D22" s="116" t="s">
        <v>650</v>
      </c>
      <c r="E22" s="128">
        <v>94</v>
      </c>
      <c r="F22" s="129" t="s">
        <v>647</v>
      </c>
      <c r="G22" s="129" t="s">
        <v>648</v>
      </c>
      <c r="H22" s="130">
        <f>54073*117/100</f>
        <v>63265.41</v>
      </c>
      <c r="I22" s="129">
        <f>H22*2</f>
        <v>126530.82</v>
      </c>
      <c r="J22" s="116"/>
      <c r="K22" s="127" t="s">
        <v>667</v>
      </c>
      <c r="L22" s="118" t="s">
        <v>48</v>
      </c>
      <c r="M22" s="21">
        <v>1811000570</v>
      </c>
    </row>
    <row r="23" spans="1:13" ht="14.25" customHeight="1" x14ac:dyDescent="0.25">
      <c r="A23" s="289"/>
      <c r="B23" s="248" t="s">
        <v>649</v>
      </c>
      <c r="C23" s="249"/>
      <c r="D23" s="249"/>
      <c r="E23" s="249"/>
      <c r="F23" s="249"/>
      <c r="G23" s="249"/>
      <c r="H23" s="249"/>
      <c r="I23" s="249"/>
      <c r="J23" s="249"/>
      <c r="K23" s="249"/>
      <c r="L23" s="249"/>
      <c r="M23" s="250"/>
    </row>
    <row r="24" spans="1:13" ht="15.6" x14ac:dyDescent="0.25">
      <c r="A24" s="251" t="s">
        <v>644</v>
      </c>
      <c r="B24" s="252"/>
      <c r="C24" s="252"/>
      <c r="D24" s="252"/>
      <c r="E24" s="252"/>
      <c r="F24" s="252"/>
      <c r="G24" s="252"/>
      <c r="H24" s="252"/>
      <c r="I24" s="252"/>
      <c r="J24" s="252"/>
      <c r="K24" s="252"/>
      <c r="L24" s="252"/>
      <c r="M24" s="253"/>
    </row>
    <row r="25" spans="1:13" ht="25.5" customHeight="1" x14ac:dyDescent="0.25">
      <c r="A25" s="264">
        <v>6</v>
      </c>
      <c r="B25" s="265" t="s">
        <v>651</v>
      </c>
      <c r="C25" s="265" t="s">
        <v>646</v>
      </c>
      <c r="D25" s="116" t="s">
        <v>652</v>
      </c>
      <c r="E25" s="128">
        <v>100</v>
      </c>
      <c r="F25" s="129" t="s">
        <v>647</v>
      </c>
      <c r="G25" s="129" t="s">
        <v>653</v>
      </c>
      <c r="H25" s="130">
        <f>57491.4*117/100</f>
        <v>67264.937999999995</v>
      </c>
      <c r="I25" s="129">
        <f>H25*5</f>
        <v>336324.68999999994</v>
      </c>
      <c r="J25" s="116"/>
      <c r="K25" s="271" t="s">
        <v>666</v>
      </c>
      <c r="L25" s="266" t="s">
        <v>48</v>
      </c>
      <c r="M25" s="267">
        <v>1092000540</v>
      </c>
    </row>
    <row r="26" spans="1:13" ht="26.4" x14ac:dyDescent="0.25">
      <c r="A26" s="259"/>
      <c r="B26" s="261"/>
      <c r="C26" s="261"/>
      <c r="D26" s="126" t="s">
        <v>654</v>
      </c>
      <c r="E26" s="7">
        <v>70</v>
      </c>
      <c r="F26" s="16" t="s">
        <v>647</v>
      </c>
      <c r="G26" s="8" t="s">
        <v>653</v>
      </c>
      <c r="H26" s="8">
        <f>105600*117/100</f>
        <v>123552</v>
      </c>
      <c r="I26" s="16">
        <f>H26*5</f>
        <v>617760</v>
      </c>
      <c r="J26" s="126"/>
      <c r="K26" s="262"/>
      <c r="L26" s="263"/>
      <c r="M26" s="247"/>
    </row>
    <row r="27" spans="1:13" ht="26.4" x14ac:dyDescent="0.25">
      <c r="A27" s="259"/>
      <c r="B27" s="261"/>
      <c r="C27" s="261"/>
      <c r="D27" s="126" t="s">
        <v>655</v>
      </c>
      <c r="E27" s="7">
        <v>63</v>
      </c>
      <c r="F27" s="16" t="s">
        <v>647</v>
      </c>
      <c r="G27" s="8" t="s">
        <v>653</v>
      </c>
      <c r="H27" s="8">
        <f>121000*117/100</f>
        <v>141570</v>
      </c>
      <c r="I27" s="16">
        <f>H27*5</f>
        <v>707850</v>
      </c>
      <c r="J27" s="126"/>
      <c r="K27" s="262"/>
      <c r="L27" s="263"/>
      <c r="M27" s="247"/>
    </row>
    <row r="28" spans="1:13" ht="26.4" x14ac:dyDescent="0.25">
      <c r="A28" s="259"/>
      <c r="B28" s="268"/>
      <c r="C28" s="268"/>
      <c r="D28" s="126" t="s">
        <v>656</v>
      </c>
      <c r="E28" s="7">
        <v>49</v>
      </c>
      <c r="F28" s="16" t="s">
        <v>647</v>
      </c>
      <c r="G28" s="8" t="s">
        <v>653</v>
      </c>
      <c r="H28" s="8">
        <f>208200*117/100</f>
        <v>243594</v>
      </c>
      <c r="I28" s="16">
        <f t="shared" ref="I28" si="0">H28*5</f>
        <v>1217970</v>
      </c>
      <c r="J28" s="126"/>
      <c r="K28" s="272"/>
      <c r="L28" s="269"/>
      <c r="M28" s="270"/>
    </row>
    <row r="29" spans="1:13" ht="14.25" customHeight="1" x14ac:dyDescent="0.25">
      <c r="A29" s="260"/>
      <c r="B29" s="248"/>
      <c r="C29" s="249"/>
      <c r="D29" s="249"/>
      <c r="E29" s="249"/>
      <c r="F29" s="249"/>
      <c r="G29" s="249"/>
      <c r="H29" s="249"/>
      <c r="I29" s="249"/>
      <c r="J29" s="249"/>
      <c r="K29" s="249"/>
      <c r="L29" s="249"/>
      <c r="M29" s="250"/>
    </row>
    <row r="30" spans="1:13" ht="15.6" x14ac:dyDescent="0.25">
      <c r="A30" s="251" t="s">
        <v>657</v>
      </c>
      <c r="B30" s="252"/>
      <c r="C30" s="252"/>
      <c r="D30" s="252"/>
      <c r="E30" s="252"/>
      <c r="F30" s="252"/>
      <c r="G30" s="252"/>
      <c r="H30" s="252"/>
      <c r="I30" s="252"/>
      <c r="J30" s="252"/>
      <c r="K30" s="252"/>
      <c r="L30" s="252"/>
      <c r="M30" s="253"/>
    </row>
    <row r="31" spans="1:13" ht="14.25" customHeight="1" x14ac:dyDescent="0.25">
      <c r="A31" s="264">
        <v>7</v>
      </c>
      <c r="B31" s="265" t="s">
        <v>658</v>
      </c>
      <c r="C31" s="278" t="s">
        <v>19</v>
      </c>
      <c r="D31" s="22" t="s">
        <v>59</v>
      </c>
      <c r="E31" s="23">
        <v>75</v>
      </c>
      <c r="F31" s="24" t="s">
        <v>20</v>
      </c>
      <c r="G31" s="24" t="s">
        <v>20</v>
      </c>
      <c r="H31" s="24">
        <f>470000*117/100</f>
        <v>549900</v>
      </c>
      <c r="I31" s="24">
        <f>H31</f>
        <v>549900</v>
      </c>
      <c r="J31" s="22" t="s">
        <v>16</v>
      </c>
      <c r="K31" s="271" t="s">
        <v>45</v>
      </c>
      <c r="L31" s="266" t="s">
        <v>48</v>
      </c>
      <c r="M31" s="267">
        <v>253012</v>
      </c>
    </row>
    <row r="32" spans="1:13" ht="14.25" customHeight="1" x14ac:dyDescent="0.25">
      <c r="A32" s="259"/>
      <c r="B32" s="261"/>
      <c r="C32" s="279"/>
      <c r="D32" s="124" t="s">
        <v>659</v>
      </c>
      <c r="E32" s="7">
        <v>73</v>
      </c>
      <c r="F32" s="16" t="s">
        <v>20</v>
      </c>
      <c r="G32" s="8" t="s">
        <v>20</v>
      </c>
      <c r="H32" s="8">
        <f>490000*117/100</f>
        <v>573300</v>
      </c>
      <c r="I32" s="16">
        <f>H32</f>
        <v>573300</v>
      </c>
      <c r="J32" s="124" t="s">
        <v>16</v>
      </c>
      <c r="K32" s="262"/>
      <c r="L32" s="263"/>
      <c r="M32" s="247"/>
    </row>
    <row r="33" spans="1:13" ht="26.4" x14ac:dyDescent="0.25">
      <c r="A33" s="259"/>
      <c r="B33" s="261"/>
      <c r="C33" s="279"/>
      <c r="D33" s="124" t="s">
        <v>660</v>
      </c>
      <c r="E33" s="7">
        <v>72</v>
      </c>
      <c r="F33" s="16" t="s">
        <v>20</v>
      </c>
      <c r="G33" s="8" t="s">
        <v>20</v>
      </c>
      <c r="H33" s="8">
        <f>560000*117/100</f>
        <v>655200</v>
      </c>
      <c r="I33" s="16">
        <f>H33</f>
        <v>655200</v>
      </c>
      <c r="J33" s="124" t="s">
        <v>16</v>
      </c>
      <c r="K33" s="262"/>
      <c r="L33" s="263"/>
      <c r="M33" s="247"/>
    </row>
    <row r="34" spans="1:13" ht="14.25" customHeight="1" x14ac:dyDescent="0.25">
      <c r="A34" s="259"/>
      <c r="B34" s="268"/>
      <c r="C34" s="280"/>
      <c r="D34" s="124" t="s">
        <v>52</v>
      </c>
      <c r="E34" s="7">
        <v>63</v>
      </c>
      <c r="F34" s="16" t="s">
        <v>20</v>
      </c>
      <c r="G34" s="8" t="s">
        <v>20</v>
      </c>
      <c r="H34" s="8">
        <f>640000*117/100</f>
        <v>748800</v>
      </c>
      <c r="I34" s="16">
        <f>H34</f>
        <v>748800</v>
      </c>
      <c r="J34" s="124" t="s">
        <v>16</v>
      </c>
      <c r="K34" s="272"/>
      <c r="L34" s="269"/>
      <c r="M34" s="270"/>
    </row>
    <row r="35" spans="1:13" ht="14.25" customHeight="1" x14ac:dyDescent="0.25">
      <c r="A35" s="260"/>
      <c r="B35" s="248" t="s">
        <v>661</v>
      </c>
      <c r="C35" s="249"/>
      <c r="D35" s="249"/>
      <c r="E35" s="249"/>
      <c r="F35" s="249"/>
      <c r="G35" s="249"/>
      <c r="H35" s="249"/>
      <c r="I35" s="249"/>
      <c r="J35" s="249"/>
      <c r="K35" s="249"/>
      <c r="L35" s="249"/>
      <c r="M35" s="250"/>
    </row>
    <row r="36" spans="1:13" ht="15.6" x14ac:dyDescent="0.25">
      <c r="A36" s="251" t="s">
        <v>668</v>
      </c>
      <c r="B36" s="252"/>
      <c r="C36" s="252"/>
      <c r="D36" s="252"/>
      <c r="E36" s="252"/>
      <c r="F36" s="252"/>
      <c r="G36" s="252"/>
      <c r="H36" s="252"/>
      <c r="I36" s="252"/>
      <c r="J36" s="252"/>
      <c r="K36" s="252"/>
      <c r="L36" s="252"/>
      <c r="M36" s="253"/>
    </row>
    <row r="37" spans="1:13" ht="26.4" x14ac:dyDescent="0.25">
      <c r="A37" s="259">
        <v>8</v>
      </c>
      <c r="B37" s="261" t="s">
        <v>915</v>
      </c>
      <c r="C37" s="274" t="s">
        <v>585</v>
      </c>
      <c r="D37" s="22" t="s">
        <v>669</v>
      </c>
      <c r="E37" s="23">
        <v>100</v>
      </c>
      <c r="F37" s="24" t="s">
        <v>642</v>
      </c>
      <c r="G37" s="24" t="s">
        <v>239</v>
      </c>
      <c r="H37" s="24">
        <f>11000*117/100</f>
        <v>12870</v>
      </c>
      <c r="I37" s="24">
        <f>H37*12</f>
        <v>154440</v>
      </c>
      <c r="J37" s="22" t="s">
        <v>16</v>
      </c>
      <c r="K37" s="262" t="s">
        <v>45</v>
      </c>
      <c r="L37" s="263" t="s">
        <v>48</v>
      </c>
      <c r="M37" s="247">
        <v>1614000750</v>
      </c>
    </row>
    <row r="38" spans="1:13" ht="26.4" x14ac:dyDescent="0.25">
      <c r="A38" s="259"/>
      <c r="B38" s="261"/>
      <c r="C38" s="274"/>
      <c r="D38" s="131" t="s">
        <v>671</v>
      </c>
      <c r="E38" s="7">
        <v>94</v>
      </c>
      <c r="F38" s="16" t="s">
        <v>642</v>
      </c>
      <c r="G38" s="16" t="s">
        <v>239</v>
      </c>
      <c r="H38" s="8">
        <f>12000*117/100</f>
        <v>14040</v>
      </c>
      <c r="I38" s="16">
        <f>H38*12</f>
        <v>168480</v>
      </c>
      <c r="J38" s="131" t="s">
        <v>16</v>
      </c>
      <c r="K38" s="262"/>
      <c r="L38" s="263"/>
      <c r="M38" s="247"/>
    </row>
    <row r="39" spans="1:13" ht="26.4" x14ac:dyDescent="0.25">
      <c r="A39" s="259"/>
      <c r="B39" s="261"/>
      <c r="C39" s="274"/>
      <c r="D39" s="131" t="s">
        <v>670</v>
      </c>
      <c r="E39" s="7">
        <v>81</v>
      </c>
      <c r="F39" s="16" t="s">
        <v>642</v>
      </c>
      <c r="G39" s="16" t="s">
        <v>239</v>
      </c>
      <c r="H39" s="8">
        <f>15000*117/100</f>
        <v>17550</v>
      </c>
      <c r="I39" s="16">
        <f>H39*12</f>
        <v>210600</v>
      </c>
      <c r="J39" s="131" t="s">
        <v>16</v>
      </c>
      <c r="K39" s="262"/>
      <c r="L39" s="263"/>
      <c r="M39" s="247"/>
    </row>
    <row r="40" spans="1:13" ht="13.8" x14ac:dyDescent="0.25">
      <c r="A40" s="260"/>
      <c r="B40" s="248" t="s">
        <v>672</v>
      </c>
      <c r="C40" s="249"/>
      <c r="D40" s="249"/>
      <c r="E40" s="249"/>
      <c r="F40" s="249"/>
      <c r="G40" s="249"/>
      <c r="H40" s="249"/>
      <c r="I40" s="249"/>
      <c r="J40" s="249"/>
      <c r="K40" s="249"/>
      <c r="L40" s="249"/>
      <c r="M40" s="250"/>
    </row>
  </sheetData>
  <mergeCells count="50">
    <mergeCell ref="A30:M30"/>
    <mergeCell ref="A31:A35"/>
    <mergeCell ref="B31:B34"/>
    <mergeCell ref="C31:C34"/>
    <mergeCell ref="K31:K34"/>
    <mergeCell ref="L31:L34"/>
    <mergeCell ref="M31:M34"/>
    <mergeCell ref="B35:M35"/>
    <mergeCell ref="A1:A6"/>
    <mergeCell ref="B1:M1"/>
    <mergeCell ref="B2:M2"/>
    <mergeCell ref="B3:M3"/>
    <mergeCell ref="B4:M4"/>
    <mergeCell ref="B5:M5"/>
    <mergeCell ref="B14:M14"/>
    <mergeCell ref="A7:M7"/>
    <mergeCell ref="A8:A9"/>
    <mergeCell ref="B9:M9"/>
    <mergeCell ref="A10:M10"/>
    <mergeCell ref="A11:A14"/>
    <mergeCell ref="B11:B13"/>
    <mergeCell ref="C11:C13"/>
    <mergeCell ref="K11:K13"/>
    <mergeCell ref="L11:L13"/>
    <mergeCell ref="M11:M13"/>
    <mergeCell ref="A15:M15"/>
    <mergeCell ref="A16:A17"/>
    <mergeCell ref="B17:M17"/>
    <mergeCell ref="A18:M18"/>
    <mergeCell ref="A19:A20"/>
    <mergeCell ref="B20:M20"/>
    <mergeCell ref="A21:M21"/>
    <mergeCell ref="A22:A23"/>
    <mergeCell ref="B23:M23"/>
    <mergeCell ref="A24:M24"/>
    <mergeCell ref="A25:A29"/>
    <mergeCell ref="B25:B28"/>
    <mergeCell ref="C25:C28"/>
    <mergeCell ref="K25:K28"/>
    <mergeCell ref="L25:L28"/>
    <mergeCell ref="M25:M28"/>
    <mergeCell ref="B29:M29"/>
    <mergeCell ref="A36:M36"/>
    <mergeCell ref="A37:A40"/>
    <mergeCell ref="B37:B39"/>
    <mergeCell ref="C37:C39"/>
    <mergeCell ref="K37:K39"/>
    <mergeCell ref="L37:L39"/>
    <mergeCell ref="M37:M39"/>
    <mergeCell ref="B40:M40"/>
  </mergeCells>
  <pageMargins left="0.23622047244094491" right="0.23622047244094491" top="0.55118110236220474" bottom="0.55118110236220474" header="0.31496062992125984" footer="0.31496062992125984"/>
  <pageSetup paperSize="9" scale="79"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1"/>
  <sheetViews>
    <sheetView rightToLeft="1" zoomScaleNormal="100" zoomScaleSheetLayoutView="75" workbookViewId="0">
      <pane ySplit="6" topLeftCell="A7" activePane="bottomLeft" state="frozen"/>
      <selection pane="bottomLeft" activeCell="B8" sqref="B8"/>
    </sheetView>
  </sheetViews>
  <sheetFormatPr defaultColWidth="8.69921875" defaultRowHeight="15" x14ac:dyDescent="0.25"/>
  <cols>
    <col min="1" max="1" width="4.19921875" customWidth="1"/>
    <col min="2" max="2" width="21.09765625" style="10" bestFit="1" customWidth="1"/>
    <col min="4" max="4" width="10.19921875" customWidth="1"/>
    <col min="5" max="5" width="7.69921875" customWidth="1"/>
    <col min="6" max="6" width="10.19921875" bestFit="1" customWidth="1"/>
    <col min="7" max="7" width="12.09765625" style="11" bestFit="1" customWidth="1"/>
    <col min="8" max="8" width="13.59765625" style="12" bestFit="1" customWidth="1"/>
    <col min="9" max="9" width="14.59765625" style="12" bestFit="1" customWidth="1"/>
    <col min="10" max="10" width="9" customWidth="1"/>
    <col min="11" max="11" width="23.59765625" style="13" customWidth="1"/>
    <col min="12" max="12" width="13.5" style="14" customWidth="1"/>
    <col min="13" max="13" width="16.5" style="15" customWidth="1"/>
  </cols>
  <sheetData>
    <row r="1" spans="1:13" ht="21" x14ac:dyDescent="0.25">
      <c r="A1" s="254"/>
      <c r="B1" s="255" t="s">
        <v>620</v>
      </c>
      <c r="C1" s="255"/>
      <c r="D1" s="255"/>
      <c r="E1" s="255"/>
      <c r="F1" s="255"/>
      <c r="G1" s="255"/>
      <c r="H1" s="255"/>
      <c r="I1" s="255"/>
      <c r="J1" s="255"/>
      <c r="K1" s="255"/>
      <c r="L1" s="255"/>
      <c r="M1" s="255"/>
    </row>
    <row r="2" spans="1:13" ht="29.4" customHeight="1" x14ac:dyDescent="0.25">
      <c r="A2" s="254"/>
      <c r="B2" s="256" t="s">
        <v>0</v>
      </c>
      <c r="C2" s="256"/>
      <c r="D2" s="256"/>
      <c r="E2" s="256"/>
      <c r="F2" s="256"/>
      <c r="G2" s="256"/>
      <c r="H2" s="256"/>
      <c r="I2" s="256"/>
      <c r="J2" s="256"/>
      <c r="K2" s="256"/>
      <c r="L2" s="256"/>
      <c r="M2" s="256"/>
    </row>
    <row r="3" spans="1:13" ht="15.6" x14ac:dyDescent="0.25">
      <c r="A3" s="254"/>
      <c r="B3" s="257" t="s">
        <v>78</v>
      </c>
      <c r="C3" s="257"/>
      <c r="D3" s="257"/>
      <c r="E3" s="257"/>
      <c r="F3" s="257"/>
      <c r="G3" s="257"/>
      <c r="H3" s="257"/>
      <c r="I3" s="257"/>
      <c r="J3" s="257"/>
      <c r="K3" s="257"/>
      <c r="L3" s="257"/>
      <c r="M3" s="257"/>
    </row>
    <row r="4" spans="1:13" ht="13.8" x14ac:dyDescent="0.25">
      <c r="A4" s="254"/>
      <c r="B4" s="258"/>
      <c r="C4" s="258"/>
      <c r="D4" s="258"/>
      <c r="E4" s="258"/>
      <c r="F4" s="258"/>
      <c r="G4" s="258"/>
      <c r="H4" s="258"/>
      <c r="I4" s="258"/>
      <c r="J4" s="258"/>
      <c r="K4" s="258"/>
      <c r="L4" s="258"/>
      <c r="M4" s="258"/>
    </row>
    <row r="5" spans="1:13" ht="13.8" x14ac:dyDescent="0.25">
      <c r="A5" s="254"/>
      <c r="B5" s="258"/>
      <c r="C5" s="258"/>
      <c r="D5" s="258"/>
      <c r="E5" s="258"/>
      <c r="F5" s="258"/>
      <c r="G5" s="258"/>
      <c r="H5" s="258"/>
      <c r="I5" s="258"/>
      <c r="J5" s="258"/>
      <c r="K5" s="258"/>
      <c r="L5" s="258"/>
      <c r="M5" s="258"/>
    </row>
    <row r="6" spans="1:13" ht="46.8" x14ac:dyDescent="0.25">
      <c r="A6" s="254"/>
      <c r="B6" s="1" t="s">
        <v>3</v>
      </c>
      <c r="C6" s="2" t="s">
        <v>4</v>
      </c>
      <c r="D6" s="3" t="s">
        <v>5</v>
      </c>
      <c r="E6" s="3" t="s">
        <v>6</v>
      </c>
      <c r="F6" s="3" t="s">
        <v>7</v>
      </c>
      <c r="G6" s="3" t="s">
        <v>8</v>
      </c>
      <c r="H6" s="4" t="s">
        <v>9</v>
      </c>
      <c r="I6" s="5" t="s">
        <v>10</v>
      </c>
      <c r="J6" s="3" t="s">
        <v>11</v>
      </c>
      <c r="K6" s="3" t="s">
        <v>12</v>
      </c>
      <c r="L6" s="6" t="s">
        <v>13</v>
      </c>
      <c r="M6" s="3" t="s">
        <v>14</v>
      </c>
    </row>
    <row r="7" spans="1:13" ht="15.6" x14ac:dyDescent="0.25">
      <c r="A7" s="251" t="s">
        <v>536</v>
      </c>
      <c r="B7" s="252"/>
      <c r="C7" s="252"/>
      <c r="D7" s="252"/>
      <c r="E7" s="252"/>
      <c r="F7" s="252"/>
      <c r="G7" s="252"/>
      <c r="H7" s="252"/>
      <c r="I7" s="252"/>
      <c r="J7" s="252"/>
      <c r="K7" s="252"/>
      <c r="L7" s="252"/>
      <c r="M7" s="253"/>
    </row>
    <row r="8" spans="1:13" ht="52.8" x14ac:dyDescent="0.25">
      <c r="A8" s="290">
        <v>1</v>
      </c>
      <c r="B8" s="91" t="s">
        <v>406</v>
      </c>
      <c r="C8" s="91" t="s">
        <v>407</v>
      </c>
      <c r="D8" s="22" t="s">
        <v>408</v>
      </c>
      <c r="E8" s="23">
        <v>100</v>
      </c>
      <c r="F8" s="24" t="s">
        <v>409</v>
      </c>
      <c r="G8" s="24" t="s">
        <v>575</v>
      </c>
      <c r="H8" s="24">
        <f>17000*117/100</f>
        <v>19890</v>
      </c>
      <c r="I8" s="24">
        <f>H8*2</f>
        <v>39780</v>
      </c>
      <c r="J8" s="22" t="s">
        <v>16</v>
      </c>
      <c r="K8" s="112" t="s">
        <v>46</v>
      </c>
      <c r="L8" s="90"/>
      <c r="M8" s="92">
        <v>746780</v>
      </c>
    </row>
    <row r="9" spans="1:13" ht="14.25" customHeight="1" x14ac:dyDescent="0.25">
      <c r="A9" s="289"/>
      <c r="B9" s="248" t="s">
        <v>537</v>
      </c>
      <c r="C9" s="249"/>
      <c r="D9" s="249"/>
      <c r="E9" s="249"/>
      <c r="F9" s="249"/>
      <c r="G9" s="249"/>
      <c r="H9" s="249"/>
      <c r="I9" s="249"/>
      <c r="J9" s="249"/>
      <c r="K9" s="249"/>
      <c r="L9" s="249"/>
      <c r="M9" s="250"/>
    </row>
    <row r="10" spans="1:13" ht="15.6" x14ac:dyDescent="0.25">
      <c r="A10" s="251" t="s">
        <v>538</v>
      </c>
      <c r="B10" s="252"/>
      <c r="C10" s="252"/>
      <c r="D10" s="252"/>
      <c r="E10" s="252"/>
      <c r="F10" s="252"/>
      <c r="G10" s="252"/>
      <c r="H10" s="252"/>
      <c r="I10" s="252"/>
      <c r="J10" s="252"/>
      <c r="K10" s="252"/>
      <c r="L10" s="252"/>
      <c r="M10" s="253"/>
    </row>
    <row r="11" spans="1:13" ht="26.4" x14ac:dyDescent="0.25">
      <c r="A11" s="259">
        <v>2</v>
      </c>
      <c r="B11" s="261" t="s">
        <v>539</v>
      </c>
      <c r="C11" s="261" t="s">
        <v>540</v>
      </c>
      <c r="D11" s="22" t="s">
        <v>617</v>
      </c>
      <c r="E11" s="23">
        <v>85</v>
      </c>
      <c r="F11" s="24" t="s">
        <v>15</v>
      </c>
      <c r="G11" s="24" t="s">
        <v>541</v>
      </c>
      <c r="H11" s="24">
        <f>282*117/100</f>
        <v>329.94</v>
      </c>
      <c r="I11" s="24">
        <f>H11*25</f>
        <v>8248.5</v>
      </c>
      <c r="J11" s="22" t="s">
        <v>16</v>
      </c>
      <c r="K11" s="262" t="s">
        <v>45</v>
      </c>
      <c r="L11" s="263" t="s">
        <v>48</v>
      </c>
      <c r="M11" s="247">
        <v>1731000752</v>
      </c>
    </row>
    <row r="12" spans="1:13" ht="13.8" x14ac:dyDescent="0.25">
      <c r="A12" s="259"/>
      <c r="B12" s="261"/>
      <c r="C12" s="261"/>
      <c r="D12" s="93" t="s">
        <v>402</v>
      </c>
      <c r="E12" s="7">
        <v>84</v>
      </c>
      <c r="F12" s="16" t="s">
        <v>15</v>
      </c>
      <c r="G12" s="8" t="s">
        <v>541</v>
      </c>
      <c r="H12" s="8">
        <f>285*117/100</f>
        <v>333.45</v>
      </c>
      <c r="I12" s="16">
        <f t="shared" ref="I12:I14" si="0">H12*25</f>
        <v>8336.25</v>
      </c>
      <c r="J12" s="93" t="s">
        <v>16</v>
      </c>
      <c r="K12" s="262"/>
      <c r="L12" s="263"/>
      <c r="M12" s="247"/>
    </row>
    <row r="13" spans="1:13" ht="13.8" x14ac:dyDescent="0.25">
      <c r="A13" s="259"/>
      <c r="B13" s="261"/>
      <c r="C13" s="261"/>
      <c r="D13" s="93" t="s">
        <v>542</v>
      </c>
      <c r="E13" s="7">
        <v>82</v>
      </c>
      <c r="F13" s="16" t="s">
        <v>15</v>
      </c>
      <c r="G13" s="8" t="s">
        <v>541</v>
      </c>
      <c r="H13" s="8">
        <f>220*117/100</f>
        <v>257.39999999999998</v>
      </c>
      <c r="I13" s="16">
        <f t="shared" si="0"/>
        <v>6434.9999999999991</v>
      </c>
      <c r="J13" s="93" t="s">
        <v>16</v>
      </c>
      <c r="K13" s="262"/>
      <c r="L13" s="263"/>
      <c r="M13" s="247"/>
    </row>
    <row r="14" spans="1:13" ht="13.8" x14ac:dyDescent="0.25">
      <c r="A14" s="259"/>
      <c r="B14" s="261"/>
      <c r="C14" s="261"/>
      <c r="D14" s="93" t="s">
        <v>543</v>
      </c>
      <c r="E14" s="7">
        <v>64</v>
      </c>
      <c r="F14" s="16" t="s">
        <v>15</v>
      </c>
      <c r="G14" s="8" t="s">
        <v>541</v>
      </c>
      <c r="H14" s="8">
        <f>450*117/100</f>
        <v>526.5</v>
      </c>
      <c r="I14" s="16">
        <f t="shared" si="0"/>
        <v>13162.5</v>
      </c>
      <c r="J14" s="93" t="s">
        <v>16</v>
      </c>
      <c r="K14" s="262"/>
      <c r="L14" s="263"/>
      <c r="M14" s="247"/>
    </row>
    <row r="15" spans="1:13" ht="13.8" x14ac:dyDescent="0.25">
      <c r="A15" s="260"/>
      <c r="B15" s="248"/>
      <c r="C15" s="249"/>
      <c r="D15" s="249"/>
      <c r="E15" s="249"/>
      <c r="F15" s="249"/>
      <c r="G15" s="249"/>
      <c r="H15" s="249"/>
      <c r="I15" s="249"/>
      <c r="J15" s="249"/>
      <c r="K15" s="249"/>
      <c r="L15" s="249"/>
      <c r="M15" s="250"/>
    </row>
    <row r="16" spans="1:13" ht="15.6" x14ac:dyDescent="0.25">
      <c r="A16" s="251" t="s">
        <v>545</v>
      </c>
      <c r="B16" s="252"/>
      <c r="C16" s="252"/>
      <c r="D16" s="252"/>
      <c r="E16" s="252"/>
      <c r="F16" s="252"/>
      <c r="G16" s="252"/>
      <c r="H16" s="252"/>
      <c r="I16" s="252"/>
      <c r="J16" s="252"/>
      <c r="K16" s="252"/>
      <c r="L16" s="252"/>
      <c r="M16" s="253"/>
    </row>
    <row r="17" spans="1:13" ht="39.6" x14ac:dyDescent="0.25">
      <c r="A17" s="264">
        <v>3</v>
      </c>
      <c r="B17" s="265" t="s">
        <v>578</v>
      </c>
      <c r="C17" s="265" t="s">
        <v>540</v>
      </c>
      <c r="D17" s="17" t="s">
        <v>580</v>
      </c>
      <c r="E17" s="23">
        <v>100</v>
      </c>
      <c r="F17" s="24" t="s">
        <v>205</v>
      </c>
      <c r="G17" s="24" t="s">
        <v>579</v>
      </c>
      <c r="H17" s="24">
        <f>1800*117/100</f>
        <v>2106</v>
      </c>
      <c r="I17" s="24">
        <f>H17*60</f>
        <v>126360</v>
      </c>
      <c r="J17" s="22" t="s">
        <v>16</v>
      </c>
      <c r="K17" s="262" t="s">
        <v>621</v>
      </c>
      <c r="L17" s="266"/>
      <c r="M17" s="267" t="s">
        <v>229</v>
      </c>
    </row>
    <row r="18" spans="1:13" ht="26.4" x14ac:dyDescent="0.25">
      <c r="A18" s="259"/>
      <c r="B18" s="261"/>
      <c r="C18" s="261"/>
      <c r="D18" s="99" t="s">
        <v>581</v>
      </c>
      <c r="E18" s="7">
        <v>80</v>
      </c>
      <c r="F18" s="8" t="s">
        <v>205</v>
      </c>
      <c r="G18" s="16" t="s">
        <v>579</v>
      </c>
      <c r="H18" s="16">
        <f>2500*117/100</f>
        <v>2925</v>
      </c>
      <c r="I18" s="16">
        <f>H18*60</f>
        <v>175500</v>
      </c>
      <c r="J18" s="104" t="s">
        <v>16</v>
      </c>
      <c r="K18" s="262"/>
      <c r="L18" s="263"/>
      <c r="M18" s="247"/>
    </row>
    <row r="19" spans="1:13" ht="14.25" customHeight="1" x14ac:dyDescent="0.25">
      <c r="A19" s="259"/>
      <c r="B19" s="261"/>
      <c r="C19" s="261"/>
      <c r="D19" s="80" t="s">
        <v>582</v>
      </c>
      <c r="E19" s="81">
        <v>63</v>
      </c>
      <c r="F19" s="8" t="s">
        <v>205</v>
      </c>
      <c r="G19" s="16" t="s">
        <v>579</v>
      </c>
      <c r="H19" s="16">
        <f>3800*117/100</f>
        <v>4446</v>
      </c>
      <c r="I19" s="16">
        <f>H19*60</f>
        <v>266760</v>
      </c>
      <c r="J19" s="104" t="s">
        <v>16</v>
      </c>
      <c r="K19" s="262"/>
      <c r="L19" s="263"/>
      <c r="M19" s="247"/>
    </row>
    <row r="20" spans="1:13" ht="14.25" customHeight="1" x14ac:dyDescent="0.25">
      <c r="A20" s="260"/>
      <c r="B20" s="248" t="s">
        <v>584</v>
      </c>
      <c r="C20" s="249"/>
      <c r="D20" s="249"/>
      <c r="E20" s="249"/>
      <c r="F20" s="249"/>
      <c r="G20" s="249"/>
      <c r="H20" s="249"/>
      <c r="I20" s="249"/>
      <c r="J20" s="249"/>
      <c r="K20" s="249"/>
      <c r="L20" s="249"/>
      <c r="M20" s="250"/>
    </row>
    <row r="21" spans="1:13" ht="15.6" x14ac:dyDescent="0.25">
      <c r="A21" s="251" t="s">
        <v>549</v>
      </c>
      <c r="B21" s="252"/>
      <c r="C21" s="252"/>
      <c r="D21" s="252"/>
      <c r="E21" s="252"/>
      <c r="F21" s="252"/>
      <c r="G21" s="252"/>
      <c r="H21" s="252"/>
      <c r="I21" s="252"/>
      <c r="J21" s="252"/>
      <c r="K21" s="252"/>
      <c r="L21" s="252"/>
      <c r="M21" s="253"/>
    </row>
    <row r="22" spans="1:13" ht="51" x14ac:dyDescent="0.25">
      <c r="A22" s="264">
        <v>4</v>
      </c>
      <c r="B22" s="100" t="s">
        <v>544</v>
      </c>
      <c r="C22" s="103" t="s">
        <v>546</v>
      </c>
      <c r="D22" s="22" t="s">
        <v>402</v>
      </c>
      <c r="E22" s="23">
        <v>100</v>
      </c>
      <c r="F22" s="24" t="s">
        <v>15</v>
      </c>
      <c r="G22" s="24" t="s">
        <v>547</v>
      </c>
      <c r="H22" s="24">
        <f>99*117/100</f>
        <v>115.83</v>
      </c>
      <c r="I22" s="24">
        <f>H22*100*3</f>
        <v>34749</v>
      </c>
      <c r="J22" s="22" t="s">
        <v>16</v>
      </c>
      <c r="K22" s="112" t="s">
        <v>46</v>
      </c>
      <c r="L22" s="101" t="s">
        <v>48</v>
      </c>
      <c r="M22" s="102">
        <v>1731000750</v>
      </c>
    </row>
    <row r="23" spans="1:13" ht="14.25" customHeight="1" x14ac:dyDescent="0.25">
      <c r="A23" s="260"/>
      <c r="B23" s="248" t="s">
        <v>548</v>
      </c>
      <c r="C23" s="249"/>
      <c r="D23" s="249"/>
      <c r="E23" s="249"/>
      <c r="F23" s="249"/>
      <c r="G23" s="249"/>
      <c r="H23" s="249"/>
      <c r="I23" s="249"/>
      <c r="J23" s="249"/>
      <c r="K23" s="249"/>
      <c r="L23" s="249"/>
      <c r="M23" s="250"/>
    </row>
    <row r="24" spans="1:13" ht="15.6" x14ac:dyDescent="0.25">
      <c r="A24" s="251" t="s">
        <v>555</v>
      </c>
      <c r="B24" s="252"/>
      <c r="C24" s="252"/>
      <c r="D24" s="252"/>
      <c r="E24" s="252"/>
      <c r="F24" s="252"/>
      <c r="G24" s="252"/>
      <c r="H24" s="252"/>
      <c r="I24" s="252"/>
      <c r="J24" s="252"/>
      <c r="K24" s="252"/>
      <c r="L24" s="252"/>
      <c r="M24" s="253"/>
    </row>
    <row r="25" spans="1:13" ht="27.6" x14ac:dyDescent="0.25">
      <c r="A25" s="259">
        <v>5</v>
      </c>
      <c r="B25" s="261" t="s">
        <v>556</v>
      </c>
      <c r="C25" s="261" t="s">
        <v>18</v>
      </c>
      <c r="D25" s="67" t="s">
        <v>550</v>
      </c>
      <c r="E25" s="65">
        <v>100</v>
      </c>
      <c r="F25" s="66" t="s">
        <v>17</v>
      </c>
      <c r="G25" s="66" t="s">
        <v>551</v>
      </c>
      <c r="H25" s="114">
        <v>0.03</v>
      </c>
      <c r="I25" s="66">
        <f>H25*3800000*117/100</f>
        <v>133380</v>
      </c>
      <c r="J25" s="67" t="s">
        <v>16</v>
      </c>
      <c r="K25" s="262" t="s">
        <v>618</v>
      </c>
      <c r="L25" s="263" t="s">
        <v>48</v>
      </c>
      <c r="M25" s="247" t="s">
        <v>554</v>
      </c>
    </row>
    <row r="26" spans="1:13" ht="26.4" x14ac:dyDescent="0.25">
      <c r="A26" s="259"/>
      <c r="B26" s="261"/>
      <c r="C26" s="261"/>
      <c r="D26" s="73" t="s">
        <v>302</v>
      </c>
      <c r="E26" s="74">
        <v>77</v>
      </c>
      <c r="F26" s="8" t="s">
        <v>17</v>
      </c>
      <c r="G26" s="8" t="s">
        <v>551</v>
      </c>
      <c r="H26" s="72">
        <v>4.4999999999999998E-2</v>
      </c>
      <c r="I26" s="8">
        <f t="shared" ref="I26:I29" si="1">H26*3800000*117/100</f>
        <v>200070</v>
      </c>
      <c r="J26" s="73" t="s">
        <v>16</v>
      </c>
      <c r="K26" s="262"/>
      <c r="L26" s="263"/>
      <c r="M26" s="247"/>
    </row>
    <row r="27" spans="1:13" ht="26.4" x14ac:dyDescent="0.25">
      <c r="A27" s="259"/>
      <c r="B27" s="261"/>
      <c r="C27" s="261"/>
      <c r="D27" s="73" t="s">
        <v>552</v>
      </c>
      <c r="E27" s="74">
        <v>72</v>
      </c>
      <c r="F27" s="8" t="s">
        <v>17</v>
      </c>
      <c r="G27" s="8" t="s">
        <v>551</v>
      </c>
      <c r="H27" s="72">
        <v>4.9500000000000002E-2</v>
      </c>
      <c r="I27" s="8">
        <f t="shared" si="1"/>
        <v>220077</v>
      </c>
      <c r="J27" s="73" t="s">
        <v>16</v>
      </c>
      <c r="K27" s="262"/>
      <c r="L27" s="263"/>
      <c r="M27" s="247"/>
    </row>
    <row r="28" spans="1:13" ht="26.4" x14ac:dyDescent="0.25">
      <c r="A28" s="259"/>
      <c r="B28" s="261"/>
      <c r="C28" s="261"/>
      <c r="D28" s="73" t="s">
        <v>305</v>
      </c>
      <c r="E28" s="74">
        <v>55</v>
      </c>
      <c r="F28" s="8" t="s">
        <v>17</v>
      </c>
      <c r="G28" s="8" t="s">
        <v>551</v>
      </c>
      <c r="H28" s="72">
        <v>8.5000000000000006E-2</v>
      </c>
      <c r="I28" s="8">
        <f t="shared" si="1"/>
        <v>377910</v>
      </c>
      <c r="J28" s="73"/>
      <c r="K28" s="262"/>
      <c r="L28" s="263"/>
      <c r="M28" s="247"/>
    </row>
    <row r="29" spans="1:13" ht="26.4" x14ac:dyDescent="0.25">
      <c r="A29" s="259"/>
      <c r="B29" s="261"/>
      <c r="C29" s="261"/>
      <c r="D29" s="73" t="s">
        <v>553</v>
      </c>
      <c r="E29" s="74">
        <v>51</v>
      </c>
      <c r="F29" s="8" t="s">
        <v>17</v>
      </c>
      <c r="G29" s="8" t="s">
        <v>551</v>
      </c>
      <c r="H29" s="72">
        <v>0.1</v>
      </c>
      <c r="I29" s="8">
        <f t="shared" si="1"/>
        <v>444600</v>
      </c>
      <c r="J29" s="73"/>
      <c r="K29" s="262"/>
      <c r="L29" s="263"/>
      <c r="M29" s="247"/>
    </row>
    <row r="30" spans="1:13" ht="13.8" x14ac:dyDescent="0.25">
      <c r="A30" s="260"/>
      <c r="B30" s="248"/>
      <c r="C30" s="249"/>
      <c r="D30" s="249"/>
      <c r="E30" s="249"/>
      <c r="F30" s="249"/>
      <c r="G30" s="249"/>
      <c r="H30" s="249"/>
      <c r="I30" s="249"/>
      <c r="J30" s="249"/>
      <c r="K30" s="249"/>
      <c r="L30" s="249"/>
      <c r="M30" s="250"/>
    </row>
    <row r="31" spans="1:13" ht="15.6" x14ac:dyDescent="0.25">
      <c r="A31" s="251" t="s">
        <v>576</v>
      </c>
      <c r="B31" s="252"/>
      <c r="C31" s="252"/>
      <c r="D31" s="252"/>
      <c r="E31" s="252"/>
      <c r="F31" s="252"/>
      <c r="G31" s="252"/>
      <c r="H31" s="252"/>
      <c r="I31" s="252"/>
      <c r="J31" s="252"/>
      <c r="K31" s="252"/>
      <c r="L31" s="252"/>
      <c r="M31" s="253"/>
    </row>
    <row r="32" spans="1:13" ht="27.6" x14ac:dyDescent="0.25">
      <c r="A32" s="259">
        <v>6</v>
      </c>
      <c r="B32" s="261" t="s">
        <v>597</v>
      </c>
      <c r="C32" s="261" t="s">
        <v>18</v>
      </c>
      <c r="D32" s="67" t="s">
        <v>550</v>
      </c>
      <c r="E32" s="65">
        <v>100</v>
      </c>
      <c r="F32" s="66" t="s">
        <v>17</v>
      </c>
      <c r="G32" s="66" t="s">
        <v>557</v>
      </c>
      <c r="H32" s="114">
        <v>0.03</v>
      </c>
      <c r="I32" s="66">
        <f>H32*7000000*117/100</f>
        <v>245700</v>
      </c>
      <c r="J32" s="67" t="s">
        <v>16</v>
      </c>
      <c r="K32" s="262" t="s">
        <v>618</v>
      </c>
      <c r="L32" s="263" t="s">
        <v>48</v>
      </c>
      <c r="M32" s="247" t="s">
        <v>612</v>
      </c>
    </row>
    <row r="33" spans="1:13" ht="26.4" x14ac:dyDescent="0.25">
      <c r="A33" s="259"/>
      <c r="B33" s="261"/>
      <c r="C33" s="261"/>
      <c r="D33" s="73" t="s">
        <v>302</v>
      </c>
      <c r="E33" s="74">
        <v>84</v>
      </c>
      <c r="F33" s="8" t="s">
        <v>17</v>
      </c>
      <c r="G33" s="8" t="s">
        <v>557</v>
      </c>
      <c r="H33" s="72">
        <v>3.8899999999999997E-2</v>
      </c>
      <c r="I33" s="8">
        <f t="shared" ref="I33:I36" si="2">H33*7000000*117/100</f>
        <v>318591</v>
      </c>
      <c r="J33" s="73" t="s">
        <v>16</v>
      </c>
      <c r="K33" s="262"/>
      <c r="L33" s="263"/>
      <c r="M33" s="247"/>
    </row>
    <row r="34" spans="1:13" ht="26.4" x14ac:dyDescent="0.25">
      <c r="A34" s="259"/>
      <c r="B34" s="261"/>
      <c r="C34" s="261"/>
      <c r="D34" s="73" t="s">
        <v>552</v>
      </c>
      <c r="E34" s="74">
        <v>72</v>
      </c>
      <c r="F34" s="8" t="s">
        <v>17</v>
      </c>
      <c r="G34" s="8" t="s">
        <v>557</v>
      </c>
      <c r="H34" s="72">
        <v>4.9500000000000002E-2</v>
      </c>
      <c r="I34" s="8">
        <f t="shared" si="2"/>
        <v>405405</v>
      </c>
      <c r="J34" s="73" t="s">
        <v>16</v>
      </c>
      <c r="K34" s="262"/>
      <c r="L34" s="263"/>
      <c r="M34" s="247"/>
    </row>
    <row r="35" spans="1:13" ht="26.4" x14ac:dyDescent="0.25">
      <c r="A35" s="259"/>
      <c r="B35" s="261"/>
      <c r="C35" s="261"/>
      <c r="D35" s="73" t="s">
        <v>305</v>
      </c>
      <c r="E35" s="74">
        <v>55</v>
      </c>
      <c r="F35" s="8" t="s">
        <v>17</v>
      </c>
      <c r="G35" s="8" t="s">
        <v>557</v>
      </c>
      <c r="H35" s="72">
        <v>8.5000000000000006E-2</v>
      </c>
      <c r="I35" s="8">
        <f t="shared" si="2"/>
        <v>696150</v>
      </c>
      <c r="J35" s="73"/>
      <c r="K35" s="262"/>
      <c r="L35" s="263"/>
      <c r="M35" s="247"/>
    </row>
    <row r="36" spans="1:13" ht="26.4" x14ac:dyDescent="0.25">
      <c r="A36" s="259"/>
      <c r="B36" s="261"/>
      <c r="C36" s="261"/>
      <c r="D36" s="73" t="s">
        <v>553</v>
      </c>
      <c r="E36" s="74">
        <v>51</v>
      </c>
      <c r="F36" s="8" t="s">
        <v>17</v>
      </c>
      <c r="G36" s="8" t="s">
        <v>557</v>
      </c>
      <c r="H36" s="72">
        <v>0.1</v>
      </c>
      <c r="I36" s="8">
        <f t="shared" si="2"/>
        <v>819000</v>
      </c>
      <c r="J36" s="73"/>
      <c r="K36" s="262"/>
      <c r="L36" s="263"/>
      <c r="M36" s="247"/>
    </row>
    <row r="37" spans="1:13" ht="13.8" x14ac:dyDescent="0.25">
      <c r="A37" s="260"/>
      <c r="B37" s="248"/>
      <c r="C37" s="249"/>
      <c r="D37" s="249"/>
      <c r="E37" s="249"/>
      <c r="F37" s="249"/>
      <c r="G37" s="249"/>
      <c r="H37" s="249"/>
      <c r="I37" s="249"/>
      <c r="J37" s="249"/>
      <c r="K37" s="249"/>
      <c r="L37" s="249"/>
      <c r="M37" s="250"/>
    </row>
    <row r="38" spans="1:13" ht="15.6" x14ac:dyDescent="0.25">
      <c r="A38" s="251" t="s">
        <v>179</v>
      </c>
      <c r="B38" s="252"/>
      <c r="C38" s="252"/>
      <c r="D38" s="252"/>
      <c r="E38" s="252"/>
      <c r="F38" s="252"/>
      <c r="G38" s="252"/>
      <c r="H38" s="252"/>
      <c r="I38" s="252"/>
      <c r="J38" s="252"/>
      <c r="K38" s="252"/>
      <c r="L38" s="252"/>
      <c r="M38" s="253"/>
    </row>
    <row r="39" spans="1:13" ht="26.4" x14ac:dyDescent="0.25">
      <c r="A39" s="259">
        <v>7</v>
      </c>
      <c r="B39" s="261" t="s">
        <v>558</v>
      </c>
      <c r="C39" s="261" t="s">
        <v>22</v>
      </c>
      <c r="D39" s="22" t="s">
        <v>559</v>
      </c>
      <c r="E39" s="23">
        <v>100</v>
      </c>
      <c r="F39" s="24" t="s">
        <v>560</v>
      </c>
      <c r="G39" s="24"/>
      <c r="H39" s="115">
        <v>0.1</v>
      </c>
      <c r="I39" s="24"/>
      <c r="J39" s="22" t="s">
        <v>16</v>
      </c>
      <c r="K39" s="262" t="s">
        <v>45</v>
      </c>
      <c r="L39" s="263" t="s">
        <v>48</v>
      </c>
      <c r="M39" s="247"/>
    </row>
    <row r="40" spans="1:13" ht="26.4" x14ac:dyDescent="0.25">
      <c r="A40" s="259"/>
      <c r="B40" s="261"/>
      <c r="C40" s="261"/>
      <c r="D40" s="93" t="s">
        <v>561</v>
      </c>
      <c r="E40" s="7">
        <v>90</v>
      </c>
      <c r="F40" s="16" t="s">
        <v>560</v>
      </c>
      <c r="G40" s="8"/>
      <c r="H40" s="98">
        <v>0.1</v>
      </c>
      <c r="I40" s="8"/>
      <c r="J40" s="93" t="s">
        <v>16</v>
      </c>
      <c r="K40" s="262"/>
      <c r="L40" s="263"/>
      <c r="M40" s="247"/>
    </row>
    <row r="41" spans="1:13" ht="26.4" x14ac:dyDescent="0.25">
      <c r="A41" s="259"/>
      <c r="B41" s="261"/>
      <c r="C41" s="261"/>
      <c r="D41" s="97" t="s">
        <v>562</v>
      </c>
      <c r="E41" s="7">
        <v>90</v>
      </c>
      <c r="F41" s="16" t="s">
        <v>560</v>
      </c>
      <c r="G41" s="8"/>
      <c r="H41" s="98">
        <v>0.1</v>
      </c>
      <c r="I41" s="8"/>
      <c r="J41" s="97" t="s">
        <v>16</v>
      </c>
      <c r="K41" s="262"/>
      <c r="L41" s="263"/>
      <c r="M41" s="247"/>
    </row>
    <row r="42" spans="1:13" ht="26.4" x14ac:dyDescent="0.25">
      <c r="A42" s="259"/>
      <c r="B42" s="261"/>
      <c r="C42" s="261"/>
      <c r="D42" s="93" t="s">
        <v>563</v>
      </c>
      <c r="E42" s="7">
        <v>90</v>
      </c>
      <c r="F42" s="16" t="s">
        <v>560</v>
      </c>
      <c r="G42" s="8"/>
      <c r="H42" s="98">
        <v>0.1</v>
      </c>
      <c r="I42" s="8"/>
      <c r="J42" s="93"/>
      <c r="K42" s="262"/>
      <c r="L42" s="263"/>
      <c r="M42" s="247"/>
    </row>
    <row r="43" spans="1:13" ht="13.8" x14ac:dyDescent="0.25">
      <c r="A43" s="260"/>
      <c r="B43" s="248"/>
      <c r="C43" s="249"/>
      <c r="D43" s="249"/>
      <c r="E43" s="249"/>
      <c r="F43" s="249"/>
      <c r="G43" s="249"/>
      <c r="H43" s="249"/>
      <c r="I43" s="249"/>
      <c r="J43" s="249"/>
      <c r="K43" s="249"/>
      <c r="L43" s="249"/>
      <c r="M43" s="250"/>
    </row>
    <row r="44" spans="1:13" ht="15.6" x14ac:dyDescent="0.25">
      <c r="A44" s="251" t="s">
        <v>566</v>
      </c>
      <c r="B44" s="252"/>
      <c r="C44" s="252"/>
      <c r="D44" s="252"/>
      <c r="E44" s="252"/>
      <c r="F44" s="252"/>
      <c r="G44" s="252"/>
      <c r="H44" s="252"/>
      <c r="I44" s="252"/>
      <c r="J44" s="252"/>
      <c r="K44" s="252"/>
      <c r="L44" s="252"/>
      <c r="M44" s="253"/>
    </row>
    <row r="45" spans="1:13" ht="52.8" x14ac:dyDescent="0.25">
      <c r="A45" s="288">
        <v>8</v>
      </c>
      <c r="B45" s="96" t="s">
        <v>440</v>
      </c>
      <c r="C45" s="96" t="s">
        <v>35</v>
      </c>
      <c r="D45" s="22" t="s">
        <v>441</v>
      </c>
      <c r="E45" s="23">
        <v>100</v>
      </c>
      <c r="F45" s="24" t="s">
        <v>15</v>
      </c>
      <c r="G45" s="24" t="s">
        <v>564</v>
      </c>
      <c r="H45" s="24">
        <v>150</v>
      </c>
      <c r="I45" s="24">
        <f>H45*120*3</f>
        <v>54000</v>
      </c>
      <c r="J45" s="22" t="s">
        <v>16</v>
      </c>
      <c r="K45" s="112" t="s">
        <v>46</v>
      </c>
      <c r="L45" s="95" t="s">
        <v>48</v>
      </c>
    </row>
    <row r="46" spans="1:13" ht="13.8" x14ac:dyDescent="0.25">
      <c r="A46" s="289"/>
      <c r="B46" s="248" t="s">
        <v>565</v>
      </c>
      <c r="C46" s="249"/>
      <c r="D46" s="249"/>
      <c r="E46" s="249"/>
      <c r="F46" s="249"/>
      <c r="G46" s="249"/>
      <c r="H46" s="249"/>
      <c r="I46" s="249"/>
      <c r="J46" s="249"/>
      <c r="K46" s="249"/>
      <c r="L46" s="249"/>
      <c r="M46" s="250"/>
    </row>
    <row r="47" spans="1:13" ht="15.6" x14ac:dyDescent="0.25">
      <c r="A47" s="251" t="s">
        <v>569</v>
      </c>
      <c r="B47" s="252"/>
      <c r="C47" s="252"/>
      <c r="D47" s="252"/>
      <c r="E47" s="252"/>
      <c r="F47" s="252"/>
      <c r="G47" s="252"/>
      <c r="H47" s="252"/>
      <c r="I47" s="252"/>
      <c r="J47" s="252"/>
      <c r="K47" s="252"/>
      <c r="L47" s="252"/>
      <c r="M47" s="253"/>
    </row>
    <row r="48" spans="1:13" ht="52.8" x14ac:dyDescent="0.25">
      <c r="A48" s="288">
        <v>9</v>
      </c>
      <c r="B48" s="96" t="s">
        <v>437</v>
      </c>
      <c r="C48" s="96" t="s">
        <v>35</v>
      </c>
      <c r="D48" s="22" t="s">
        <v>43</v>
      </c>
      <c r="E48" s="23">
        <v>100</v>
      </c>
      <c r="F48" s="24" t="s">
        <v>15</v>
      </c>
      <c r="G48" s="24" t="s">
        <v>567</v>
      </c>
      <c r="H48" s="24">
        <f>200*117/100</f>
        <v>234</v>
      </c>
      <c r="I48" s="24">
        <f>H48*100*3</f>
        <v>70200</v>
      </c>
      <c r="J48" s="22" t="s">
        <v>16</v>
      </c>
      <c r="K48" s="112" t="s">
        <v>46</v>
      </c>
      <c r="L48" s="95" t="s">
        <v>48</v>
      </c>
      <c r="M48" s="21"/>
    </row>
    <row r="49" spans="1:13" ht="14.25" customHeight="1" x14ac:dyDescent="0.25">
      <c r="A49" s="289"/>
      <c r="B49" s="248" t="s">
        <v>568</v>
      </c>
      <c r="C49" s="249"/>
      <c r="D49" s="249"/>
      <c r="E49" s="249"/>
      <c r="F49" s="249"/>
      <c r="G49" s="249"/>
      <c r="H49" s="249"/>
      <c r="I49" s="249"/>
      <c r="J49" s="249"/>
      <c r="K49" s="249"/>
      <c r="L49" s="249"/>
      <c r="M49" s="250"/>
    </row>
    <row r="50" spans="1:13" ht="15.6" x14ac:dyDescent="0.25">
      <c r="A50" s="251" t="s">
        <v>577</v>
      </c>
      <c r="B50" s="252"/>
      <c r="C50" s="252"/>
      <c r="D50" s="252"/>
      <c r="E50" s="252"/>
      <c r="F50" s="252"/>
      <c r="G50" s="252"/>
      <c r="H50" s="252"/>
      <c r="I50" s="252"/>
      <c r="J50" s="252"/>
      <c r="K50" s="252"/>
      <c r="L50" s="252"/>
      <c r="M50" s="253"/>
    </row>
    <row r="51" spans="1:13" ht="14.25" customHeight="1" x14ac:dyDescent="0.25">
      <c r="A51" s="264">
        <v>10</v>
      </c>
      <c r="B51" s="265" t="s">
        <v>570</v>
      </c>
      <c r="C51" s="265" t="s">
        <v>19</v>
      </c>
      <c r="D51" s="17" t="s">
        <v>183</v>
      </c>
      <c r="E51" s="23">
        <v>96</v>
      </c>
      <c r="F51" s="24" t="s">
        <v>15</v>
      </c>
      <c r="G51" s="24" t="s">
        <v>161</v>
      </c>
      <c r="H51" s="24">
        <f>250*117/100</f>
        <v>292.5</v>
      </c>
      <c r="I51" s="24">
        <f t="shared" ref="I51:I54" si="3">H51*200</f>
        <v>58500</v>
      </c>
      <c r="J51" s="22" t="s">
        <v>16</v>
      </c>
      <c r="K51" s="262" t="s">
        <v>45</v>
      </c>
      <c r="L51" s="266" t="s">
        <v>48</v>
      </c>
      <c r="M51" s="267" t="s">
        <v>613</v>
      </c>
    </row>
    <row r="52" spans="1:13" ht="13.8" x14ac:dyDescent="0.25">
      <c r="A52" s="259"/>
      <c r="B52" s="261"/>
      <c r="C52" s="261"/>
      <c r="D52" s="94" t="s">
        <v>127</v>
      </c>
      <c r="E52" s="7">
        <v>88</v>
      </c>
      <c r="F52" s="8" t="s">
        <v>15</v>
      </c>
      <c r="G52" s="16" t="s">
        <v>161</v>
      </c>
      <c r="H52" s="16">
        <f>235*117/100</f>
        <v>274.95</v>
      </c>
      <c r="I52" s="16">
        <f t="shared" si="3"/>
        <v>54990</v>
      </c>
      <c r="J52" s="97" t="s">
        <v>16</v>
      </c>
      <c r="K52" s="262"/>
      <c r="L52" s="263"/>
      <c r="M52" s="247"/>
    </row>
    <row r="53" spans="1:13" ht="14.25" customHeight="1" x14ac:dyDescent="0.25">
      <c r="A53" s="259"/>
      <c r="B53" s="261"/>
      <c r="C53" s="261"/>
      <c r="D53" s="80" t="s">
        <v>571</v>
      </c>
      <c r="E53" s="81">
        <v>75</v>
      </c>
      <c r="F53" s="8" t="s">
        <v>15</v>
      </c>
      <c r="G53" s="16" t="s">
        <v>161</v>
      </c>
      <c r="H53" s="16">
        <f>290*117/100</f>
        <v>339.3</v>
      </c>
      <c r="I53" s="16">
        <f t="shared" si="3"/>
        <v>67860</v>
      </c>
      <c r="J53" s="97" t="s">
        <v>16</v>
      </c>
      <c r="K53" s="262"/>
      <c r="L53" s="263"/>
      <c r="M53" s="247"/>
    </row>
    <row r="54" spans="1:13" ht="13.8" x14ac:dyDescent="0.25">
      <c r="A54" s="259"/>
      <c r="B54" s="261"/>
      <c r="C54" s="261"/>
      <c r="D54" s="80" t="s">
        <v>572</v>
      </c>
      <c r="E54" s="81">
        <v>75</v>
      </c>
      <c r="F54" s="8" t="s">
        <v>15</v>
      </c>
      <c r="G54" s="16" t="s">
        <v>161</v>
      </c>
      <c r="H54" s="16">
        <f>324*117/100</f>
        <v>379.08</v>
      </c>
      <c r="I54" s="16">
        <f t="shared" si="3"/>
        <v>75816</v>
      </c>
      <c r="J54" s="97" t="s">
        <v>16</v>
      </c>
      <c r="K54" s="262"/>
      <c r="L54" s="263"/>
      <c r="M54" s="247"/>
    </row>
    <row r="55" spans="1:13" ht="13.8" x14ac:dyDescent="0.25">
      <c r="A55" s="259"/>
      <c r="B55" s="261"/>
      <c r="C55" s="261"/>
      <c r="D55" s="80" t="s">
        <v>573</v>
      </c>
      <c r="E55" s="81">
        <v>73</v>
      </c>
      <c r="F55" s="8" t="s">
        <v>15</v>
      </c>
      <c r="G55" s="16" t="s">
        <v>161</v>
      </c>
      <c r="H55" s="16">
        <f>300*117/100</f>
        <v>351</v>
      </c>
      <c r="I55" s="16">
        <f>H55*200</f>
        <v>70200</v>
      </c>
      <c r="J55" s="97" t="s">
        <v>16</v>
      </c>
      <c r="K55" s="262"/>
      <c r="L55" s="263"/>
      <c r="M55" s="247"/>
    </row>
    <row r="56" spans="1:13" ht="14.25" customHeight="1" x14ac:dyDescent="0.25">
      <c r="A56" s="260"/>
      <c r="B56" s="248"/>
      <c r="C56" s="249"/>
      <c r="D56" s="249"/>
      <c r="E56" s="249"/>
      <c r="F56" s="249"/>
      <c r="G56" s="249"/>
      <c r="H56" s="249"/>
      <c r="I56" s="249"/>
      <c r="J56" s="249"/>
      <c r="K56" s="249"/>
      <c r="L56" s="249"/>
      <c r="M56" s="250"/>
    </row>
    <row r="57" spans="1:13" ht="15.6" x14ac:dyDescent="0.25">
      <c r="A57" s="251" t="s">
        <v>583</v>
      </c>
      <c r="B57" s="252"/>
      <c r="C57" s="252"/>
      <c r="D57" s="252"/>
      <c r="E57" s="252"/>
      <c r="F57" s="252"/>
      <c r="G57" s="252"/>
      <c r="H57" s="252"/>
      <c r="I57" s="252"/>
      <c r="J57" s="252"/>
      <c r="K57" s="252"/>
      <c r="L57" s="252"/>
      <c r="M57" s="253"/>
    </row>
    <row r="58" spans="1:13" ht="26.4" x14ac:dyDescent="0.25">
      <c r="A58" s="264">
        <v>11</v>
      </c>
      <c r="B58" s="265" t="s">
        <v>589</v>
      </c>
      <c r="C58" s="278" t="s">
        <v>585</v>
      </c>
      <c r="D58" s="17" t="s">
        <v>586</v>
      </c>
      <c r="E58" s="23">
        <v>77</v>
      </c>
      <c r="F58" s="24" t="s">
        <v>409</v>
      </c>
      <c r="G58" s="24" t="s">
        <v>619</v>
      </c>
      <c r="H58" s="24">
        <f>15000*117/100</f>
        <v>17550</v>
      </c>
      <c r="I58" s="24">
        <f>H58*10</f>
        <v>175500</v>
      </c>
      <c r="J58" s="22" t="s">
        <v>16</v>
      </c>
      <c r="K58" s="262" t="s">
        <v>45</v>
      </c>
      <c r="L58" s="266" t="s">
        <v>48</v>
      </c>
      <c r="M58" s="267">
        <v>2540012757</v>
      </c>
    </row>
    <row r="59" spans="1:13" ht="26.4" x14ac:dyDescent="0.25">
      <c r="A59" s="259"/>
      <c r="B59" s="261"/>
      <c r="C59" s="279"/>
      <c r="D59" s="105" t="s">
        <v>587</v>
      </c>
      <c r="E59" s="7">
        <v>76</v>
      </c>
      <c r="F59" s="16" t="s">
        <v>409</v>
      </c>
      <c r="G59" s="16" t="s">
        <v>619</v>
      </c>
      <c r="H59" s="16">
        <f>27000*117/100</f>
        <v>31590</v>
      </c>
      <c r="I59" s="16">
        <f>H59*10</f>
        <v>315900</v>
      </c>
      <c r="J59" s="106"/>
      <c r="K59" s="262"/>
      <c r="L59" s="263"/>
      <c r="M59" s="247"/>
    </row>
    <row r="60" spans="1:13" ht="26.4" x14ac:dyDescent="0.25">
      <c r="A60" s="259"/>
      <c r="B60" s="261"/>
      <c r="C60" s="279"/>
      <c r="D60" s="80" t="s">
        <v>588</v>
      </c>
      <c r="E60" s="81">
        <v>56</v>
      </c>
      <c r="F60" s="16" t="s">
        <v>409</v>
      </c>
      <c r="G60" s="16" t="s">
        <v>619</v>
      </c>
      <c r="H60" s="16">
        <f>10000*117/100</f>
        <v>11700</v>
      </c>
      <c r="I60" s="16">
        <f>H60*10</f>
        <v>117000</v>
      </c>
      <c r="J60" s="106"/>
      <c r="K60" s="262"/>
      <c r="L60" s="263"/>
      <c r="M60" s="247"/>
    </row>
    <row r="61" spans="1:13" ht="14.25" customHeight="1" x14ac:dyDescent="0.25">
      <c r="A61" s="260"/>
      <c r="B61" s="248" t="s">
        <v>584</v>
      </c>
      <c r="C61" s="249"/>
      <c r="D61" s="249"/>
      <c r="E61" s="249"/>
      <c r="F61" s="249"/>
      <c r="G61" s="249"/>
      <c r="H61" s="249"/>
      <c r="I61" s="249"/>
      <c r="J61" s="249"/>
      <c r="K61" s="249"/>
      <c r="L61" s="249"/>
      <c r="M61" s="250"/>
    </row>
    <row r="62" spans="1:13" ht="15.6" x14ac:dyDescent="0.25">
      <c r="A62" s="251" t="s">
        <v>590</v>
      </c>
      <c r="B62" s="252"/>
      <c r="C62" s="252"/>
      <c r="D62" s="252"/>
      <c r="E62" s="252"/>
      <c r="F62" s="252"/>
      <c r="G62" s="252"/>
      <c r="H62" s="252"/>
      <c r="I62" s="252"/>
      <c r="J62" s="252"/>
      <c r="K62" s="252"/>
      <c r="L62" s="252"/>
      <c r="M62" s="253"/>
    </row>
    <row r="63" spans="1:13" ht="26.4" x14ac:dyDescent="0.25">
      <c r="A63" s="264">
        <v>12</v>
      </c>
      <c r="B63" s="265" t="s">
        <v>622</v>
      </c>
      <c r="C63" s="278" t="s">
        <v>22</v>
      </c>
      <c r="D63" s="116" t="s">
        <v>591</v>
      </c>
      <c r="E63" s="65">
        <v>95.6</v>
      </c>
      <c r="F63" s="66" t="s">
        <v>20</v>
      </c>
      <c r="G63" s="66" t="s">
        <v>20</v>
      </c>
      <c r="H63" s="66">
        <f>30800*117/100</f>
        <v>36036</v>
      </c>
      <c r="I63" s="66">
        <f>H63</f>
        <v>36036</v>
      </c>
      <c r="J63" s="67" t="s">
        <v>16</v>
      </c>
      <c r="K63" s="262" t="s">
        <v>618</v>
      </c>
      <c r="L63" s="266" t="s">
        <v>48</v>
      </c>
      <c r="M63" s="267"/>
    </row>
    <row r="64" spans="1:13" ht="19.5" customHeight="1" x14ac:dyDescent="0.25">
      <c r="A64" s="259"/>
      <c r="B64" s="261"/>
      <c r="C64" s="279"/>
      <c r="D64" s="105" t="s">
        <v>593</v>
      </c>
      <c r="E64" s="7">
        <v>94</v>
      </c>
      <c r="F64" s="16" t="s">
        <v>20</v>
      </c>
      <c r="G64" s="16" t="s">
        <v>20</v>
      </c>
      <c r="H64" s="16">
        <f>29000*117/100</f>
        <v>33930</v>
      </c>
      <c r="I64" s="16">
        <f>H64</f>
        <v>33930</v>
      </c>
      <c r="J64" s="106" t="s">
        <v>16</v>
      </c>
      <c r="K64" s="262"/>
      <c r="L64" s="263"/>
      <c r="M64" s="247"/>
    </row>
    <row r="65" spans="1:13" ht="14.25" customHeight="1" x14ac:dyDescent="0.25">
      <c r="A65" s="260"/>
      <c r="B65" s="248" t="s">
        <v>592</v>
      </c>
      <c r="C65" s="249"/>
      <c r="D65" s="249"/>
      <c r="E65" s="249"/>
      <c r="F65" s="249"/>
      <c r="G65" s="249"/>
      <c r="H65" s="249"/>
      <c r="I65" s="249"/>
      <c r="J65" s="249"/>
      <c r="K65" s="249"/>
      <c r="L65" s="249"/>
      <c r="M65" s="250"/>
    </row>
    <row r="66" spans="1:13" ht="15.6" x14ac:dyDescent="0.25">
      <c r="A66" s="251" t="s">
        <v>594</v>
      </c>
      <c r="B66" s="252"/>
      <c r="C66" s="252"/>
      <c r="D66" s="252"/>
      <c r="E66" s="252"/>
      <c r="F66" s="252"/>
      <c r="G66" s="252"/>
      <c r="H66" s="252"/>
      <c r="I66" s="252"/>
      <c r="J66" s="252"/>
      <c r="K66" s="252"/>
      <c r="L66" s="252"/>
      <c r="M66" s="253"/>
    </row>
    <row r="67" spans="1:13" ht="27.6" x14ac:dyDescent="0.25">
      <c r="A67" s="264">
        <v>13</v>
      </c>
      <c r="B67" s="265" t="s">
        <v>595</v>
      </c>
      <c r="C67" s="265" t="s">
        <v>483</v>
      </c>
      <c r="D67" s="67" t="s">
        <v>598</v>
      </c>
      <c r="E67" s="65">
        <v>100</v>
      </c>
      <c r="F67" s="66" t="s">
        <v>15</v>
      </c>
      <c r="G67" s="66" t="s">
        <v>161</v>
      </c>
      <c r="H67" s="66">
        <f>147*117/100</f>
        <v>171.99</v>
      </c>
      <c r="I67" s="66">
        <f>H67*200</f>
        <v>34398</v>
      </c>
      <c r="J67" s="67" t="s">
        <v>16</v>
      </c>
      <c r="K67" s="271" t="s">
        <v>618</v>
      </c>
      <c r="L67" s="266" t="s">
        <v>48</v>
      </c>
      <c r="M67" s="267"/>
    </row>
    <row r="68" spans="1:13" ht="27.6" x14ac:dyDescent="0.25">
      <c r="A68" s="259"/>
      <c r="B68" s="261"/>
      <c r="C68" s="261"/>
      <c r="D68" s="67" t="s">
        <v>599</v>
      </c>
      <c r="E68" s="65">
        <v>91</v>
      </c>
      <c r="F68" s="66" t="s">
        <v>15</v>
      </c>
      <c r="G68" s="66" t="s">
        <v>161</v>
      </c>
      <c r="H68" s="66">
        <f>170*117/100</f>
        <v>198.9</v>
      </c>
      <c r="I68" s="66">
        <f>H68*200</f>
        <v>39780</v>
      </c>
      <c r="J68" s="67" t="s">
        <v>16</v>
      </c>
      <c r="K68" s="262"/>
      <c r="L68" s="263"/>
      <c r="M68" s="247"/>
    </row>
    <row r="69" spans="1:13" ht="26.4" x14ac:dyDescent="0.25">
      <c r="A69" s="259"/>
      <c r="B69" s="261"/>
      <c r="C69" s="261"/>
      <c r="D69" s="80" t="s">
        <v>117</v>
      </c>
      <c r="E69" s="81">
        <v>89</v>
      </c>
      <c r="F69" s="8" t="s">
        <v>15</v>
      </c>
      <c r="G69" s="16" t="s">
        <v>161</v>
      </c>
      <c r="H69" s="16">
        <f>175*117/100</f>
        <v>204.75</v>
      </c>
      <c r="I69" s="16">
        <f t="shared" ref="I69:I72" si="4">H69*400</f>
        <v>81900</v>
      </c>
      <c r="J69" s="108" t="s">
        <v>16</v>
      </c>
      <c r="K69" s="262"/>
      <c r="L69" s="263"/>
      <c r="M69" s="247"/>
    </row>
    <row r="70" spans="1:13" ht="26.4" x14ac:dyDescent="0.25">
      <c r="A70" s="259"/>
      <c r="B70" s="261"/>
      <c r="C70" s="261"/>
      <c r="D70" s="80" t="s">
        <v>600</v>
      </c>
      <c r="E70" s="81">
        <v>70</v>
      </c>
      <c r="F70" s="8" t="s">
        <v>15</v>
      </c>
      <c r="G70" s="16" t="s">
        <v>161</v>
      </c>
      <c r="H70" s="16">
        <f>260*117/100</f>
        <v>304.2</v>
      </c>
      <c r="I70" s="16">
        <f t="shared" si="4"/>
        <v>121680</v>
      </c>
      <c r="J70" s="108" t="s">
        <v>16</v>
      </c>
      <c r="K70" s="262"/>
      <c r="L70" s="263"/>
      <c r="M70" s="247"/>
    </row>
    <row r="71" spans="1:13" ht="26.4" x14ac:dyDescent="0.25">
      <c r="A71" s="259"/>
      <c r="B71" s="261"/>
      <c r="C71" s="261"/>
      <c r="D71" s="80" t="s">
        <v>601</v>
      </c>
      <c r="E71" s="81">
        <v>64</v>
      </c>
      <c r="F71" s="8" t="s">
        <v>15</v>
      </c>
      <c r="G71" s="16" t="s">
        <v>161</v>
      </c>
      <c r="H71" s="16">
        <f>300*117/100</f>
        <v>351</v>
      </c>
      <c r="I71" s="16">
        <f t="shared" ref="I71" si="5">H71*400</f>
        <v>140400</v>
      </c>
      <c r="J71" s="108" t="s">
        <v>16</v>
      </c>
      <c r="K71" s="262"/>
      <c r="L71" s="263"/>
      <c r="M71" s="247"/>
    </row>
    <row r="72" spans="1:13" ht="13.8" x14ac:dyDescent="0.25">
      <c r="A72" s="259"/>
      <c r="B72" s="261"/>
      <c r="C72" s="261"/>
      <c r="D72" s="80" t="s">
        <v>602</v>
      </c>
      <c r="E72" s="81">
        <v>59</v>
      </c>
      <c r="F72" s="8" t="s">
        <v>15</v>
      </c>
      <c r="G72" s="16" t="s">
        <v>161</v>
      </c>
      <c r="H72" s="16">
        <f>350*117/100</f>
        <v>409.5</v>
      </c>
      <c r="I72" s="16">
        <f t="shared" si="4"/>
        <v>163800</v>
      </c>
      <c r="J72" s="108" t="s">
        <v>16</v>
      </c>
      <c r="K72" s="262"/>
      <c r="L72" s="263"/>
      <c r="M72" s="247"/>
    </row>
    <row r="73" spans="1:13" ht="13.8" x14ac:dyDescent="0.25">
      <c r="A73" s="260"/>
      <c r="B73" s="248" t="s">
        <v>596</v>
      </c>
      <c r="C73" s="249"/>
      <c r="D73" s="249"/>
      <c r="E73" s="249"/>
      <c r="F73" s="249"/>
      <c r="G73" s="249"/>
      <c r="H73" s="249"/>
      <c r="I73" s="249"/>
      <c r="J73" s="249"/>
      <c r="K73" s="249"/>
      <c r="L73" s="249"/>
      <c r="M73" s="250"/>
    </row>
    <row r="74" spans="1:13" ht="15.6" x14ac:dyDescent="0.25">
      <c r="A74" s="251" t="s">
        <v>603</v>
      </c>
      <c r="B74" s="252"/>
      <c r="C74" s="252"/>
      <c r="D74" s="252"/>
      <c r="E74" s="252"/>
      <c r="F74" s="252"/>
      <c r="G74" s="252"/>
      <c r="H74" s="252"/>
      <c r="I74" s="252"/>
      <c r="J74" s="252"/>
      <c r="K74" s="252"/>
      <c r="L74" s="252"/>
      <c r="M74" s="253"/>
    </row>
    <row r="75" spans="1:13" ht="14.25" customHeight="1" x14ac:dyDescent="0.25">
      <c r="A75" s="264">
        <v>14</v>
      </c>
      <c r="B75" s="265" t="s">
        <v>604</v>
      </c>
      <c r="C75" s="273" t="s">
        <v>605</v>
      </c>
      <c r="D75" s="17" t="s">
        <v>606</v>
      </c>
      <c r="E75" s="23">
        <v>100</v>
      </c>
      <c r="F75" s="24" t="s">
        <v>20</v>
      </c>
      <c r="G75" s="24" t="s">
        <v>20</v>
      </c>
      <c r="H75" s="24">
        <f>18000*117/100</f>
        <v>21060</v>
      </c>
      <c r="I75" s="24">
        <f>H75</f>
        <v>21060</v>
      </c>
      <c r="J75" s="22" t="s">
        <v>16</v>
      </c>
      <c r="K75" s="262" t="s">
        <v>45</v>
      </c>
      <c r="L75" s="266" t="s">
        <v>48</v>
      </c>
      <c r="M75" s="267"/>
    </row>
    <row r="76" spans="1:13" ht="14.25" customHeight="1" x14ac:dyDescent="0.25">
      <c r="A76" s="259"/>
      <c r="B76" s="261"/>
      <c r="C76" s="274"/>
      <c r="D76" s="107" t="s">
        <v>607</v>
      </c>
      <c r="E76" s="7">
        <v>89</v>
      </c>
      <c r="F76" s="16" t="s">
        <v>20</v>
      </c>
      <c r="G76" s="16" t="s">
        <v>20</v>
      </c>
      <c r="H76" s="16">
        <f>21500*117/100</f>
        <v>25155</v>
      </c>
      <c r="I76" s="16">
        <f>H76</f>
        <v>25155</v>
      </c>
      <c r="J76" s="108"/>
      <c r="K76" s="262"/>
      <c r="L76" s="263"/>
      <c r="M76" s="247"/>
    </row>
    <row r="77" spans="1:13" ht="14.25" customHeight="1" x14ac:dyDescent="0.25">
      <c r="A77" s="259"/>
      <c r="B77" s="261"/>
      <c r="C77" s="274"/>
      <c r="D77" s="108" t="s">
        <v>588</v>
      </c>
      <c r="E77" s="7">
        <v>56</v>
      </c>
      <c r="F77" s="16" t="s">
        <v>20</v>
      </c>
      <c r="G77" s="16" t="s">
        <v>20</v>
      </c>
      <c r="H77" s="16">
        <f>24750*117/100</f>
        <v>28957.5</v>
      </c>
      <c r="I77" s="16">
        <f>H77</f>
        <v>28957.5</v>
      </c>
      <c r="J77" s="108"/>
      <c r="K77" s="262"/>
      <c r="L77" s="263"/>
      <c r="M77" s="247"/>
    </row>
    <row r="78" spans="1:13" ht="14.25" customHeight="1" x14ac:dyDescent="0.25">
      <c r="A78" s="260"/>
      <c r="B78" s="248"/>
      <c r="C78" s="249"/>
      <c r="D78" s="249"/>
      <c r="E78" s="249"/>
      <c r="F78" s="249"/>
      <c r="G78" s="249"/>
      <c r="H78" s="249"/>
      <c r="I78" s="249"/>
      <c r="J78" s="249"/>
      <c r="K78" s="249"/>
      <c r="L78" s="249"/>
      <c r="M78" s="250"/>
    </row>
    <row r="79" spans="1:13" ht="15.6" x14ac:dyDescent="0.25">
      <c r="A79" s="251" t="s">
        <v>608</v>
      </c>
      <c r="B79" s="252"/>
      <c r="C79" s="252"/>
      <c r="D79" s="252"/>
      <c r="E79" s="252"/>
      <c r="F79" s="252"/>
      <c r="G79" s="252"/>
      <c r="H79" s="252"/>
      <c r="I79" s="252"/>
      <c r="J79" s="252"/>
      <c r="K79" s="252"/>
      <c r="L79" s="252"/>
      <c r="M79" s="253"/>
    </row>
    <row r="80" spans="1:13" ht="55.2" x14ac:dyDescent="0.25">
      <c r="A80" s="288">
        <v>15</v>
      </c>
      <c r="B80" s="111" t="s">
        <v>610</v>
      </c>
      <c r="C80" s="111" t="s">
        <v>483</v>
      </c>
      <c r="D80" s="67" t="s">
        <v>302</v>
      </c>
      <c r="E80" s="65">
        <v>100</v>
      </c>
      <c r="F80" s="66" t="s">
        <v>15</v>
      </c>
      <c r="G80" s="66" t="s">
        <v>609</v>
      </c>
      <c r="H80" s="66">
        <f>240*117/100</f>
        <v>280.8</v>
      </c>
      <c r="I80" s="66">
        <f>H80*50*12</f>
        <v>168480</v>
      </c>
      <c r="J80" s="67" t="s">
        <v>16</v>
      </c>
      <c r="K80" s="110" t="s">
        <v>618</v>
      </c>
      <c r="L80" s="109" t="s">
        <v>48</v>
      </c>
      <c r="M80" s="21"/>
    </row>
    <row r="81" spans="1:13" ht="14.25" customHeight="1" x14ac:dyDescent="0.25">
      <c r="A81" s="289"/>
      <c r="B81" s="248" t="s">
        <v>611</v>
      </c>
      <c r="C81" s="249"/>
      <c r="D81" s="249"/>
      <c r="E81" s="249"/>
      <c r="F81" s="249"/>
      <c r="G81" s="249"/>
      <c r="H81" s="249"/>
      <c r="I81" s="249"/>
      <c r="J81" s="249"/>
      <c r="K81" s="249"/>
      <c r="L81" s="249"/>
      <c r="M81" s="250"/>
    </row>
  </sheetData>
  <mergeCells count="101">
    <mergeCell ref="A47:M47"/>
    <mergeCell ref="A48:A49"/>
    <mergeCell ref="B49:M49"/>
    <mergeCell ref="A50:M50"/>
    <mergeCell ref="A51:A56"/>
    <mergeCell ref="B56:M56"/>
    <mergeCell ref="B51:B55"/>
    <mergeCell ref="C51:C55"/>
    <mergeCell ref="K51:K55"/>
    <mergeCell ref="A79:M79"/>
    <mergeCell ref="A80:A81"/>
    <mergeCell ref="B81:M81"/>
    <mergeCell ref="M63:M64"/>
    <mergeCell ref="B65:M65"/>
    <mergeCell ref="L51:L55"/>
    <mergeCell ref="M51:M55"/>
    <mergeCell ref="A57:M57"/>
    <mergeCell ref="A44:M44"/>
    <mergeCell ref="A45:A46"/>
    <mergeCell ref="B46:M46"/>
    <mergeCell ref="A62:M62"/>
    <mergeCell ref="A63:A65"/>
    <mergeCell ref="B63:B64"/>
    <mergeCell ref="C63:C64"/>
    <mergeCell ref="K63:K64"/>
    <mergeCell ref="L63:L64"/>
    <mergeCell ref="A58:A61"/>
    <mergeCell ref="B58:B60"/>
    <mergeCell ref="C58:C60"/>
    <mergeCell ref="K58:K60"/>
    <mergeCell ref="L58:L60"/>
    <mergeCell ref="M58:M60"/>
    <mergeCell ref="B61:M61"/>
    <mergeCell ref="A25:A30"/>
    <mergeCell ref="B25:B29"/>
    <mergeCell ref="C25:C29"/>
    <mergeCell ref="K25:K29"/>
    <mergeCell ref="L25:L29"/>
    <mergeCell ref="A38:M38"/>
    <mergeCell ref="A39:A43"/>
    <mergeCell ref="B39:B42"/>
    <mergeCell ref="C39:C42"/>
    <mergeCell ref="K39:K42"/>
    <mergeCell ref="L39:L42"/>
    <mergeCell ref="M39:M42"/>
    <mergeCell ref="B43:M43"/>
    <mergeCell ref="B30:M30"/>
    <mergeCell ref="L17:L19"/>
    <mergeCell ref="M17:M19"/>
    <mergeCell ref="B20:M20"/>
    <mergeCell ref="A7:M7"/>
    <mergeCell ref="A8:A9"/>
    <mergeCell ref="B9:M9"/>
    <mergeCell ref="A10:M10"/>
    <mergeCell ref="A11:A15"/>
    <mergeCell ref="B11:B14"/>
    <mergeCell ref="C11:C14"/>
    <mergeCell ref="K11:K14"/>
    <mergeCell ref="L11:L14"/>
    <mergeCell ref="M11:M14"/>
    <mergeCell ref="B15:M15"/>
    <mergeCell ref="A1:A6"/>
    <mergeCell ref="B1:M1"/>
    <mergeCell ref="B2:M2"/>
    <mergeCell ref="B3:M3"/>
    <mergeCell ref="B4:M4"/>
    <mergeCell ref="B5:M5"/>
    <mergeCell ref="A24:M24"/>
    <mergeCell ref="A31:M31"/>
    <mergeCell ref="A32:A37"/>
    <mergeCell ref="B32:B36"/>
    <mergeCell ref="C32:C36"/>
    <mergeCell ref="K32:K36"/>
    <mergeCell ref="L32:L36"/>
    <mergeCell ref="M32:M36"/>
    <mergeCell ref="B37:M37"/>
    <mergeCell ref="M25:M29"/>
    <mergeCell ref="A21:M21"/>
    <mergeCell ref="A22:A23"/>
    <mergeCell ref="B23:M23"/>
    <mergeCell ref="A16:M16"/>
    <mergeCell ref="A17:A20"/>
    <mergeCell ref="B17:B19"/>
    <mergeCell ref="C17:C19"/>
    <mergeCell ref="K17:K19"/>
    <mergeCell ref="A74:M74"/>
    <mergeCell ref="A75:A78"/>
    <mergeCell ref="B75:B77"/>
    <mergeCell ref="C75:C77"/>
    <mergeCell ref="K75:K77"/>
    <mergeCell ref="L75:L77"/>
    <mergeCell ref="M75:M77"/>
    <mergeCell ref="B78:M78"/>
    <mergeCell ref="A66:M66"/>
    <mergeCell ref="A67:A73"/>
    <mergeCell ref="B67:B72"/>
    <mergeCell ref="C67:C72"/>
    <mergeCell ref="K67:K72"/>
    <mergeCell ref="L67:L72"/>
    <mergeCell ref="M67:M72"/>
    <mergeCell ref="B73:M73"/>
  </mergeCells>
  <pageMargins left="0.23622047244094491" right="0.23622047244094491" top="0.55118110236220474" bottom="0.55118110236220474" header="0.31496062992125984" footer="0.31496062992125984"/>
  <pageSetup paperSize="9" scale="79" fitToHeight="0" orientation="landscape" r:id="rId1"/>
  <rowBreaks count="2" manualBreakCount="2">
    <brk id="30" max="12" man="1"/>
    <brk id="62"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86"/>
  <sheetViews>
    <sheetView rightToLeft="1" topLeftCell="B1" zoomScaleNormal="100" zoomScaleSheetLayoutView="75" workbookViewId="0">
      <pane ySplit="6" topLeftCell="A7" activePane="bottomLeft" state="frozen"/>
      <selection pane="bottomLeft" activeCell="B31" sqref="B31"/>
    </sheetView>
  </sheetViews>
  <sheetFormatPr defaultColWidth="8.69921875" defaultRowHeight="15" x14ac:dyDescent="0.25"/>
  <cols>
    <col min="1" max="1" width="4.19921875" customWidth="1"/>
    <col min="2" max="2" width="21.09765625" style="10" bestFit="1" customWidth="1"/>
    <col min="4" max="4" width="10.19921875" customWidth="1"/>
    <col min="5" max="5" width="7.69921875" customWidth="1"/>
    <col min="6" max="6" width="10.19921875" bestFit="1" customWidth="1"/>
    <col min="7" max="7" width="12.09765625" style="11" bestFit="1" customWidth="1"/>
    <col min="8" max="8" width="13.59765625" style="12" bestFit="1" customWidth="1"/>
    <col min="9" max="9" width="14.59765625" style="12" bestFit="1" customWidth="1"/>
    <col min="10" max="10" width="9" customWidth="1"/>
    <col min="11" max="11" width="23.59765625" style="13" customWidth="1"/>
    <col min="12" max="12" width="13.5" style="14" customWidth="1"/>
    <col min="13" max="13" width="16.5" style="15" customWidth="1"/>
  </cols>
  <sheetData>
    <row r="1" spans="1:13" ht="21" x14ac:dyDescent="0.25">
      <c r="A1" s="254"/>
      <c r="B1" s="255" t="s">
        <v>520</v>
      </c>
      <c r="C1" s="255"/>
      <c r="D1" s="255"/>
      <c r="E1" s="255"/>
      <c r="F1" s="255"/>
      <c r="G1" s="255"/>
      <c r="H1" s="255"/>
      <c r="I1" s="255"/>
      <c r="J1" s="255"/>
      <c r="K1" s="255"/>
      <c r="L1" s="255"/>
      <c r="M1" s="255"/>
    </row>
    <row r="2" spans="1:13" ht="29.4" customHeight="1" x14ac:dyDescent="0.25">
      <c r="A2" s="254"/>
      <c r="B2" s="256" t="s">
        <v>0</v>
      </c>
      <c r="C2" s="256"/>
      <c r="D2" s="256"/>
      <c r="E2" s="256"/>
      <c r="F2" s="256"/>
      <c r="G2" s="256"/>
      <c r="H2" s="256"/>
      <c r="I2" s="256"/>
      <c r="J2" s="256"/>
      <c r="K2" s="256"/>
      <c r="L2" s="256"/>
      <c r="M2" s="256"/>
    </row>
    <row r="3" spans="1:13" ht="15.6" x14ac:dyDescent="0.25">
      <c r="A3" s="254"/>
      <c r="B3" s="257" t="s">
        <v>78</v>
      </c>
      <c r="C3" s="257"/>
      <c r="D3" s="257"/>
      <c r="E3" s="257"/>
      <c r="F3" s="257"/>
      <c r="G3" s="257"/>
      <c r="H3" s="257"/>
      <c r="I3" s="257"/>
      <c r="J3" s="257"/>
      <c r="K3" s="257"/>
      <c r="L3" s="257"/>
      <c r="M3" s="257"/>
    </row>
    <row r="4" spans="1:13" ht="13.8" x14ac:dyDescent="0.25">
      <c r="A4" s="254"/>
      <c r="B4" s="258" t="s">
        <v>2</v>
      </c>
      <c r="C4" s="258"/>
      <c r="D4" s="258"/>
      <c r="E4" s="258"/>
      <c r="F4" s="258"/>
      <c r="G4" s="258"/>
      <c r="H4" s="258"/>
      <c r="I4" s="258"/>
      <c r="J4" s="258"/>
      <c r="K4" s="258"/>
      <c r="L4" s="258"/>
      <c r="M4" s="258"/>
    </row>
    <row r="5" spans="1:13" ht="13.8" x14ac:dyDescent="0.25">
      <c r="A5" s="254"/>
      <c r="B5" s="258"/>
      <c r="C5" s="258"/>
      <c r="D5" s="258"/>
      <c r="E5" s="258"/>
      <c r="F5" s="258"/>
      <c r="G5" s="258"/>
      <c r="H5" s="258"/>
      <c r="I5" s="258"/>
      <c r="J5" s="258"/>
      <c r="K5" s="258"/>
      <c r="L5" s="258"/>
      <c r="M5" s="258"/>
    </row>
    <row r="6" spans="1:13" ht="46.8" x14ac:dyDescent="0.25">
      <c r="A6" s="254"/>
      <c r="B6" s="1" t="s">
        <v>3</v>
      </c>
      <c r="C6" s="2" t="s">
        <v>4</v>
      </c>
      <c r="D6" s="3" t="s">
        <v>5</v>
      </c>
      <c r="E6" s="3" t="s">
        <v>6</v>
      </c>
      <c r="F6" s="3" t="s">
        <v>7</v>
      </c>
      <c r="G6" s="3" t="s">
        <v>8</v>
      </c>
      <c r="H6" s="4" t="s">
        <v>9</v>
      </c>
      <c r="I6" s="5" t="s">
        <v>10</v>
      </c>
      <c r="J6" s="3" t="s">
        <v>11</v>
      </c>
      <c r="K6" s="3" t="s">
        <v>12</v>
      </c>
      <c r="L6" s="6" t="s">
        <v>13</v>
      </c>
      <c r="M6" s="3" t="s">
        <v>14</v>
      </c>
    </row>
    <row r="7" spans="1:13" ht="15.6" x14ac:dyDescent="0.25">
      <c r="A7" s="251" t="s">
        <v>614</v>
      </c>
      <c r="B7" s="252"/>
      <c r="C7" s="252"/>
      <c r="D7" s="252"/>
      <c r="E7" s="252"/>
      <c r="F7" s="252"/>
      <c r="G7" s="252"/>
      <c r="H7" s="252"/>
      <c r="I7" s="252"/>
      <c r="J7" s="252"/>
      <c r="K7" s="252"/>
      <c r="L7" s="252"/>
      <c r="M7" s="253"/>
    </row>
    <row r="8" spans="1:13" ht="14.25" customHeight="1" x14ac:dyDescent="0.25">
      <c r="A8" s="259">
        <v>1</v>
      </c>
      <c r="B8" s="261" t="s">
        <v>158</v>
      </c>
      <c r="C8" s="261" t="s">
        <v>18</v>
      </c>
      <c r="D8" s="17" t="s">
        <v>154</v>
      </c>
      <c r="E8" s="18">
        <v>100</v>
      </c>
      <c r="F8" s="19" t="s">
        <v>20</v>
      </c>
      <c r="G8" s="19" t="s">
        <v>20</v>
      </c>
      <c r="H8" s="19">
        <f>61163*117/100</f>
        <v>71560.710000000006</v>
      </c>
      <c r="I8" s="19">
        <f>H8</f>
        <v>71560.710000000006</v>
      </c>
      <c r="J8" s="17" t="s">
        <v>16</v>
      </c>
      <c r="K8" s="271" t="s">
        <v>45</v>
      </c>
      <c r="L8" s="263" t="s">
        <v>48</v>
      </c>
      <c r="M8" s="247" t="s">
        <v>162</v>
      </c>
    </row>
    <row r="9" spans="1:13" ht="26.4" x14ac:dyDescent="0.25">
      <c r="A9" s="259"/>
      <c r="B9" s="261"/>
      <c r="C9" s="261"/>
      <c r="D9" s="40" t="s">
        <v>155</v>
      </c>
      <c r="E9" s="7">
        <v>87</v>
      </c>
      <c r="F9" s="8" t="s">
        <v>20</v>
      </c>
      <c r="G9" s="8" t="s">
        <v>20</v>
      </c>
      <c r="H9" s="8">
        <f>62300*117/100</f>
        <v>72891</v>
      </c>
      <c r="I9" s="8">
        <f t="shared" ref="I9:I11" si="0">H9</f>
        <v>72891</v>
      </c>
      <c r="J9" s="40" t="s">
        <v>16</v>
      </c>
      <c r="K9" s="262"/>
      <c r="L9" s="263"/>
      <c r="M9" s="247"/>
    </row>
    <row r="10" spans="1:13" ht="14.25" customHeight="1" x14ac:dyDescent="0.25">
      <c r="A10" s="259"/>
      <c r="B10" s="261"/>
      <c r="C10" s="261"/>
      <c r="D10" s="40" t="s">
        <v>156</v>
      </c>
      <c r="E10" s="7">
        <v>58</v>
      </c>
      <c r="F10" s="8" t="s">
        <v>20</v>
      </c>
      <c r="G10" s="8" t="s">
        <v>20</v>
      </c>
      <c r="H10" s="8">
        <f>107687*117/100</f>
        <v>125993.79</v>
      </c>
      <c r="I10" s="8">
        <f t="shared" si="0"/>
        <v>125993.79</v>
      </c>
      <c r="J10" s="40" t="s">
        <v>16</v>
      </c>
      <c r="K10" s="262"/>
      <c r="L10" s="263"/>
      <c r="M10" s="247"/>
    </row>
    <row r="11" spans="1:13" ht="14.25" customHeight="1" x14ac:dyDescent="0.25">
      <c r="A11" s="259"/>
      <c r="B11" s="261"/>
      <c r="C11" s="261"/>
      <c r="D11" s="40" t="s">
        <v>157</v>
      </c>
      <c r="E11" s="7">
        <v>53</v>
      </c>
      <c r="F11" s="8" t="s">
        <v>20</v>
      </c>
      <c r="G11" s="8" t="s">
        <v>20</v>
      </c>
      <c r="H11" s="8">
        <f>123000*117/100</f>
        <v>143910</v>
      </c>
      <c r="I11" s="8">
        <f t="shared" si="0"/>
        <v>143910</v>
      </c>
      <c r="J11" s="40" t="s">
        <v>16</v>
      </c>
      <c r="K11" s="272"/>
      <c r="L11" s="263"/>
      <c r="M11" s="247"/>
    </row>
    <row r="12" spans="1:13" ht="13.8" x14ac:dyDescent="0.25">
      <c r="A12" s="260"/>
      <c r="B12" s="248"/>
      <c r="C12" s="249"/>
      <c r="D12" s="249"/>
      <c r="E12" s="249"/>
      <c r="F12" s="249"/>
      <c r="G12" s="249"/>
      <c r="H12" s="249"/>
      <c r="I12" s="249"/>
      <c r="J12" s="249"/>
      <c r="K12" s="249"/>
      <c r="L12" s="249"/>
      <c r="M12" s="250"/>
    </row>
    <row r="13" spans="1:13" ht="15.6" x14ac:dyDescent="0.25">
      <c r="A13" s="251" t="s">
        <v>615</v>
      </c>
      <c r="B13" s="252"/>
      <c r="C13" s="252"/>
      <c r="D13" s="252"/>
      <c r="E13" s="252"/>
      <c r="F13" s="252"/>
      <c r="G13" s="252"/>
      <c r="H13" s="252"/>
      <c r="I13" s="252"/>
      <c r="J13" s="252"/>
      <c r="K13" s="252"/>
      <c r="L13" s="252"/>
      <c r="M13" s="253"/>
    </row>
    <row r="14" spans="1:13" ht="45.6" x14ac:dyDescent="0.25">
      <c r="A14" s="264">
        <v>2</v>
      </c>
      <c r="B14" s="34" t="s">
        <v>159</v>
      </c>
      <c r="C14" s="54" t="s">
        <v>22</v>
      </c>
      <c r="D14" s="22" t="s">
        <v>160</v>
      </c>
      <c r="E14" s="23">
        <v>100</v>
      </c>
      <c r="F14" s="24" t="s">
        <v>15</v>
      </c>
      <c r="G14" s="24" t="s">
        <v>161</v>
      </c>
      <c r="H14" s="24">
        <f>400*117/100</f>
        <v>468</v>
      </c>
      <c r="I14" s="24">
        <f>H14*200</f>
        <v>93600</v>
      </c>
      <c r="J14" s="22" t="s">
        <v>16</v>
      </c>
      <c r="K14" s="85" t="s">
        <v>46</v>
      </c>
      <c r="L14" s="39" t="s">
        <v>48</v>
      </c>
      <c r="M14" s="36"/>
    </row>
    <row r="15" spans="1:13" ht="14.25" customHeight="1" x14ac:dyDescent="0.25">
      <c r="A15" s="260"/>
      <c r="B15" s="248" t="s">
        <v>163</v>
      </c>
      <c r="C15" s="249"/>
      <c r="D15" s="249"/>
      <c r="E15" s="249"/>
      <c r="F15" s="249"/>
      <c r="G15" s="249"/>
      <c r="H15" s="249"/>
      <c r="I15" s="249"/>
      <c r="J15" s="249"/>
      <c r="K15" s="249"/>
      <c r="L15" s="249"/>
      <c r="M15" s="250"/>
    </row>
    <row r="16" spans="1:13" ht="15.6" x14ac:dyDescent="0.25">
      <c r="A16" s="251" t="s">
        <v>166</v>
      </c>
      <c r="B16" s="252"/>
      <c r="C16" s="252"/>
      <c r="D16" s="252"/>
      <c r="E16" s="252"/>
      <c r="F16" s="252"/>
      <c r="G16" s="252"/>
      <c r="H16" s="252"/>
      <c r="I16" s="252"/>
      <c r="J16" s="252"/>
      <c r="K16" s="252"/>
      <c r="L16" s="252"/>
      <c r="M16" s="253"/>
    </row>
    <row r="17" spans="1:13" ht="13.8" x14ac:dyDescent="0.25">
      <c r="A17" s="259">
        <v>3</v>
      </c>
      <c r="B17" s="261" t="s">
        <v>36</v>
      </c>
      <c r="C17" s="261" t="s">
        <v>18</v>
      </c>
      <c r="D17" s="22" t="s">
        <v>37</v>
      </c>
      <c r="E17" s="23">
        <v>88</v>
      </c>
      <c r="F17" s="24" t="s">
        <v>20</v>
      </c>
      <c r="G17" s="24" t="s">
        <v>20</v>
      </c>
      <c r="H17" s="24">
        <f>47380*117/100</f>
        <v>55434.6</v>
      </c>
      <c r="I17" s="24">
        <f>47380*117/100</f>
        <v>55434.6</v>
      </c>
      <c r="J17" s="22"/>
      <c r="K17" s="262" t="s">
        <v>45</v>
      </c>
      <c r="L17" s="263" t="s">
        <v>48</v>
      </c>
      <c r="M17" s="247" t="s">
        <v>42</v>
      </c>
    </row>
    <row r="18" spans="1:13" ht="13.8" x14ac:dyDescent="0.25">
      <c r="A18" s="259"/>
      <c r="B18" s="261"/>
      <c r="C18" s="261"/>
      <c r="D18" s="40" t="s">
        <v>38</v>
      </c>
      <c r="E18" s="7">
        <v>83</v>
      </c>
      <c r="F18" s="8" t="s">
        <v>20</v>
      </c>
      <c r="G18" s="8" t="s">
        <v>20</v>
      </c>
      <c r="H18" s="8">
        <f>51042*117/100</f>
        <v>59719.14</v>
      </c>
      <c r="I18" s="8">
        <f>51042*117/100</f>
        <v>59719.14</v>
      </c>
      <c r="J18" s="40"/>
      <c r="K18" s="262"/>
      <c r="L18" s="263"/>
      <c r="M18" s="247"/>
    </row>
    <row r="19" spans="1:13" ht="39.6" x14ac:dyDescent="0.25">
      <c r="A19" s="259"/>
      <c r="B19" s="261"/>
      <c r="C19" s="261"/>
      <c r="D19" s="41" t="s">
        <v>168</v>
      </c>
      <c r="E19" s="7">
        <v>80</v>
      </c>
      <c r="F19" s="8" t="s">
        <v>20</v>
      </c>
      <c r="G19" s="8" t="s">
        <v>20</v>
      </c>
      <c r="H19" s="8">
        <f>60050*0.88*117/100</f>
        <v>61827.48</v>
      </c>
      <c r="I19" s="8">
        <f>60050*0.88*117/100</f>
        <v>61827.48</v>
      </c>
      <c r="J19" s="41"/>
      <c r="K19" s="262"/>
      <c r="L19" s="263"/>
      <c r="M19" s="247"/>
    </row>
    <row r="20" spans="1:13" ht="13.8" x14ac:dyDescent="0.25">
      <c r="A20" s="259"/>
      <c r="B20" s="261"/>
      <c r="C20" s="261"/>
      <c r="D20" s="40" t="s">
        <v>39</v>
      </c>
      <c r="E20" s="7">
        <v>78</v>
      </c>
      <c r="F20" s="8" t="s">
        <v>20</v>
      </c>
      <c r="G20" s="8" t="s">
        <v>20</v>
      </c>
      <c r="H20" s="8">
        <f>55246*117/100</f>
        <v>64637.82</v>
      </c>
      <c r="I20" s="8">
        <f>55246*117/100</f>
        <v>64637.82</v>
      </c>
      <c r="J20" s="40"/>
      <c r="K20" s="262"/>
      <c r="L20" s="263"/>
      <c r="M20" s="247"/>
    </row>
    <row r="21" spans="1:13" ht="13.8" x14ac:dyDescent="0.25">
      <c r="A21" s="259"/>
      <c r="B21" s="261"/>
      <c r="C21" s="261"/>
      <c r="D21" s="40" t="s">
        <v>40</v>
      </c>
      <c r="E21" s="7">
        <v>73</v>
      </c>
      <c r="F21" s="8" t="s">
        <v>20</v>
      </c>
      <c r="G21" s="8" t="s">
        <v>20</v>
      </c>
      <c r="H21" s="8">
        <f>60800*117/100</f>
        <v>71136</v>
      </c>
      <c r="I21" s="8">
        <f>60800*117/100</f>
        <v>71136</v>
      </c>
      <c r="J21" s="40"/>
      <c r="K21" s="262"/>
      <c r="L21" s="263"/>
      <c r="M21" s="247"/>
    </row>
    <row r="22" spans="1:13" ht="13.8" x14ac:dyDescent="0.25">
      <c r="A22" s="260"/>
      <c r="B22" s="248" t="s">
        <v>164</v>
      </c>
      <c r="C22" s="249"/>
      <c r="D22" s="249"/>
      <c r="E22" s="249"/>
      <c r="F22" s="249"/>
      <c r="G22" s="249"/>
      <c r="H22" s="249"/>
      <c r="I22" s="249"/>
      <c r="J22" s="249"/>
      <c r="K22" s="249"/>
      <c r="L22" s="249"/>
      <c r="M22" s="250"/>
    </row>
    <row r="23" spans="1:13" ht="15.6" x14ac:dyDescent="0.25">
      <c r="A23" s="251" t="s">
        <v>167</v>
      </c>
      <c r="B23" s="252"/>
      <c r="C23" s="252"/>
      <c r="D23" s="252"/>
      <c r="E23" s="252"/>
      <c r="F23" s="252"/>
      <c r="G23" s="252"/>
      <c r="H23" s="252"/>
      <c r="I23" s="252"/>
      <c r="J23" s="252"/>
      <c r="K23" s="252"/>
      <c r="L23" s="252"/>
      <c r="M23" s="253"/>
    </row>
    <row r="24" spans="1:13" ht="14.25" customHeight="1" x14ac:dyDescent="0.25">
      <c r="A24" s="259">
        <v>4</v>
      </c>
      <c r="B24" s="261" t="s">
        <v>41</v>
      </c>
      <c r="C24" s="261" t="s">
        <v>18</v>
      </c>
      <c r="D24" s="22" t="s">
        <v>38</v>
      </c>
      <c r="E24" s="23">
        <v>88</v>
      </c>
      <c r="F24" s="24" t="s">
        <v>20</v>
      </c>
      <c r="G24" s="24" t="s">
        <v>20</v>
      </c>
      <c r="H24" s="24">
        <f>34595*117/100</f>
        <v>40476.15</v>
      </c>
      <c r="I24" s="24">
        <f>34595*117/100</f>
        <v>40476.15</v>
      </c>
      <c r="J24" s="22"/>
      <c r="K24" s="262" t="s">
        <v>45</v>
      </c>
      <c r="L24" s="263" t="s">
        <v>48</v>
      </c>
      <c r="M24" s="247">
        <v>25005</v>
      </c>
    </row>
    <row r="25" spans="1:13" ht="39.6" x14ac:dyDescent="0.25">
      <c r="A25" s="259"/>
      <c r="B25" s="261"/>
      <c r="C25" s="261"/>
      <c r="D25" s="41" t="s">
        <v>168</v>
      </c>
      <c r="E25" s="7">
        <v>86</v>
      </c>
      <c r="F25" s="8" t="s">
        <v>20</v>
      </c>
      <c r="G25" s="8" t="s">
        <v>20</v>
      </c>
      <c r="H25" s="8">
        <f>40700*0.88*117/100</f>
        <v>41904.720000000001</v>
      </c>
      <c r="I25" s="8">
        <f>40700*0.88*117/100</f>
        <v>41904.720000000001</v>
      </c>
      <c r="J25" s="41"/>
      <c r="K25" s="262"/>
      <c r="L25" s="263"/>
      <c r="M25" s="247"/>
    </row>
    <row r="26" spans="1:13" ht="14.25" customHeight="1" x14ac:dyDescent="0.25">
      <c r="A26" s="259"/>
      <c r="B26" s="261"/>
      <c r="C26" s="261"/>
      <c r="D26" s="40" t="s">
        <v>37</v>
      </c>
      <c r="E26" s="7">
        <v>84</v>
      </c>
      <c r="F26" s="8" t="s">
        <v>20</v>
      </c>
      <c r="G26" s="8" t="s">
        <v>20</v>
      </c>
      <c r="H26" s="8">
        <f>36850*117/100</f>
        <v>43114.5</v>
      </c>
      <c r="I26" s="8">
        <f>36850*117/100</f>
        <v>43114.5</v>
      </c>
      <c r="J26" s="40"/>
      <c r="K26" s="262"/>
      <c r="L26" s="263"/>
      <c r="M26" s="247"/>
    </row>
    <row r="27" spans="1:13" ht="14.25" customHeight="1" x14ac:dyDescent="0.25">
      <c r="A27" s="259"/>
      <c r="B27" s="261"/>
      <c r="C27" s="261"/>
      <c r="D27" s="40" t="s">
        <v>39</v>
      </c>
      <c r="E27" s="7">
        <v>83</v>
      </c>
      <c r="F27" s="8" t="s">
        <v>20</v>
      </c>
      <c r="G27" s="8" t="s">
        <v>20</v>
      </c>
      <c r="H27" s="8">
        <f>37444*117/100</f>
        <v>43809.48</v>
      </c>
      <c r="I27" s="8">
        <f>37444*117/100</f>
        <v>43809.48</v>
      </c>
      <c r="J27" s="40"/>
      <c r="K27" s="262"/>
      <c r="L27" s="263"/>
      <c r="M27" s="247"/>
    </row>
    <row r="28" spans="1:13" ht="14.25" customHeight="1" x14ac:dyDescent="0.25">
      <c r="A28" s="259"/>
      <c r="B28" s="261"/>
      <c r="C28" s="261"/>
      <c r="D28" s="40" t="s">
        <v>40</v>
      </c>
      <c r="E28" s="7">
        <v>74</v>
      </c>
      <c r="F28" s="8" t="s">
        <v>20</v>
      </c>
      <c r="G28" s="8" t="s">
        <v>20</v>
      </c>
      <c r="H28" s="8">
        <f>43050*117/100</f>
        <v>50368.5</v>
      </c>
      <c r="I28" s="8">
        <f>43050*117/100</f>
        <v>50368.5</v>
      </c>
      <c r="J28" s="40"/>
      <c r="K28" s="262"/>
      <c r="L28" s="263"/>
      <c r="M28" s="247"/>
    </row>
    <row r="29" spans="1:13" ht="13.8" x14ac:dyDescent="0.25">
      <c r="A29" s="260"/>
      <c r="B29" s="248" t="s">
        <v>165</v>
      </c>
      <c r="C29" s="249"/>
      <c r="D29" s="249"/>
      <c r="E29" s="249"/>
      <c r="F29" s="249"/>
      <c r="G29" s="249"/>
      <c r="H29" s="249"/>
      <c r="I29" s="249"/>
      <c r="J29" s="249"/>
      <c r="K29" s="249"/>
      <c r="L29" s="249"/>
      <c r="M29" s="250"/>
    </row>
    <row r="30" spans="1:13" ht="15.6" x14ac:dyDescent="0.25">
      <c r="A30" s="251" t="s">
        <v>616</v>
      </c>
      <c r="B30" s="252"/>
      <c r="C30" s="252"/>
      <c r="D30" s="252"/>
      <c r="E30" s="252"/>
      <c r="F30" s="252"/>
      <c r="G30" s="252"/>
      <c r="H30" s="252"/>
      <c r="I30" s="252"/>
      <c r="J30" s="252"/>
      <c r="K30" s="252"/>
      <c r="L30" s="252"/>
      <c r="M30" s="253"/>
    </row>
    <row r="31" spans="1:13" ht="34.200000000000003" x14ac:dyDescent="0.25">
      <c r="A31" s="264">
        <v>5</v>
      </c>
      <c r="B31" s="34" t="s">
        <v>169</v>
      </c>
      <c r="C31" s="54" t="s">
        <v>170</v>
      </c>
      <c r="D31" s="22" t="s">
        <v>171</v>
      </c>
      <c r="E31" s="23">
        <v>100</v>
      </c>
      <c r="F31" s="24" t="s">
        <v>172</v>
      </c>
      <c r="G31" s="24" t="s">
        <v>239</v>
      </c>
      <c r="H31" s="24">
        <f>1500*117/100</f>
        <v>1755</v>
      </c>
      <c r="I31" s="24">
        <f>H31*12</f>
        <v>21060</v>
      </c>
      <c r="J31" s="22" t="s">
        <v>16</v>
      </c>
      <c r="K31" s="85" t="s">
        <v>46</v>
      </c>
      <c r="L31" s="39" t="s">
        <v>48</v>
      </c>
      <c r="M31" s="36">
        <v>1746100750</v>
      </c>
    </row>
    <row r="32" spans="1:13" ht="13.8" x14ac:dyDescent="0.25">
      <c r="A32" s="260"/>
      <c r="B32" s="248" t="s">
        <v>240</v>
      </c>
      <c r="C32" s="249"/>
      <c r="D32" s="249"/>
      <c r="E32" s="249"/>
      <c r="F32" s="249"/>
      <c r="G32" s="249"/>
      <c r="H32" s="249"/>
      <c r="I32" s="249"/>
      <c r="J32" s="249"/>
      <c r="K32" s="249"/>
      <c r="L32" s="249"/>
      <c r="M32" s="250"/>
    </row>
    <row r="33" spans="1:13" ht="15.6" x14ac:dyDescent="0.25">
      <c r="A33" s="251" t="s">
        <v>178</v>
      </c>
      <c r="B33" s="252"/>
      <c r="C33" s="252"/>
      <c r="D33" s="252"/>
      <c r="E33" s="252"/>
      <c r="F33" s="252"/>
      <c r="G33" s="252"/>
      <c r="H33" s="252"/>
      <c r="I33" s="252"/>
      <c r="J33" s="252"/>
      <c r="K33" s="252"/>
      <c r="L33" s="252"/>
      <c r="M33" s="253"/>
    </row>
    <row r="34" spans="1:13" ht="13.8" x14ac:dyDescent="0.25">
      <c r="A34" s="259">
        <v>6</v>
      </c>
      <c r="B34" s="261" t="s">
        <v>174</v>
      </c>
      <c r="C34" s="261" t="s">
        <v>81</v>
      </c>
      <c r="D34" s="22" t="s">
        <v>175</v>
      </c>
      <c r="E34" s="23">
        <v>100</v>
      </c>
      <c r="F34" s="24" t="s">
        <v>20</v>
      </c>
      <c r="G34" s="24" t="s">
        <v>20</v>
      </c>
      <c r="H34" s="24">
        <f>10000*117/100</f>
        <v>11700</v>
      </c>
      <c r="I34" s="24">
        <f>10000*117/100</f>
        <v>11700</v>
      </c>
      <c r="J34" s="22"/>
      <c r="K34" s="262" t="s">
        <v>45</v>
      </c>
      <c r="L34" s="263" t="s">
        <v>48</v>
      </c>
      <c r="M34" s="247">
        <v>224001</v>
      </c>
    </row>
    <row r="35" spans="1:13" ht="13.8" x14ac:dyDescent="0.25">
      <c r="A35" s="259"/>
      <c r="B35" s="261"/>
      <c r="C35" s="261"/>
      <c r="D35" s="40" t="s">
        <v>176</v>
      </c>
      <c r="E35" s="7">
        <v>90</v>
      </c>
      <c r="F35" s="8" t="s">
        <v>20</v>
      </c>
      <c r="G35" s="8" t="s">
        <v>20</v>
      </c>
      <c r="H35" s="8">
        <f>11580*117/100</f>
        <v>13548.6</v>
      </c>
      <c r="I35" s="8">
        <f>11580*117/100</f>
        <v>13548.6</v>
      </c>
      <c r="J35" s="40" t="s">
        <v>16</v>
      </c>
      <c r="K35" s="262"/>
      <c r="L35" s="263"/>
      <c r="M35" s="247"/>
    </row>
    <row r="36" spans="1:13" ht="13.8" x14ac:dyDescent="0.25">
      <c r="A36" s="259"/>
      <c r="B36" s="261"/>
      <c r="C36" s="261"/>
      <c r="D36" s="40" t="s">
        <v>177</v>
      </c>
      <c r="E36" s="7">
        <v>77</v>
      </c>
      <c r="F36" s="8" t="s">
        <v>20</v>
      </c>
      <c r="G36" s="8" t="s">
        <v>20</v>
      </c>
      <c r="H36" s="8">
        <f>15000*117/100</f>
        <v>17550</v>
      </c>
      <c r="I36" s="8">
        <f>15000*117/100</f>
        <v>17550</v>
      </c>
      <c r="J36" s="40" t="s">
        <v>16</v>
      </c>
      <c r="K36" s="262"/>
      <c r="L36" s="263"/>
      <c r="M36" s="247"/>
    </row>
    <row r="37" spans="1:13" ht="13.8" x14ac:dyDescent="0.25">
      <c r="A37" s="260"/>
      <c r="B37" s="248" t="s">
        <v>173</v>
      </c>
      <c r="C37" s="249"/>
      <c r="D37" s="249"/>
      <c r="E37" s="249"/>
      <c r="F37" s="249"/>
      <c r="G37" s="249"/>
      <c r="H37" s="249"/>
      <c r="I37" s="249"/>
      <c r="J37" s="249"/>
      <c r="K37" s="249"/>
      <c r="L37" s="249"/>
      <c r="M37" s="250"/>
    </row>
    <row r="38" spans="1:13" ht="15.6" x14ac:dyDescent="0.25">
      <c r="A38" s="251" t="s">
        <v>179</v>
      </c>
      <c r="B38" s="252"/>
      <c r="C38" s="252"/>
      <c r="D38" s="252"/>
      <c r="E38" s="252"/>
      <c r="F38" s="252"/>
      <c r="G38" s="252"/>
      <c r="H38" s="252"/>
      <c r="I38" s="252"/>
      <c r="J38" s="252"/>
      <c r="K38" s="252"/>
      <c r="L38" s="252"/>
      <c r="M38" s="253"/>
    </row>
    <row r="39" spans="1:13" ht="26.4" x14ac:dyDescent="0.25">
      <c r="A39" s="259">
        <v>7</v>
      </c>
      <c r="B39" s="261" t="s">
        <v>192</v>
      </c>
      <c r="C39" s="261" t="s">
        <v>81</v>
      </c>
      <c r="D39" s="22" t="s">
        <v>223</v>
      </c>
      <c r="E39" s="23">
        <v>100</v>
      </c>
      <c r="F39" s="19" t="s">
        <v>20</v>
      </c>
      <c r="G39" s="19" t="s">
        <v>20</v>
      </c>
      <c r="H39" s="19">
        <f>23400*117/100</f>
        <v>27378</v>
      </c>
      <c r="I39" s="24">
        <f>H39</f>
        <v>27378</v>
      </c>
      <c r="J39" s="22" t="s">
        <v>16</v>
      </c>
      <c r="K39" s="262" t="s">
        <v>45</v>
      </c>
      <c r="L39" s="263" t="s">
        <v>48</v>
      </c>
      <c r="M39" s="247">
        <v>224001</v>
      </c>
    </row>
    <row r="40" spans="1:13" ht="13.8" x14ac:dyDescent="0.25">
      <c r="A40" s="259"/>
      <c r="B40" s="261"/>
      <c r="C40" s="261"/>
      <c r="D40" s="40" t="s">
        <v>144</v>
      </c>
      <c r="E40" s="7">
        <v>81</v>
      </c>
      <c r="F40" s="8" t="s">
        <v>20</v>
      </c>
      <c r="G40" s="8" t="s">
        <v>20</v>
      </c>
      <c r="H40" s="8">
        <f>32000*117/100</f>
        <v>37440</v>
      </c>
      <c r="I40" s="16">
        <f t="shared" ref="I40:I42" si="1">H40</f>
        <v>37440</v>
      </c>
      <c r="J40" s="44" t="s">
        <v>16</v>
      </c>
      <c r="K40" s="262"/>
      <c r="L40" s="263"/>
      <c r="M40" s="247"/>
    </row>
    <row r="41" spans="1:13" ht="26.4" x14ac:dyDescent="0.25">
      <c r="A41" s="259"/>
      <c r="B41" s="261"/>
      <c r="C41" s="261"/>
      <c r="D41" s="40" t="s">
        <v>141</v>
      </c>
      <c r="E41" s="7">
        <v>76</v>
      </c>
      <c r="F41" s="8" t="s">
        <v>20</v>
      </c>
      <c r="G41" s="8" t="s">
        <v>20</v>
      </c>
      <c r="H41" s="8">
        <f>35000*117/100</f>
        <v>40950</v>
      </c>
      <c r="I41" s="16">
        <f t="shared" si="1"/>
        <v>40950</v>
      </c>
      <c r="J41" s="44" t="s">
        <v>16</v>
      </c>
      <c r="K41" s="262"/>
      <c r="L41" s="263"/>
      <c r="M41" s="247"/>
    </row>
    <row r="42" spans="1:13" ht="13.8" x14ac:dyDescent="0.25">
      <c r="A42" s="259"/>
      <c r="B42" s="261"/>
      <c r="C42" s="261"/>
      <c r="D42" s="40" t="s">
        <v>58</v>
      </c>
      <c r="E42" s="7">
        <v>60</v>
      </c>
      <c r="F42" s="8" t="s">
        <v>20</v>
      </c>
      <c r="G42" s="8" t="s">
        <v>20</v>
      </c>
      <c r="H42" s="8">
        <f>55000*117/100</f>
        <v>64350</v>
      </c>
      <c r="I42" s="16">
        <f t="shared" si="1"/>
        <v>64350</v>
      </c>
      <c r="J42" s="44" t="s">
        <v>16</v>
      </c>
      <c r="K42" s="262"/>
      <c r="L42" s="263"/>
      <c r="M42" s="247"/>
    </row>
    <row r="43" spans="1:13" ht="13.8" x14ac:dyDescent="0.25">
      <c r="A43" s="260"/>
      <c r="B43" s="248"/>
      <c r="C43" s="249"/>
      <c r="D43" s="249"/>
      <c r="E43" s="249"/>
      <c r="F43" s="249"/>
      <c r="G43" s="249"/>
      <c r="H43" s="249"/>
      <c r="I43" s="249"/>
      <c r="J43" s="249"/>
      <c r="K43" s="249"/>
      <c r="L43" s="249"/>
      <c r="M43" s="250"/>
    </row>
    <row r="44" spans="1:13" ht="15.6" x14ac:dyDescent="0.25">
      <c r="A44" s="251" t="s">
        <v>180</v>
      </c>
      <c r="B44" s="252"/>
      <c r="C44" s="252"/>
      <c r="D44" s="252"/>
      <c r="E44" s="252"/>
      <c r="F44" s="252"/>
      <c r="G44" s="252"/>
      <c r="H44" s="252"/>
      <c r="I44" s="252"/>
      <c r="J44" s="252"/>
      <c r="K44" s="252"/>
      <c r="L44" s="252"/>
      <c r="M44" s="253"/>
    </row>
    <row r="45" spans="1:13" ht="26.4" x14ac:dyDescent="0.25">
      <c r="A45" s="259">
        <v>8</v>
      </c>
      <c r="B45" s="261" t="s">
        <v>181</v>
      </c>
      <c r="C45" s="261" t="s">
        <v>81</v>
      </c>
      <c r="D45" s="22" t="s">
        <v>223</v>
      </c>
      <c r="E45" s="23">
        <v>100</v>
      </c>
      <c r="F45" s="19" t="s">
        <v>20</v>
      </c>
      <c r="G45" s="19" t="s">
        <v>20</v>
      </c>
      <c r="H45" s="19">
        <f>23400*117/100</f>
        <v>27378</v>
      </c>
      <c r="I45" s="24">
        <f>H45</f>
        <v>27378</v>
      </c>
      <c r="J45" s="22" t="s">
        <v>16</v>
      </c>
      <c r="K45" s="262" t="s">
        <v>45</v>
      </c>
      <c r="L45" s="263" t="s">
        <v>48</v>
      </c>
      <c r="M45" s="247">
        <v>224001</v>
      </c>
    </row>
    <row r="46" spans="1:13" ht="14.25" customHeight="1" x14ac:dyDescent="0.25">
      <c r="A46" s="259"/>
      <c r="B46" s="261"/>
      <c r="C46" s="261"/>
      <c r="D46" s="44" t="s">
        <v>144</v>
      </c>
      <c r="E46" s="7">
        <v>81</v>
      </c>
      <c r="F46" s="8" t="s">
        <v>20</v>
      </c>
      <c r="G46" s="8" t="s">
        <v>20</v>
      </c>
      <c r="H46" s="8">
        <f>32000*117/100</f>
        <v>37440</v>
      </c>
      <c r="I46" s="16">
        <f t="shared" ref="I46:I48" si="2">H46</f>
        <v>37440</v>
      </c>
      <c r="J46" s="44" t="s">
        <v>16</v>
      </c>
      <c r="K46" s="262"/>
      <c r="L46" s="263"/>
      <c r="M46" s="247"/>
    </row>
    <row r="47" spans="1:13" ht="26.4" x14ac:dyDescent="0.25">
      <c r="A47" s="259"/>
      <c r="B47" s="261"/>
      <c r="C47" s="261"/>
      <c r="D47" s="44" t="s">
        <v>141</v>
      </c>
      <c r="E47" s="7">
        <v>76</v>
      </c>
      <c r="F47" s="8" t="s">
        <v>20</v>
      </c>
      <c r="G47" s="8" t="s">
        <v>20</v>
      </c>
      <c r="H47" s="8">
        <f>35000*117/100</f>
        <v>40950</v>
      </c>
      <c r="I47" s="16">
        <f t="shared" si="2"/>
        <v>40950</v>
      </c>
      <c r="J47" s="44" t="s">
        <v>16</v>
      </c>
      <c r="K47" s="262"/>
      <c r="L47" s="263"/>
      <c r="M47" s="247"/>
    </row>
    <row r="48" spans="1:13" ht="13.8" x14ac:dyDescent="0.25">
      <c r="A48" s="259"/>
      <c r="B48" s="261"/>
      <c r="C48" s="261"/>
      <c r="D48" s="44" t="s">
        <v>58</v>
      </c>
      <c r="E48" s="7">
        <v>60</v>
      </c>
      <c r="F48" s="8" t="s">
        <v>20</v>
      </c>
      <c r="G48" s="8" t="s">
        <v>20</v>
      </c>
      <c r="H48" s="8">
        <f>55000*117/100</f>
        <v>64350</v>
      </c>
      <c r="I48" s="16">
        <f t="shared" si="2"/>
        <v>64350</v>
      </c>
      <c r="J48" s="44" t="s">
        <v>16</v>
      </c>
      <c r="K48" s="262"/>
      <c r="L48" s="263"/>
      <c r="M48" s="247"/>
    </row>
    <row r="49" spans="1:13" ht="12" customHeight="1" x14ac:dyDescent="0.25">
      <c r="A49" s="260"/>
      <c r="B49" s="248"/>
      <c r="C49" s="249"/>
      <c r="D49" s="249"/>
      <c r="E49" s="249"/>
      <c r="F49" s="249"/>
      <c r="G49" s="249"/>
      <c r="H49" s="249"/>
      <c r="I49" s="249"/>
      <c r="J49" s="249"/>
      <c r="K49" s="249"/>
      <c r="L49" s="249"/>
      <c r="M49" s="250"/>
    </row>
    <row r="50" spans="1:13" ht="15.6" x14ac:dyDescent="0.25">
      <c r="A50" s="251" t="s">
        <v>182</v>
      </c>
      <c r="B50" s="252"/>
      <c r="C50" s="252"/>
      <c r="D50" s="252"/>
      <c r="E50" s="252"/>
      <c r="F50" s="252"/>
      <c r="G50" s="252"/>
      <c r="H50" s="252"/>
      <c r="I50" s="252"/>
      <c r="J50" s="252"/>
      <c r="K50" s="252"/>
      <c r="L50" s="252"/>
      <c r="M50" s="253"/>
    </row>
    <row r="51" spans="1:13" ht="13.8" x14ac:dyDescent="0.25">
      <c r="A51" s="259">
        <v>9</v>
      </c>
      <c r="B51" s="261" t="s">
        <v>193</v>
      </c>
      <c r="C51" s="261" t="s">
        <v>81</v>
      </c>
      <c r="D51" s="22" t="s">
        <v>183</v>
      </c>
      <c r="E51" s="23">
        <v>100</v>
      </c>
      <c r="F51" s="19" t="s">
        <v>20</v>
      </c>
      <c r="G51" s="19" t="s">
        <v>20</v>
      </c>
      <c r="H51" s="19">
        <f>9500*117/100</f>
        <v>11115</v>
      </c>
      <c r="I51" s="24">
        <f>H51</f>
        <v>11115</v>
      </c>
      <c r="J51" s="22" t="s">
        <v>16</v>
      </c>
      <c r="K51" s="262" t="s">
        <v>45</v>
      </c>
      <c r="L51" s="263" t="s">
        <v>48</v>
      </c>
      <c r="M51" s="247">
        <v>224001</v>
      </c>
    </row>
    <row r="52" spans="1:13" ht="13.8" x14ac:dyDescent="0.25">
      <c r="A52" s="259"/>
      <c r="B52" s="261"/>
      <c r="C52" s="261"/>
      <c r="D52" s="44" t="s">
        <v>184</v>
      </c>
      <c r="E52" s="7">
        <v>96</v>
      </c>
      <c r="F52" s="8" t="s">
        <v>20</v>
      </c>
      <c r="G52" s="8" t="s">
        <v>20</v>
      </c>
      <c r="H52" s="8">
        <f>10000*117/100</f>
        <v>11700</v>
      </c>
      <c r="I52" s="16">
        <f t="shared" ref="I52:I54" si="3">H52</f>
        <v>11700</v>
      </c>
      <c r="J52" s="44" t="s">
        <v>16</v>
      </c>
      <c r="K52" s="262"/>
      <c r="L52" s="263"/>
      <c r="M52" s="247"/>
    </row>
    <row r="53" spans="1:13" ht="13.8" x14ac:dyDescent="0.25">
      <c r="A53" s="259"/>
      <c r="B53" s="261"/>
      <c r="C53" s="261"/>
      <c r="D53" s="44" t="s">
        <v>127</v>
      </c>
      <c r="E53" s="7">
        <v>81</v>
      </c>
      <c r="F53" s="8" t="s">
        <v>20</v>
      </c>
      <c r="G53" s="8" t="s">
        <v>20</v>
      </c>
      <c r="H53" s="8">
        <f>13000*117/100</f>
        <v>15210</v>
      </c>
      <c r="I53" s="16">
        <f t="shared" si="3"/>
        <v>15210</v>
      </c>
      <c r="J53" s="44" t="s">
        <v>16</v>
      </c>
      <c r="K53" s="262"/>
      <c r="L53" s="263"/>
      <c r="M53" s="247"/>
    </row>
    <row r="54" spans="1:13" ht="13.8" x14ac:dyDescent="0.25">
      <c r="A54" s="259"/>
      <c r="B54" s="261"/>
      <c r="C54" s="261"/>
      <c r="D54" s="44" t="s">
        <v>224</v>
      </c>
      <c r="E54" s="7">
        <v>60</v>
      </c>
      <c r="F54" s="8" t="s">
        <v>20</v>
      </c>
      <c r="G54" s="8" t="s">
        <v>20</v>
      </c>
      <c r="H54" s="8">
        <f>22000*117/100</f>
        <v>25740</v>
      </c>
      <c r="I54" s="16">
        <f t="shared" si="3"/>
        <v>25740</v>
      </c>
      <c r="J54" s="44" t="s">
        <v>16</v>
      </c>
      <c r="K54" s="262"/>
      <c r="L54" s="263"/>
      <c r="M54" s="247"/>
    </row>
    <row r="55" spans="1:13" ht="13.8" x14ac:dyDescent="0.25">
      <c r="A55" s="260"/>
      <c r="B55" s="248"/>
      <c r="C55" s="249"/>
      <c r="D55" s="249"/>
      <c r="E55" s="249"/>
      <c r="F55" s="249"/>
      <c r="G55" s="249"/>
      <c r="H55" s="249"/>
      <c r="I55" s="249"/>
      <c r="J55" s="249"/>
      <c r="K55" s="249"/>
      <c r="L55" s="249"/>
      <c r="M55" s="250"/>
    </row>
    <row r="56" spans="1:13" ht="15.6" x14ac:dyDescent="0.25">
      <c r="A56" s="251" t="s">
        <v>185</v>
      </c>
      <c r="B56" s="252"/>
      <c r="C56" s="252"/>
      <c r="D56" s="252"/>
      <c r="E56" s="252"/>
      <c r="F56" s="252"/>
      <c r="G56" s="252"/>
      <c r="H56" s="252"/>
      <c r="I56" s="252"/>
      <c r="J56" s="252"/>
      <c r="K56" s="252"/>
      <c r="L56" s="252"/>
      <c r="M56" s="253"/>
    </row>
    <row r="57" spans="1:13" ht="13.8" x14ac:dyDescent="0.25">
      <c r="A57" s="259">
        <v>10</v>
      </c>
      <c r="B57" s="261" t="s">
        <v>194</v>
      </c>
      <c r="C57" s="261" t="s">
        <v>81</v>
      </c>
      <c r="D57" s="22" t="s">
        <v>183</v>
      </c>
      <c r="E57" s="23">
        <v>100</v>
      </c>
      <c r="F57" s="19" t="s">
        <v>20</v>
      </c>
      <c r="G57" s="19" t="s">
        <v>20</v>
      </c>
      <c r="H57" s="19">
        <f>9500*117/100</f>
        <v>11115</v>
      </c>
      <c r="I57" s="24">
        <f>H57</f>
        <v>11115</v>
      </c>
      <c r="J57" s="22" t="s">
        <v>16</v>
      </c>
      <c r="K57" s="262" t="s">
        <v>45</v>
      </c>
      <c r="L57" s="263" t="s">
        <v>48</v>
      </c>
      <c r="M57" s="247">
        <v>224001</v>
      </c>
    </row>
    <row r="58" spans="1:13" ht="13.8" x14ac:dyDescent="0.25">
      <c r="A58" s="259"/>
      <c r="B58" s="261"/>
      <c r="C58" s="261"/>
      <c r="D58" s="44" t="s">
        <v>184</v>
      </c>
      <c r="E58" s="7">
        <v>96</v>
      </c>
      <c r="F58" s="8" t="s">
        <v>20</v>
      </c>
      <c r="G58" s="8" t="s">
        <v>20</v>
      </c>
      <c r="H58" s="8">
        <f>10000*117/100</f>
        <v>11700</v>
      </c>
      <c r="I58" s="16">
        <f t="shared" ref="I58:I60" si="4">H58</f>
        <v>11700</v>
      </c>
      <c r="J58" s="44" t="s">
        <v>16</v>
      </c>
      <c r="K58" s="262"/>
      <c r="L58" s="263"/>
      <c r="M58" s="247"/>
    </row>
    <row r="59" spans="1:13" ht="13.8" x14ac:dyDescent="0.25">
      <c r="A59" s="259"/>
      <c r="B59" s="261"/>
      <c r="C59" s="261"/>
      <c r="D59" s="44" t="s">
        <v>127</v>
      </c>
      <c r="E59" s="7">
        <v>81</v>
      </c>
      <c r="F59" s="8" t="s">
        <v>20</v>
      </c>
      <c r="G59" s="8" t="s">
        <v>20</v>
      </c>
      <c r="H59" s="8">
        <f>13000*117/100</f>
        <v>15210</v>
      </c>
      <c r="I59" s="16">
        <f t="shared" si="4"/>
        <v>15210</v>
      </c>
      <c r="J59" s="44" t="s">
        <v>16</v>
      </c>
      <c r="K59" s="262"/>
      <c r="L59" s="263"/>
      <c r="M59" s="247"/>
    </row>
    <row r="60" spans="1:13" ht="13.8" x14ac:dyDescent="0.25">
      <c r="A60" s="259"/>
      <c r="B60" s="261"/>
      <c r="C60" s="261"/>
      <c r="D60" s="44" t="s">
        <v>224</v>
      </c>
      <c r="E60" s="7">
        <v>60</v>
      </c>
      <c r="F60" s="8" t="s">
        <v>20</v>
      </c>
      <c r="G60" s="8" t="s">
        <v>20</v>
      </c>
      <c r="H60" s="8">
        <f>22000*117/100</f>
        <v>25740</v>
      </c>
      <c r="I60" s="16">
        <f t="shared" si="4"/>
        <v>25740</v>
      </c>
      <c r="J60" s="44" t="s">
        <v>16</v>
      </c>
      <c r="K60" s="262"/>
      <c r="L60" s="263"/>
      <c r="M60" s="247"/>
    </row>
    <row r="61" spans="1:13" ht="13.8" x14ac:dyDescent="0.25">
      <c r="A61" s="260"/>
      <c r="B61" s="248"/>
      <c r="C61" s="249"/>
      <c r="D61" s="249"/>
      <c r="E61" s="249"/>
      <c r="F61" s="249"/>
      <c r="G61" s="249"/>
      <c r="H61" s="249"/>
      <c r="I61" s="249"/>
      <c r="J61" s="249"/>
      <c r="K61" s="249"/>
      <c r="L61" s="249"/>
      <c r="M61" s="250"/>
    </row>
    <row r="62" spans="1:13" ht="15.6" x14ac:dyDescent="0.25">
      <c r="A62" s="251" t="s">
        <v>187</v>
      </c>
      <c r="B62" s="252"/>
      <c r="C62" s="252"/>
      <c r="D62" s="252"/>
      <c r="E62" s="252"/>
      <c r="F62" s="252"/>
      <c r="G62" s="252"/>
      <c r="H62" s="252"/>
      <c r="I62" s="252"/>
      <c r="J62" s="252"/>
      <c r="K62" s="252"/>
      <c r="L62" s="252"/>
      <c r="M62" s="253"/>
    </row>
    <row r="63" spans="1:13" ht="13.8" x14ac:dyDescent="0.25">
      <c r="A63" s="259">
        <v>11</v>
      </c>
      <c r="B63" s="261" t="s">
        <v>186</v>
      </c>
      <c r="C63" s="261" t="s">
        <v>81</v>
      </c>
      <c r="D63" s="22" t="s">
        <v>183</v>
      </c>
      <c r="E63" s="23">
        <v>100</v>
      </c>
      <c r="F63" s="19" t="s">
        <v>20</v>
      </c>
      <c r="G63" s="19" t="s">
        <v>20</v>
      </c>
      <c r="H63" s="19">
        <f>9500*117/100</f>
        <v>11115</v>
      </c>
      <c r="I63" s="24">
        <f>H63</f>
        <v>11115</v>
      </c>
      <c r="J63" s="22" t="s">
        <v>16</v>
      </c>
      <c r="K63" s="262" t="s">
        <v>45</v>
      </c>
      <c r="L63" s="263" t="s">
        <v>48</v>
      </c>
      <c r="M63" s="247">
        <v>224001</v>
      </c>
    </row>
    <row r="64" spans="1:13" ht="13.8" x14ac:dyDescent="0.25">
      <c r="A64" s="259"/>
      <c r="B64" s="261"/>
      <c r="C64" s="261"/>
      <c r="D64" s="44" t="s">
        <v>184</v>
      </c>
      <c r="E64" s="7">
        <v>96</v>
      </c>
      <c r="F64" s="8" t="s">
        <v>20</v>
      </c>
      <c r="G64" s="8" t="s">
        <v>20</v>
      </c>
      <c r="H64" s="8">
        <f>10000*117/100</f>
        <v>11700</v>
      </c>
      <c r="I64" s="16">
        <f t="shared" ref="I64:I66" si="5">H64</f>
        <v>11700</v>
      </c>
      <c r="J64" s="44" t="s">
        <v>16</v>
      </c>
      <c r="K64" s="262"/>
      <c r="L64" s="263"/>
      <c r="M64" s="247"/>
    </row>
    <row r="65" spans="1:13" ht="13.8" x14ac:dyDescent="0.25">
      <c r="A65" s="259"/>
      <c r="B65" s="261"/>
      <c r="C65" s="261"/>
      <c r="D65" s="44" t="s">
        <v>127</v>
      </c>
      <c r="E65" s="7">
        <v>81</v>
      </c>
      <c r="F65" s="8" t="s">
        <v>20</v>
      </c>
      <c r="G65" s="8" t="s">
        <v>20</v>
      </c>
      <c r="H65" s="8">
        <f>13000*117/100</f>
        <v>15210</v>
      </c>
      <c r="I65" s="16">
        <f t="shared" si="5"/>
        <v>15210</v>
      </c>
      <c r="J65" s="44" t="s">
        <v>16</v>
      </c>
      <c r="K65" s="262"/>
      <c r="L65" s="263"/>
      <c r="M65" s="247"/>
    </row>
    <row r="66" spans="1:13" ht="13.8" x14ac:dyDescent="0.25">
      <c r="A66" s="259"/>
      <c r="B66" s="261"/>
      <c r="C66" s="261"/>
      <c r="D66" s="44" t="s">
        <v>224</v>
      </c>
      <c r="E66" s="7">
        <v>60</v>
      </c>
      <c r="F66" s="8" t="s">
        <v>20</v>
      </c>
      <c r="G66" s="8" t="s">
        <v>20</v>
      </c>
      <c r="H66" s="8">
        <f>22000*117/100</f>
        <v>25740</v>
      </c>
      <c r="I66" s="16">
        <f t="shared" si="5"/>
        <v>25740</v>
      </c>
      <c r="J66" s="44" t="s">
        <v>16</v>
      </c>
      <c r="K66" s="262"/>
      <c r="L66" s="263"/>
      <c r="M66" s="247"/>
    </row>
    <row r="67" spans="1:13" ht="13.8" x14ac:dyDescent="0.25">
      <c r="A67" s="260"/>
      <c r="B67" s="248"/>
      <c r="C67" s="249"/>
      <c r="D67" s="249"/>
      <c r="E67" s="249"/>
      <c r="F67" s="249"/>
      <c r="G67" s="249"/>
      <c r="H67" s="249"/>
      <c r="I67" s="249"/>
      <c r="J67" s="249"/>
      <c r="K67" s="249"/>
      <c r="L67" s="249"/>
      <c r="M67" s="250"/>
    </row>
    <row r="68" spans="1:13" ht="15.6" x14ac:dyDescent="0.25">
      <c r="A68" s="251" t="s">
        <v>188</v>
      </c>
      <c r="B68" s="252"/>
      <c r="C68" s="252"/>
      <c r="D68" s="252"/>
      <c r="E68" s="252"/>
      <c r="F68" s="252"/>
      <c r="G68" s="252"/>
      <c r="H68" s="252"/>
      <c r="I68" s="252"/>
      <c r="J68" s="252"/>
      <c r="K68" s="252"/>
      <c r="L68" s="252"/>
      <c r="M68" s="253"/>
    </row>
    <row r="69" spans="1:13" ht="13.8" x14ac:dyDescent="0.25">
      <c r="A69" s="259">
        <v>12</v>
      </c>
      <c r="B69" s="261" t="s">
        <v>195</v>
      </c>
      <c r="C69" s="261" t="s">
        <v>81</v>
      </c>
      <c r="D69" s="22" t="s">
        <v>200</v>
      </c>
      <c r="E69" s="23">
        <v>100</v>
      </c>
      <c r="F69" s="19" t="s">
        <v>20</v>
      </c>
      <c r="G69" s="19" t="s">
        <v>20</v>
      </c>
      <c r="H69" s="19">
        <f>5500*117/100</f>
        <v>6435</v>
      </c>
      <c r="I69" s="24">
        <f>H69</f>
        <v>6435</v>
      </c>
      <c r="J69" s="22" t="s">
        <v>16</v>
      </c>
      <c r="K69" s="262" t="s">
        <v>45</v>
      </c>
      <c r="L69" s="263" t="s">
        <v>48</v>
      </c>
      <c r="M69" s="247">
        <v>224001</v>
      </c>
    </row>
    <row r="70" spans="1:13" ht="22.8" x14ac:dyDescent="0.25">
      <c r="A70" s="259"/>
      <c r="B70" s="261"/>
      <c r="C70" s="261"/>
      <c r="D70" s="55" t="s">
        <v>189</v>
      </c>
      <c r="E70" s="7">
        <v>89</v>
      </c>
      <c r="F70" s="8" t="s">
        <v>20</v>
      </c>
      <c r="G70" s="8" t="s">
        <v>20</v>
      </c>
      <c r="H70" s="8">
        <f>6500*117/100</f>
        <v>7605</v>
      </c>
      <c r="I70" s="16">
        <f t="shared" ref="I70:I72" si="6">H70</f>
        <v>7605</v>
      </c>
      <c r="J70" s="44" t="s">
        <v>16</v>
      </c>
      <c r="K70" s="262"/>
      <c r="L70" s="263"/>
      <c r="M70" s="247"/>
    </row>
    <row r="71" spans="1:13" ht="26.4" x14ac:dyDescent="0.25">
      <c r="A71" s="259"/>
      <c r="B71" s="261"/>
      <c r="C71" s="261"/>
      <c r="D71" s="44" t="s">
        <v>190</v>
      </c>
      <c r="E71" s="7">
        <v>81</v>
      </c>
      <c r="F71" s="8" t="s">
        <v>20</v>
      </c>
      <c r="G71" s="8" t="s">
        <v>20</v>
      </c>
      <c r="H71" s="8">
        <f>7500*117/100</f>
        <v>8775</v>
      </c>
      <c r="I71" s="16">
        <f t="shared" si="6"/>
        <v>8775</v>
      </c>
      <c r="J71" s="44"/>
      <c r="K71" s="262"/>
      <c r="L71" s="263"/>
      <c r="M71" s="247"/>
    </row>
    <row r="72" spans="1:13" ht="26.4" x14ac:dyDescent="0.25">
      <c r="A72" s="259"/>
      <c r="B72" s="261"/>
      <c r="C72" s="261"/>
      <c r="D72" s="44" t="s">
        <v>191</v>
      </c>
      <c r="E72" s="7">
        <v>66</v>
      </c>
      <c r="F72" s="8" t="s">
        <v>20</v>
      </c>
      <c r="G72" s="8" t="s">
        <v>20</v>
      </c>
      <c r="H72" s="8">
        <f>10800*117/100</f>
        <v>12636</v>
      </c>
      <c r="I72" s="16">
        <f t="shared" si="6"/>
        <v>12636</v>
      </c>
      <c r="J72" s="44" t="s">
        <v>16</v>
      </c>
      <c r="K72" s="262"/>
      <c r="L72" s="263"/>
      <c r="M72" s="247"/>
    </row>
    <row r="73" spans="1:13" ht="13.8" x14ac:dyDescent="0.25">
      <c r="A73" s="260"/>
      <c r="B73" s="248"/>
      <c r="C73" s="249"/>
      <c r="D73" s="249"/>
      <c r="E73" s="249"/>
      <c r="F73" s="249"/>
      <c r="G73" s="249"/>
      <c r="H73" s="249"/>
      <c r="I73" s="249"/>
      <c r="J73" s="249"/>
      <c r="K73" s="249"/>
      <c r="L73" s="249"/>
      <c r="M73" s="250"/>
    </row>
    <row r="74" spans="1:13" ht="15.6" x14ac:dyDescent="0.25">
      <c r="A74" s="251" t="s">
        <v>196</v>
      </c>
      <c r="B74" s="252"/>
      <c r="C74" s="252"/>
      <c r="D74" s="252"/>
      <c r="E74" s="252"/>
      <c r="F74" s="252"/>
      <c r="G74" s="252"/>
      <c r="H74" s="252"/>
      <c r="I74" s="252"/>
      <c r="J74" s="252"/>
      <c r="K74" s="252"/>
      <c r="L74" s="252"/>
      <c r="M74" s="253"/>
    </row>
    <row r="75" spans="1:13" ht="14.25" customHeight="1" x14ac:dyDescent="0.25">
      <c r="A75" s="259">
        <v>13</v>
      </c>
      <c r="B75" s="261" t="s">
        <v>197</v>
      </c>
      <c r="C75" s="261" t="s">
        <v>81</v>
      </c>
      <c r="D75" s="22" t="s">
        <v>200</v>
      </c>
      <c r="E75" s="23">
        <v>100</v>
      </c>
      <c r="F75" s="19" t="s">
        <v>20</v>
      </c>
      <c r="G75" s="19" t="s">
        <v>20</v>
      </c>
      <c r="H75" s="19">
        <f>5500*117/100</f>
        <v>6435</v>
      </c>
      <c r="I75" s="24">
        <f>H75</f>
        <v>6435</v>
      </c>
      <c r="J75" s="22" t="s">
        <v>16</v>
      </c>
      <c r="K75" s="262" t="s">
        <v>45</v>
      </c>
      <c r="L75" s="263" t="s">
        <v>48</v>
      </c>
      <c r="M75" s="247">
        <v>224001</v>
      </c>
    </row>
    <row r="76" spans="1:13" ht="39.6" x14ac:dyDescent="0.25">
      <c r="A76" s="259"/>
      <c r="B76" s="261"/>
      <c r="C76" s="261"/>
      <c r="D76" s="44" t="s">
        <v>189</v>
      </c>
      <c r="E76" s="7">
        <v>89</v>
      </c>
      <c r="F76" s="8" t="s">
        <v>20</v>
      </c>
      <c r="G76" s="8" t="s">
        <v>20</v>
      </c>
      <c r="H76" s="8">
        <f>6500*117/100</f>
        <v>7605</v>
      </c>
      <c r="I76" s="16">
        <f t="shared" ref="I76:I78" si="7">H76</f>
        <v>7605</v>
      </c>
      <c r="J76" s="44" t="s">
        <v>16</v>
      </c>
      <c r="K76" s="262"/>
      <c r="L76" s="263"/>
      <c r="M76" s="247"/>
    </row>
    <row r="77" spans="1:13" ht="26.4" x14ac:dyDescent="0.25">
      <c r="A77" s="259"/>
      <c r="B77" s="261"/>
      <c r="C77" s="261"/>
      <c r="D77" s="44" t="s">
        <v>190</v>
      </c>
      <c r="E77" s="7">
        <v>81</v>
      </c>
      <c r="F77" s="8" t="s">
        <v>20</v>
      </c>
      <c r="G77" s="8" t="s">
        <v>20</v>
      </c>
      <c r="H77" s="8">
        <f>7500*117/100</f>
        <v>8775</v>
      </c>
      <c r="I77" s="16">
        <f t="shared" si="7"/>
        <v>8775</v>
      </c>
      <c r="J77" s="44"/>
      <c r="K77" s="262"/>
      <c r="L77" s="263"/>
      <c r="M77" s="247"/>
    </row>
    <row r="78" spans="1:13" ht="26.4" x14ac:dyDescent="0.25">
      <c r="A78" s="259"/>
      <c r="B78" s="261"/>
      <c r="C78" s="261"/>
      <c r="D78" s="44" t="s">
        <v>191</v>
      </c>
      <c r="E78" s="7">
        <v>66</v>
      </c>
      <c r="F78" s="8" t="s">
        <v>20</v>
      </c>
      <c r="G78" s="8" t="s">
        <v>20</v>
      </c>
      <c r="H78" s="8">
        <f>10800*117/100</f>
        <v>12636</v>
      </c>
      <c r="I78" s="16">
        <f t="shared" si="7"/>
        <v>12636</v>
      </c>
      <c r="J78" s="44" t="s">
        <v>16</v>
      </c>
      <c r="K78" s="262"/>
      <c r="L78" s="263"/>
      <c r="M78" s="247"/>
    </row>
    <row r="79" spans="1:13" ht="13.8" x14ac:dyDescent="0.25">
      <c r="A79" s="260"/>
      <c r="B79" s="248"/>
      <c r="C79" s="249"/>
      <c r="D79" s="249"/>
      <c r="E79" s="249"/>
      <c r="F79" s="249"/>
      <c r="G79" s="249"/>
      <c r="H79" s="249"/>
      <c r="I79" s="249"/>
      <c r="J79" s="249"/>
      <c r="K79" s="249"/>
      <c r="L79" s="249"/>
      <c r="M79" s="250"/>
    </row>
    <row r="80" spans="1:13" ht="15.6" x14ac:dyDescent="0.25">
      <c r="A80" s="251" t="s">
        <v>199</v>
      </c>
      <c r="B80" s="252"/>
      <c r="C80" s="252"/>
      <c r="D80" s="252"/>
      <c r="E80" s="252"/>
      <c r="F80" s="252"/>
      <c r="G80" s="252"/>
      <c r="H80" s="252"/>
      <c r="I80" s="252"/>
      <c r="J80" s="252"/>
      <c r="K80" s="252"/>
      <c r="L80" s="252"/>
      <c r="M80" s="253"/>
    </row>
    <row r="81" spans="1:13" ht="14.25" customHeight="1" x14ac:dyDescent="0.25">
      <c r="A81" s="259">
        <v>14</v>
      </c>
      <c r="B81" s="261" t="s">
        <v>198</v>
      </c>
      <c r="C81" s="261" t="s">
        <v>81</v>
      </c>
      <c r="D81" s="22" t="s">
        <v>200</v>
      </c>
      <c r="E81" s="23">
        <v>100</v>
      </c>
      <c r="F81" s="19" t="s">
        <v>20</v>
      </c>
      <c r="G81" s="19" t="s">
        <v>20</v>
      </c>
      <c r="H81" s="19">
        <f>5500*117/100</f>
        <v>6435</v>
      </c>
      <c r="I81" s="24">
        <f>H81</f>
        <v>6435</v>
      </c>
      <c r="J81" s="22" t="s">
        <v>16</v>
      </c>
      <c r="K81" s="262" t="s">
        <v>45</v>
      </c>
      <c r="L81" s="263" t="s">
        <v>48</v>
      </c>
      <c r="M81" s="247">
        <v>224001</v>
      </c>
    </row>
    <row r="82" spans="1:13" ht="39.6" x14ac:dyDescent="0.25">
      <c r="A82" s="259"/>
      <c r="B82" s="261"/>
      <c r="C82" s="261"/>
      <c r="D82" s="44" t="s">
        <v>189</v>
      </c>
      <c r="E82" s="7">
        <v>89</v>
      </c>
      <c r="F82" s="8" t="s">
        <v>20</v>
      </c>
      <c r="G82" s="8" t="s">
        <v>20</v>
      </c>
      <c r="H82" s="8">
        <f>6500*117/100</f>
        <v>7605</v>
      </c>
      <c r="I82" s="16">
        <f t="shared" ref="I82:I84" si="8">H82</f>
        <v>7605</v>
      </c>
      <c r="J82" s="44" t="s">
        <v>16</v>
      </c>
      <c r="K82" s="262"/>
      <c r="L82" s="263"/>
      <c r="M82" s="247"/>
    </row>
    <row r="83" spans="1:13" ht="26.4" x14ac:dyDescent="0.25">
      <c r="A83" s="259"/>
      <c r="B83" s="261"/>
      <c r="C83" s="261"/>
      <c r="D83" s="44" t="s">
        <v>190</v>
      </c>
      <c r="E83" s="7">
        <v>81</v>
      </c>
      <c r="F83" s="8" t="s">
        <v>20</v>
      </c>
      <c r="G83" s="8" t="s">
        <v>20</v>
      </c>
      <c r="H83" s="8">
        <f>7500*117/100</f>
        <v>8775</v>
      </c>
      <c r="I83" s="16">
        <f t="shared" si="8"/>
        <v>8775</v>
      </c>
      <c r="J83" s="44"/>
      <c r="K83" s="262"/>
      <c r="L83" s="263"/>
      <c r="M83" s="247"/>
    </row>
    <row r="84" spans="1:13" ht="26.4" x14ac:dyDescent="0.25">
      <c r="A84" s="259"/>
      <c r="B84" s="261"/>
      <c r="C84" s="261"/>
      <c r="D84" s="44" t="s">
        <v>191</v>
      </c>
      <c r="E84" s="7">
        <v>66</v>
      </c>
      <c r="F84" s="8" t="s">
        <v>20</v>
      </c>
      <c r="G84" s="8" t="s">
        <v>20</v>
      </c>
      <c r="H84" s="8">
        <f>10800*117/100</f>
        <v>12636</v>
      </c>
      <c r="I84" s="16">
        <f t="shared" si="8"/>
        <v>12636</v>
      </c>
      <c r="J84" s="44" t="s">
        <v>16</v>
      </c>
      <c r="K84" s="262"/>
      <c r="L84" s="263"/>
      <c r="M84" s="247"/>
    </row>
    <row r="85" spans="1:13" ht="13.8" x14ac:dyDescent="0.25">
      <c r="A85" s="260"/>
      <c r="B85" s="248"/>
      <c r="C85" s="249"/>
      <c r="D85" s="249"/>
      <c r="E85" s="249"/>
      <c r="F85" s="249"/>
      <c r="G85" s="249"/>
      <c r="H85" s="249"/>
      <c r="I85" s="249"/>
      <c r="J85" s="249"/>
      <c r="K85" s="249"/>
      <c r="L85" s="249"/>
      <c r="M85" s="250"/>
    </row>
    <row r="86" spans="1:13" ht="15.6" x14ac:dyDescent="0.25">
      <c r="A86" s="251" t="s">
        <v>207</v>
      </c>
      <c r="B86" s="252"/>
      <c r="C86" s="252"/>
      <c r="D86" s="252"/>
      <c r="E86" s="252"/>
      <c r="F86" s="252"/>
      <c r="G86" s="252"/>
      <c r="H86" s="252"/>
      <c r="I86" s="252"/>
      <c r="J86" s="252"/>
      <c r="K86" s="252"/>
      <c r="L86" s="252"/>
      <c r="M86" s="253"/>
    </row>
    <row r="87" spans="1:13" ht="18.75" customHeight="1" x14ac:dyDescent="0.25">
      <c r="A87" s="264">
        <v>15</v>
      </c>
      <c r="B87" s="265" t="s">
        <v>201</v>
      </c>
      <c r="C87" s="265" t="s">
        <v>202</v>
      </c>
      <c r="D87" s="42" t="s">
        <v>204</v>
      </c>
      <c r="E87" s="43">
        <v>100</v>
      </c>
      <c r="F87" s="45" t="s">
        <v>205</v>
      </c>
      <c r="G87" s="45" t="s">
        <v>206</v>
      </c>
      <c r="H87" s="45">
        <f>3500*117/100</f>
        <v>4095</v>
      </c>
      <c r="I87" s="45">
        <f>H87*30</f>
        <v>122850</v>
      </c>
      <c r="J87" s="42"/>
      <c r="K87" s="271"/>
      <c r="L87" s="287"/>
      <c r="M87" s="267" t="s">
        <v>203</v>
      </c>
    </row>
    <row r="88" spans="1:13" ht="18.75" customHeight="1" x14ac:dyDescent="0.25">
      <c r="A88" s="259"/>
      <c r="B88" s="261"/>
      <c r="C88" s="261"/>
      <c r="D88" s="84" t="s">
        <v>183</v>
      </c>
      <c r="E88" s="7">
        <v>91</v>
      </c>
      <c r="F88" s="16" t="s">
        <v>205</v>
      </c>
      <c r="G88" s="16" t="s">
        <v>206</v>
      </c>
      <c r="H88" s="16">
        <f>4000*117/100</f>
        <v>4680</v>
      </c>
      <c r="I88" s="16">
        <f>H88*30</f>
        <v>140400</v>
      </c>
      <c r="J88" s="84"/>
      <c r="K88" s="262"/>
      <c r="L88" s="287"/>
      <c r="M88" s="247"/>
    </row>
    <row r="89" spans="1:13" ht="18.75" customHeight="1" x14ac:dyDescent="0.25">
      <c r="A89" s="259"/>
      <c r="B89" s="261"/>
      <c r="C89" s="261"/>
      <c r="D89" s="46" t="s">
        <v>485</v>
      </c>
      <c r="E89" s="7">
        <v>78</v>
      </c>
      <c r="F89" s="16" t="s">
        <v>205</v>
      </c>
      <c r="G89" s="16" t="s">
        <v>206</v>
      </c>
      <c r="H89" s="16">
        <f>5100*117/100</f>
        <v>5967</v>
      </c>
      <c r="I89" s="16">
        <f>H89*30</f>
        <v>179010</v>
      </c>
      <c r="J89" s="46"/>
      <c r="K89" s="262"/>
      <c r="L89" s="287"/>
      <c r="M89" s="247"/>
    </row>
    <row r="90" spans="1:13" ht="13.8" x14ac:dyDescent="0.25">
      <c r="A90" s="260"/>
      <c r="B90" s="248" t="s">
        <v>173</v>
      </c>
      <c r="C90" s="249"/>
      <c r="D90" s="249"/>
      <c r="E90" s="249"/>
      <c r="F90" s="249"/>
      <c r="G90" s="249"/>
      <c r="H90" s="249"/>
      <c r="I90" s="249"/>
      <c r="J90" s="249"/>
      <c r="K90" s="249"/>
      <c r="L90" s="249"/>
      <c r="M90" s="250"/>
    </row>
    <row r="91" spans="1:13" ht="15.6" x14ac:dyDescent="0.25">
      <c r="A91" s="251" t="s">
        <v>208</v>
      </c>
      <c r="B91" s="252"/>
      <c r="C91" s="252"/>
      <c r="D91" s="252"/>
      <c r="E91" s="252"/>
      <c r="F91" s="252"/>
      <c r="G91" s="252"/>
      <c r="H91" s="252"/>
      <c r="I91" s="252"/>
      <c r="J91" s="252"/>
      <c r="K91" s="252"/>
      <c r="L91" s="252"/>
      <c r="M91" s="253"/>
    </row>
    <row r="92" spans="1:13" ht="39.6" x14ac:dyDescent="0.25">
      <c r="A92" s="259">
        <v>16</v>
      </c>
      <c r="B92" s="261" t="s">
        <v>211</v>
      </c>
      <c r="C92" s="261" t="s">
        <v>202</v>
      </c>
      <c r="D92" s="17" t="s">
        <v>574</v>
      </c>
      <c r="E92" s="18">
        <v>100</v>
      </c>
      <c r="F92" s="24" t="s">
        <v>15</v>
      </c>
      <c r="G92" s="24" t="s">
        <v>623</v>
      </c>
      <c r="H92" s="24">
        <f>180*117/100</f>
        <v>210.6</v>
      </c>
      <c r="I92" s="24">
        <f>H92*16*24</f>
        <v>80870.399999999994</v>
      </c>
      <c r="J92" s="17"/>
      <c r="K92" s="262" t="s">
        <v>45</v>
      </c>
      <c r="L92" s="263"/>
      <c r="M92" s="247"/>
    </row>
    <row r="93" spans="1:13" ht="39.6" x14ac:dyDescent="0.25">
      <c r="A93" s="259"/>
      <c r="B93" s="261"/>
      <c r="C93" s="261"/>
      <c r="D93" s="73" t="s">
        <v>209</v>
      </c>
      <c r="E93" s="74">
        <v>93</v>
      </c>
      <c r="F93" s="16" t="s">
        <v>15</v>
      </c>
      <c r="G93" s="16" t="s">
        <v>210</v>
      </c>
      <c r="H93" s="16">
        <f>200*117/100</f>
        <v>234</v>
      </c>
      <c r="I93" s="16">
        <f>H93*16*24</f>
        <v>89856</v>
      </c>
      <c r="J93" s="73" t="s">
        <v>16</v>
      </c>
      <c r="K93" s="262"/>
      <c r="L93" s="263"/>
      <c r="M93" s="247"/>
    </row>
    <row r="94" spans="1:13" ht="39.6" x14ac:dyDescent="0.25">
      <c r="A94" s="259"/>
      <c r="B94" s="261"/>
      <c r="C94" s="261"/>
      <c r="D94" s="113" t="s">
        <v>212</v>
      </c>
      <c r="E94" s="7">
        <v>87</v>
      </c>
      <c r="F94" s="16" t="s">
        <v>15</v>
      </c>
      <c r="G94" s="16" t="s">
        <v>210</v>
      </c>
      <c r="H94" s="16">
        <f t="shared" ref="H94" si="9">200*117/100</f>
        <v>234</v>
      </c>
      <c r="I94" s="16">
        <f t="shared" ref="I94:I96" si="10">H94*16*24</f>
        <v>89856</v>
      </c>
      <c r="J94" s="113" t="s">
        <v>16</v>
      </c>
      <c r="K94" s="262"/>
      <c r="L94" s="263"/>
      <c r="M94" s="247"/>
    </row>
    <row r="95" spans="1:13" ht="39.6" x14ac:dyDescent="0.25">
      <c r="A95" s="259"/>
      <c r="B95" s="261"/>
      <c r="C95" s="261"/>
      <c r="D95" s="113" t="s">
        <v>213</v>
      </c>
      <c r="E95" s="7">
        <v>75</v>
      </c>
      <c r="F95" s="16" t="s">
        <v>15</v>
      </c>
      <c r="G95" s="16" t="s">
        <v>210</v>
      </c>
      <c r="H95" s="16">
        <f>200*117/100</f>
        <v>234</v>
      </c>
      <c r="I95" s="16">
        <f t="shared" si="10"/>
        <v>89856</v>
      </c>
      <c r="J95" s="113"/>
      <c r="K95" s="262"/>
      <c r="L95" s="263"/>
      <c r="M95" s="247"/>
    </row>
    <row r="96" spans="1:13" ht="39.6" x14ac:dyDescent="0.25">
      <c r="A96" s="259"/>
      <c r="B96" s="261"/>
      <c r="C96" s="261"/>
      <c r="D96" s="113" t="s">
        <v>214</v>
      </c>
      <c r="E96" s="7">
        <v>54</v>
      </c>
      <c r="F96" s="16" t="s">
        <v>15</v>
      </c>
      <c r="G96" s="16" t="s">
        <v>210</v>
      </c>
      <c r="H96" s="16">
        <f>300*117/100</f>
        <v>351</v>
      </c>
      <c r="I96" s="16">
        <f t="shared" si="10"/>
        <v>134784</v>
      </c>
      <c r="J96" s="113"/>
      <c r="K96" s="262"/>
      <c r="L96" s="263"/>
      <c r="M96" s="247"/>
    </row>
    <row r="97" spans="1:13" ht="13.95" customHeight="1" x14ac:dyDescent="0.25">
      <c r="A97" s="260"/>
      <c r="B97" s="248"/>
      <c r="C97" s="249"/>
      <c r="D97" s="249"/>
      <c r="E97" s="249"/>
      <c r="F97" s="249"/>
      <c r="G97" s="249"/>
      <c r="H97" s="249"/>
      <c r="I97" s="249"/>
      <c r="J97" s="249"/>
      <c r="K97" s="249"/>
      <c r="L97" s="249"/>
      <c r="M97" s="250"/>
    </row>
    <row r="98" spans="1:13" ht="15.6" x14ac:dyDescent="0.25">
      <c r="A98" s="251" t="s">
        <v>217</v>
      </c>
      <c r="B98" s="252"/>
      <c r="C98" s="252"/>
      <c r="D98" s="252"/>
      <c r="E98" s="252"/>
      <c r="F98" s="252"/>
      <c r="G98" s="252"/>
      <c r="H98" s="252"/>
      <c r="I98" s="252"/>
      <c r="J98" s="252"/>
      <c r="K98" s="252"/>
      <c r="L98" s="252"/>
      <c r="M98" s="253"/>
    </row>
    <row r="99" spans="1:13" ht="54.75" customHeight="1" x14ac:dyDescent="0.25">
      <c r="A99" s="264">
        <v>17</v>
      </c>
      <c r="B99" s="34" t="s">
        <v>215</v>
      </c>
      <c r="C99" s="34" t="s">
        <v>19</v>
      </c>
      <c r="D99" s="22" t="s">
        <v>216</v>
      </c>
      <c r="E99" s="23">
        <v>100</v>
      </c>
      <c r="F99" s="19" t="s">
        <v>17</v>
      </c>
      <c r="G99" s="19" t="s">
        <v>462</v>
      </c>
      <c r="H99" s="75">
        <v>3.3000000000000002E-2</v>
      </c>
      <c r="I99" s="19">
        <f>3.3/100*9641873*117/100</f>
        <v>372272.71653000003</v>
      </c>
      <c r="J99" s="22" t="s">
        <v>16</v>
      </c>
      <c r="K99" s="35" t="s">
        <v>521</v>
      </c>
      <c r="L99" s="38" t="s">
        <v>48</v>
      </c>
      <c r="M99" s="36">
        <v>253009</v>
      </c>
    </row>
    <row r="100" spans="1:13" ht="15.75" customHeight="1" x14ac:dyDescent="0.25">
      <c r="A100" s="260"/>
      <c r="B100" s="248" t="s">
        <v>241</v>
      </c>
      <c r="C100" s="249"/>
      <c r="D100" s="249"/>
      <c r="E100" s="249"/>
      <c r="F100" s="249"/>
      <c r="G100" s="249"/>
      <c r="H100" s="249"/>
      <c r="I100" s="249"/>
      <c r="J100" s="249"/>
      <c r="K100" s="249"/>
      <c r="L100" s="249"/>
      <c r="M100" s="250"/>
    </row>
    <row r="101" spans="1:13" ht="15.6" x14ac:dyDescent="0.25">
      <c r="A101" s="251" t="s">
        <v>218</v>
      </c>
      <c r="B101" s="252"/>
      <c r="C101" s="252"/>
      <c r="D101" s="252"/>
      <c r="E101" s="252"/>
      <c r="F101" s="252"/>
      <c r="G101" s="252"/>
      <c r="H101" s="252"/>
      <c r="I101" s="252"/>
      <c r="J101" s="252"/>
      <c r="K101" s="252"/>
      <c r="L101" s="252"/>
      <c r="M101" s="253"/>
    </row>
    <row r="102" spans="1:13" ht="52.8" x14ac:dyDescent="0.25">
      <c r="A102" s="259">
        <v>18</v>
      </c>
      <c r="B102" s="34" t="s">
        <v>215</v>
      </c>
      <c r="C102" s="48" t="s">
        <v>19</v>
      </c>
      <c r="D102" s="22" t="s">
        <v>120</v>
      </c>
      <c r="E102" s="23">
        <v>98</v>
      </c>
      <c r="F102" s="19" t="s">
        <v>17</v>
      </c>
      <c r="G102" s="19" t="s">
        <v>463</v>
      </c>
      <c r="H102" s="75">
        <v>3.4000000000000002E-2</v>
      </c>
      <c r="I102" s="19">
        <f>3.4/100*4812834*117/100</f>
        <v>191454.53651999999</v>
      </c>
      <c r="J102" s="22" t="s">
        <v>16</v>
      </c>
      <c r="K102" s="87" t="s">
        <v>521</v>
      </c>
      <c r="L102" s="38" t="s">
        <v>48</v>
      </c>
      <c r="M102" s="37">
        <v>253009</v>
      </c>
    </row>
    <row r="103" spans="1:13" ht="14.25" customHeight="1" x14ac:dyDescent="0.25">
      <c r="A103" s="260"/>
      <c r="B103" s="248" t="s">
        <v>241</v>
      </c>
      <c r="C103" s="249"/>
      <c r="D103" s="249"/>
      <c r="E103" s="249"/>
      <c r="F103" s="249"/>
      <c r="G103" s="249"/>
      <c r="H103" s="249"/>
      <c r="I103" s="249"/>
      <c r="J103" s="249"/>
      <c r="K103" s="249"/>
      <c r="L103" s="249"/>
      <c r="M103" s="250"/>
    </row>
    <row r="104" spans="1:13" ht="15.6" x14ac:dyDescent="0.25">
      <c r="A104" s="251" t="s">
        <v>219</v>
      </c>
      <c r="B104" s="252"/>
      <c r="C104" s="252"/>
      <c r="D104" s="252"/>
      <c r="E104" s="252"/>
      <c r="F104" s="252"/>
      <c r="G104" s="252"/>
      <c r="H104" s="252"/>
      <c r="I104" s="252"/>
      <c r="J104" s="252"/>
      <c r="K104" s="252"/>
      <c r="L104" s="252"/>
      <c r="M104" s="253"/>
    </row>
    <row r="105" spans="1:13" ht="52.8" x14ac:dyDescent="0.25">
      <c r="A105" s="259">
        <v>19</v>
      </c>
      <c r="B105" s="48" t="s">
        <v>215</v>
      </c>
      <c r="C105" s="48" t="s">
        <v>19</v>
      </c>
      <c r="D105" s="22" t="s">
        <v>225</v>
      </c>
      <c r="E105" s="23">
        <v>98</v>
      </c>
      <c r="F105" s="19" t="s">
        <v>17</v>
      </c>
      <c r="G105" s="19" t="s">
        <v>464</v>
      </c>
      <c r="H105" s="75">
        <v>3.5000000000000003E-2</v>
      </c>
      <c r="I105" s="19">
        <f>3.5/100*2857143*117/100</f>
        <v>117000.00585000002</v>
      </c>
      <c r="J105" s="22" t="s">
        <v>16</v>
      </c>
      <c r="K105" s="87" t="s">
        <v>521</v>
      </c>
      <c r="L105" s="49" t="s">
        <v>48</v>
      </c>
      <c r="M105" s="47">
        <v>253009</v>
      </c>
    </row>
    <row r="106" spans="1:13" ht="14.25" customHeight="1" x14ac:dyDescent="0.25">
      <c r="A106" s="260"/>
      <c r="B106" s="248" t="s">
        <v>241</v>
      </c>
      <c r="C106" s="249"/>
      <c r="D106" s="249"/>
      <c r="E106" s="249"/>
      <c r="F106" s="249"/>
      <c r="G106" s="249"/>
      <c r="H106" s="249"/>
      <c r="I106" s="249"/>
      <c r="J106" s="249"/>
      <c r="K106" s="249"/>
      <c r="L106" s="249"/>
      <c r="M106" s="250"/>
    </row>
    <row r="107" spans="1:13" ht="15.6" x14ac:dyDescent="0.25">
      <c r="A107" s="251" t="s">
        <v>220</v>
      </c>
      <c r="B107" s="252"/>
      <c r="C107" s="252"/>
      <c r="D107" s="252"/>
      <c r="E107" s="252"/>
      <c r="F107" s="252"/>
      <c r="G107" s="252"/>
      <c r="H107" s="252"/>
      <c r="I107" s="252"/>
      <c r="J107" s="252"/>
      <c r="K107" s="252"/>
      <c r="L107" s="252"/>
      <c r="M107" s="253"/>
    </row>
    <row r="108" spans="1:13" ht="52.8" x14ac:dyDescent="0.25">
      <c r="A108" s="259">
        <v>20</v>
      </c>
      <c r="B108" s="48" t="s">
        <v>215</v>
      </c>
      <c r="C108" s="48" t="s">
        <v>19</v>
      </c>
      <c r="D108" s="22" t="s">
        <v>226</v>
      </c>
      <c r="E108" s="23">
        <v>98</v>
      </c>
      <c r="F108" s="19" t="s">
        <v>17</v>
      </c>
      <c r="G108" s="19" t="s">
        <v>465</v>
      </c>
      <c r="H108" s="75">
        <v>3.5000000000000003E-2</v>
      </c>
      <c r="I108" s="19">
        <f>3.5/100*2597403*117/100</f>
        <v>106363.65285000001</v>
      </c>
      <c r="J108" s="22" t="s">
        <v>16</v>
      </c>
      <c r="K108" s="87" t="s">
        <v>521</v>
      </c>
      <c r="L108" s="49" t="s">
        <v>48</v>
      </c>
      <c r="M108" s="47">
        <v>253009</v>
      </c>
    </row>
    <row r="109" spans="1:13" ht="14.25" customHeight="1" x14ac:dyDescent="0.25">
      <c r="A109" s="260"/>
      <c r="B109" s="248" t="s">
        <v>241</v>
      </c>
      <c r="C109" s="249"/>
      <c r="D109" s="249"/>
      <c r="E109" s="249"/>
      <c r="F109" s="249"/>
      <c r="G109" s="249"/>
      <c r="H109" s="249"/>
      <c r="I109" s="249"/>
      <c r="J109" s="249"/>
      <c r="K109" s="249"/>
      <c r="L109" s="249"/>
      <c r="M109" s="250"/>
    </row>
    <row r="110" spans="1:13" ht="15.6" x14ac:dyDescent="0.25">
      <c r="A110" s="251" t="s">
        <v>221</v>
      </c>
      <c r="B110" s="252"/>
      <c r="C110" s="252"/>
      <c r="D110" s="252"/>
      <c r="E110" s="252"/>
      <c r="F110" s="252"/>
      <c r="G110" s="252"/>
      <c r="H110" s="252"/>
      <c r="I110" s="252"/>
      <c r="J110" s="252"/>
      <c r="K110" s="252"/>
      <c r="L110" s="252"/>
      <c r="M110" s="253"/>
    </row>
    <row r="111" spans="1:13" ht="13.8" x14ac:dyDescent="0.25">
      <c r="A111" s="259">
        <v>21</v>
      </c>
      <c r="B111" s="261" t="s">
        <v>222</v>
      </c>
      <c r="C111" s="261" t="s">
        <v>19</v>
      </c>
      <c r="D111" s="22" t="s">
        <v>64</v>
      </c>
      <c r="E111" s="23">
        <v>100</v>
      </c>
      <c r="F111" s="24" t="s">
        <v>20</v>
      </c>
      <c r="G111" s="24" t="s">
        <v>20</v>
      </c>
      <c r="H111" s="24">
        <f>396000*117/100</f>
        <v>463320</v>
      </c>
      <c r="I111" s="24">
        <f>H111</f>
        <v>463320</v>
      </c>
      <c r="J111" s="22" t="s">
        <v>16</v>
      </c>
      <c r="K111" s="262" t="s">
        <v>45</v>
      </c>
      <c r="L111" s="263" t="s">
        <v>48</v>
      </c>
      <c r="M111" s="247"/>
    </row>
    <row r="112" spans="1:13" ht="13.8" x14ac:dyDescent="0.25">
      <c r="A112" s="259"/>
      <c r="B112" s="261"/>
      <c r="C112" s="261"/>
      <c r="D112" s="50" t="s">
        <v>63</v>
      </c>
      <c r="E112" s="7">
        <v>85</v>
      </c>
      <c r="F112" s="16" t="s">
        <v>20</v>
      </c>
      <c r="G112" s="16" t="s">
        <v>20</v>
      </c>
      <c r="H112" s="16">
        <f>455000*117/100</f>
        <v>532350</v>
      </c>
      <c r="I112" s="16">
        <f>H112</f>
        <v>532350</v>
      </c>
      <c r="J112" s="50" t="s">
        <v>16</v>
      </c>
      <c r="K112" s="262"/>
      <c r="L112" s="263"/>
      <c r="M112" s="247"/>
    </row>
    <row r="113" spans="1:13" ht="13.8" x14ac:dyDescent="0.25">
      <c r="A113" s="259"/>
      <c r="B113" s="261"/>
      <c r="C113" s="261"/>
      <c r="D113" s="50" t="s">
        <v>59</v>
      </c>
      <c r="E113" s="7">
        <v>85</v>
      </c>
      <c r="F113" s="16" t="s">
        <v>20</v>
      </c>
      <c r="G113" s="16" t="s">
        <v>20</v>
      </c>
      <c r="H113" s="16">
        <f>504000*117/100</f>
        <v>589680</v>
      </c>
      <c r="I113" s="16">
        <f t="shared" ref="I113" si="11">H113</f>
        <v>589680</v>
      </c>
      <c r="J113" s="50" t="s">
        <v>16</v>
      </c>
      <c r="K113" s="262"/>
      <c r="L113" s="263"/>
      <c r="M113" s="247"/>
    </row>
    <row r="114" spans="1:13" ht="13.8" x14ac:dyDescent="0.25">
      <c r="A114" s="259"/>
      <c r="B114" s="261"/>
      <c r="C114" s="261"/>
      <c r="D114" s="50" t="s">
        <v>54</v>
      </c>
      <c r="E114" s="7">
        <v>80</v>
      </c>
      <c r="F114" s="16" t="s">
        <v>20</v>
      </c>
      <c r="G114" s="16" t="s">
        <v>20</v>
      </c>
      <c r="H114" s="16">
        <f>560000*117/100</f>
        <v>655200</v>
      </c>
      <c r="I114" s="16">
        <f>H114</f>
        <v>655200</v>
      </c>
      <c r="J114" s="50" t="s">
        <v>16</v>
      </c>
      <c r="K114" s="262"/>
      <c r="L114" s="263"/>
      <c r="M114" s="247"/>
    </row>
    <row r="115" spans="1:13" ht="13.8" x14ac:dyDescent="0.25">
      <c r="A115" s="259"/>
      <c r="B115" s="261"/>
      <c r="C115" s="261"/>
      <c r="D115" s="50" t="s">
        <v>53</v>
      </c>
      <c r="E115" s="7">
        <v>78</v>
      </c>
      <c r="F115" s="16" t="s">
        <v>20</v>
      </c>
      <c r="G115" s="16" t="s">
        <v>20</v>
      </c>
      <c r="H115" s="16">
        <f>575000*117/100</f>
        <v>672750</v>
      </c>
      <c r="I115" s="16">
        <f t="shared" ref="I115:I116" si="12">H115</f>
        <v>672750</v>
      </c>
      <c r="J115" s="50" t="s">
        <v>16</v>
      </c>
      <c r="K115" s="262"/>
      <c r="L115" s="263"/>
      <c r="M115" s="247"/>
    </row>
    <row r="116" spans="1:13" ht="13.8" x14ac:dyDescent="0.25">
      <c r="A116" s="259"/>
      <c r="B116" s="261"/>
      <c r="C116" s="261"/>
      <c r="D116" s="50" t="s">
        <v>144</v>
      </c>
      <c r="E116" s="50">
        <v>73</v>
      </c>
      <c r="F116" s="50" t="s">
        <v>20</v>
      </c>
      <c r="G116" s="16" t="s">
        <v>20</v>
      </c>
      <c r="H116" s="16">
        <f>645000*117/100</f>
        <v>754650</v>
      </c>
      <c r="I116" s="16">
        <f t="shared" si="12"/>
        <v>754650</v>
      </c>
      <c r="J116" s="50" t="s">
        <v>16</v>
      </c>
      <c r="K116" s="262"/>
      <c r="L116" s="263"/>
      <c r="M116" s="247"/>
    </row>
    <row r="117" spans="1:13" ht="13.95" customHeight="1" x14ac:dyDescent="0.25">
      <c r="A117" s="260"/>
      <c r="B117" s="248"/>
      <c r="C117" s="249"/>
      <c r="D117" s="249"/>
      <c r="E117" s="249"/>
      <c r="F117" s="249"/>
      <c r="G117" s="249"/>
      <c r="H117" s="249"/>
      <c r="I117" s="249"/>
      <c r="J117" s="249"/>
      <c r="K117" s="249"/>
      <c r="L117" s="249"/>
      <c r="M117" s="250"/>
    </row>
    <row r="118" spans="1:13" ht="15.6" x14ac:dyDescent="0.25">
      <c r="A118" s="251" t="s">
        <v>238</v>
      </c>
      <c r="B118" s="252"/>
      <c r="C118" s="252"/>
      <c r="D118" s="252"/>
      <c r="E118" s="252"/>
      <c r="F118" s="252"/>
      <c r="G118" s="252"/>
      <c r="H118" s="252"/>
      <c r="I118" s="252"/>
      <c r="J118" s="252"/>
      <c r="K118" s="252"/>
      <c r="L118" s="252"/>
      <c r="M118" s="253"/>
    </row>
    <row r="119" spans="1:13" ht="39.6" x14ac:dyDescent="0.25">
      <c r="A119" s="264">
        <v>22</v>
      </c>
      <c r="B119" s="51" t="s">
        <v>235</v>
      </c>
      <c r="C119" s="51" t="s">
        <v>227</v>
      </c>
      <c r="D119" s="22" t="s">
        <v>228</v>
      </c>
      <c r="E119" s="23">
        <v>100</v>
      </c>
      <c r="F119" s="24" t="s">
        <v>15</v>
      </c>
      <c r="G119" s="24" t="s">
        <v>233</v>
      </c>
      <c r="H119" s="24">
        <f>150*117/100</f>
        <v>175.5</v>
      </c>
      <c r="I119" s="24">
        <f>H119*30*3</f>
        <v>15795</v>
      </c>
      <c r="J119" s="22" t="s">
        <v>16</v>
      </c>
      <c r="K119" s="85" t="s">
        <v>46</v>
      </c>
      <c r="L119" s="52" t="s">
        <v>48</v>
      </c>
      <c r="M119" s="53" t="s">
        <v>229</v>
      </c>
    </row>
    <row r="120" spans="1:13" ht="28.5" customHeight="1" x14ac:dyDescent="0.25">
      <c r="A120" s="260"/>
      <c r="B120" s="248" t="s">
        <v>478</v>
      </c>
      <c r="C120" s="249"/>
      <c r="D120" s="249"/>
      <c r="E120" s="249"/>
      <c r="F120" s="249"/>
      <c r="G120" s="249"/>
      <c r="H120" s="249"/>
      <c r="I120" s="249"/>
      <c r="J120" s="249"/>
      <c r="K120" s="249"/>
      <c r="L120" s="249"/>
      <c r="M120" s="250"/>
    </row>
    <row r="121" spans="1:13" ht="15.6" x14ac:dyDescent="0.25">
      <c r="A121" s="251" t="s">
        <v>234</v>
      </c>
      <c r="B121" s="252"/>
      <c r="C121" s="252"/>
      <c r="D121" s="252"/>
      <c r="E121" s="252"/>
      <c r="F121" s="252"/>
      <c r="G121" s="252"/>
      <c r="H121" s="252"/>
      <c r="I121" s="252"/>
      <c r="J121" s="252"/>
      <c r="K121" s="252"/>
      <c r="L121" s="252"/>
      <c r="M121" s="253"/>
    </row>
    <row r="122" spans="1:13" ht="39.6" x14ac:dyDescent="0.25">
      <c r="A122" s="264">
        <v>23</v>
      </c>
      <c r="B122" s="51" t="s">
        <v>236</v>
      </c>
      <c r="C122" s="51" t="s">
        <v>227</v>
      </c>
      <c r="D122" s="22" t="s">
        <v>230</v>
      </c>
      <c r="E122" s="23">
        <v>90</v>
      </c>
      <c r="F122" s="24" t="s">
        <v>15</v>
      </c>
      <c r="G122" s="24" t="s">
        <v>232</v>
      </c>
      <c r="H122" s="24">
        <f>234*117/100</f>
        <v>273.77999999999997</v>
      </c>
      <c r="I122" s="24">
        <f>H122*50*3</f>
        <v>41066.999999999993</v>
      </c>
      <c r="J122" s="22" t="s">
        <v>16</v>
      </c>
      <c r="K122" s="85" t="s">
        <v>46</v>
      </c>
      <c r="L122" s="52" t="s">
        <v>48</v>
      </c>
      <c r="M122" s="53" t="s">
        <v>231</v>
      </c>
    </row>
    <row r="123" spans="1:13" ht="14.25" customHeight="1" x14ac:dyDescent="0.25">
      <c r="A123" s="260"/>
      <c r="B123" s="291" t="s">
        <v>237</v>
      </c>
      <c r="C123" s="291"/>
      <c r="D123" s="291"/>
      <c r="E123" s="291"/>
      <c r="F123" s="291"/>
      <c r="G123" s="291"/>
      <c r="H123" s="291"/>
      <c r="I123" s="291"/>
      <c r="J123" s="291"/>
      <c r="K123" s="291"/>
      <c r="L123" s="291"/>
      <c r="M123" s="291"/>
    </row>
    <row r="124" spans="1:13" ht="15.6" x14ac:dyDescent="0.25">
      <c r="A124" s="251" t="s">
        <v>466</v>
      </c>
      <c r="B124" s="252"/>
      <c r="C124" s="252"/>
      <c r="D124" s="252"/>
      <c r="E124" s="252"/>
      <c r="F124" s="252"/>
      <c r="G124" s="252"/>
      <c r="H124" s="252"/>
      <c r="I124" s="252"/>
      <c r="J124" s="252"/>
      <c r="K124" s="252"/>
      <c r="L124" s="252"/>
      <c r="M124" s="253"/>
    </row>
    <row r="125" spans="1:13" ht="39.6" x14ac:dyDescent="0.25">
      <c r="A125" s="264">
        <v>24</v>
      </c>
      <c r="B125" s="77" t="s">
        <v>467</v>
      </c>
      <c r="C125" s="77" t="s">
        <v>227</v>
      </c>
      <c r="D125" s="22" t="s">
        <v>468</v>
      </c>
      <c r="E125" s="23">
        <v>100</v>
      </c>
      <c r="F125" s="24" t="s">
        <v>20</v>
      </c>
      <c r="G125" s="24" t="s">
        <v>20</v>
      </c>
      <c r="H125" s="24">
        <f>253000*117/100</f>
        <v>296010</v>
      </c>
      <c r="I125" s="24">
        <f>253000*117/100</f>
        <v>296010</v>
      </c>
      <c r="J125" s="22" t="s">
        <v>16</v>
      </c>
      <c r="K125" s="85" t="s">
        <v>46</v>
      </c>
      <c r="L125" s="79" t="s">
        <v>48</v>
      </c>
      <c r="M125" s="78" t="s">
        <v>470</v>
      </c>
    </row>
    <row r="126" spans="1:13" ht="14.25" customHeight="1" x14ac:dyDescent="0.25">
      <c r="A126" s="260"/>
      <c r="B126" s="248" t="s">
        <v>469</v>
      </c>
      <c r="C126" s="249"/>
      <c r="D126" s="249"/>
      <c r="E126" s="249"/>
      <c r="F126" s="249"/>
      <c r="G126" s="249"/>
      <c r="H126" s="249"/>
      <c r="I126" s="249"/>
      <c r="J126" s="249"/>
      <c r="K126" s="249"/>
      <c r="L126" s="249"/>
      <c r="M126" s="250"/>
    </row>
    <row r="127" spans="1:13" ht="15.6" x14ac:dyDescent="0.25">
      <c r="A127" s="251" t="s">
        <v>471</v>
      </c>
      <c r="B127" s="252"/>
      <c r="C127" s="252"/>
      <c r="D127" s="252"/>
      <c r="E127" s="252"/>
      <c r="F127" s="252"/>
      <c r="G127" s="252"/>
      <c r="H127" s="252"/>
      <c r="I127" s="252"/>
      <c r="J127" s="252"/>
      <c r="K127" s="252"/>
      <c r="L127" s="252"/>
      <c r="M127" s="253"/>
    </row>
    <row r="128" spans="1:13" ht="39.6" x14ac:dyDescent="0.25">
      <c r="A128" s="264">
        <v>25</v>
      </c>
      <c r="B128" s="77" t="s">
        <v>472</v>
      </c>
      <c r="C128" s="77" t="s">
        <v>227</v>
      </c>
      <c r="D128" s="22" t="s">
        <v>473</v>
      </c>
      <c r="E128" s="23">
        <v>100</v>
      </c>
      <c r="F128" s="24" t="s">
        <v>20</v>
      </c>
      <c r="G128" s="24" t="s">
        <v>20</v>
      </c>
      <c r="H128" s="24">
        <f>60000*117/100</f>
        <v>70200</v>
      </c>
      <c r="I128" s="24">
        <f>60000*117/100</f>
        <v>70200</v>
      </c>
      <c r="J128" s="22" t="s">
        <v>16</v>
      </c>
      <c r="K128" s="85" t="s">
        <v>46</v>
      </c>
      <c r="L128" s="79" t="s">
        <v>48</v>
      </c>
      <c r="M128" s="78" t="s">
        <v>470</v>
      </c>
    </row>
    <row r="129" spans="1:13" ht="13.8" x14ac:dyDescent="0.25">
      <c r="A129" s="260"/>
      <c r="B129" s="248" t="s">
        <v>474</v>
      </c>
      <c r="C129" s="249"/>
      <c r="D129" s="249"/>
      <c r="E129" s="249"/>
      <c r="F129" s="249"/>
      <c r="G129" s="249"/>
      <c r="H129" s="249"/>
      <c r="I129" s="249"/>
      <c r="J129" s="249"/>
      <c r="K129" s="249"/>
      <c r="L129" s="249"/>
      <c r="M129" s="250"/>
    </row>
    <row r="130" spans="1:13" ht="15.6" x14ac:dyDescent="0.25">
      <c r="A130" s="251" t="s">
        <v>475</v>
      </c>
      <c r="B130" s="252"/>
      <c r="C130" s="252"/>
      <c r="D130" s="252"/>
      <c r="E130" s="252"/>
      <c r="F130" s="252"/>
      <c r="G130" s="252"/>
      <c r="H130" s="252"/>
      <c r="I130" s="252"/>
      <c r="J130" s="252"/>
      <c r="K130" s="252"/>
      <c r="L130" s="252"/>
      <c r="M130" s="253"/>
    </row>
    <row r="131" spans="1:13" ht="92.4" x14ac:dyDescent="0.25">
      <c r="A131" s="264">
        <v>26</v>
      </c>
      <c r="B131" s="77" t="s">
        <v>476</v>
      </c>
      <c r="C131" s="77" t="s">
        <v>477</v>
      </c>
      <c r="D131" s="22" t="s">
        <v>479</v>
      </c>
      <c r="E131" s="23">
        <v>100</v>
      </c>
      <c r="F131" s="24" t="s">
        <v>20</v>
      </c>
      <c r="G131" s="24" t="s">
        <v>20</v>
      </c>
      <c r="H131" s="24">
        <f>30000*117/100</f>
        <v>35100</v>
      </c>
      <c r="I131" s="24">
        <f>H131</f>
        <v>35100</v>
      </c>
      <c r="J131" s="22" t="s">
        <v>16</v>
      </c>
      <c r="K131" s="85" t="s">
        <v>46</v>
      </c>
      <c r="L131" s="79" t="s">
        <v>48</v>
      </c>
      <c r="M131" s="78">
        <v>2130022761</v>
      </c>
    </row>
    <row r="132" spans="1:13" ht="13.8" x14ac:dyDescent="0.25">
      <c r="A132" s="260"/>
      <c r="B132" s="248"/>
      <c r="C132" s="249"/>
      <c r="D132" s="249"/>
      <c r="E132" s="249"/>
      <c r="F132" s="249"/>
      <c r="G132" s="249"/>
      <c r="H132" s="249"/>
      <c r="I132" s="249"/>
      <c r="J132" s="249"/>
      <c r="K132" s="249"/>
      <c r="L132" s="249"/>
      <c r="M132" s="250"/>
    </row>
    <row r="133" spans="1:13" ht="15.6" x14ac:dyDescent="0.25">
      <c r="A133" s="251" t="s">
        <v>480</v>
      </c>
      <c r="B133" s="252"/>
      <c r="C133" s="252"/>
      <c r="D133" s="252"/>
      <c r="E133" s="252"/>
      <c r="F133" s="252"/>
      <c r="G133" s="252"/>
      <c r="H133" s="252"/>
      <c r="I133" s="252"/>
      <c r="J133" s="252"/>
      <c r="K133" s="252"/>
      <c r="L133" s="252"/>
      <c r="M133" s="253"/>
    </row>
    <row r="134" spans="1:13" ht="26.4" x14ac:dyDescent="0.25">
      <c r="A134" s="264">
        <v>27</v>
      </c>
      <c r="B134" s="265" t="s">
        <v>505</v>
      </c>
      <c r="C134" s="265" t="s">
        <v>483</v>
      </c>
      <c r="D134" s="22" t="s">
        <v>502</v>
      </c>
      <c r="E134" s="23">
        <v>100</v>
      </c>
      <c r="F134" s="24" t="s">
        <v>20</v>
      </c>
      <c r="G134" s="24" t="s">
        <v>20</v>
      </c>
      <c r="H134" s="24">
        <f>36000*117/100</f>
        <v>42120</v>
      </c>
      <c r="I134" s="24">
        <f>H134</f>
        <v>42120</v>
      </c>
      <c r="J134" s="22" t="s">
        <v>16</v>
      </c>
      <c r="K134" s="271" t="s">
        <v>45</v>
      </c>
      <c r="L134" s="266" t="s">
        <v>48</v>
      </c>
      <c r="M134" s="267"/>
    </row>
    <row r="135" spans="1:13" ht="26.4" x14ac:dyDescent="0.25">
      <c r="A135" s="259"/>
      <c r="B135" s="261"/>
      <c r="C135" s="261"/>
      <c r="D135" s="80" t="s">
        <v>506</v>
      </c>
      <c r="E135" s="81">
        <v>85</v>
      </c>
      <c r="F135" s="8" t="s">
        <v>20</v>
      </c>
      <c r="G135" s="16" t="s">
        <v>20</v>
      </c>
      <c r="H135" s="16">
        <f>40000*117/100</f>
        <v>46800</v>
      </c>
      <c r="I135" s="16">
        <f>H135</f>
        <v>46800</v>
      </c>
      <c r="J135" s="83" t="s">
        <v>16</v>
      </c>
      <c r="K135" s="262"/>
      <c r="L135" s="263"/>
      <c r="M135" s="247"/>
    </row>
    <row r="136" spans="1:13" ht="26.25" customHeight="1" x14ac:dyDescent="0.25">
      <c r="A136" s="260"/>
      <c r="B136" s="248" t="s">
        <v>533</v>
      </c>
      <c r="C136" s="249"/>
      <c r="D136" s="249"/>
      <c r="E136" s="249"/>
      <c r="F136" s="249"/>
      <c r="G136" s="249"/>
      <c r="H136" s="249"/>
      <c r="I136" s="249"/>
      <c r="J136" s="249"/>
      <c r="K136" s="249"/>
      <c r="L136" s="249"/>
      <c r="M136" s="250"/>
    </row>
    <row r="137" spans="1:13" ht="15.6" x14ac:dyDescent="0.25">
      <c r="A137" s="251" t="s">
        <v>481</v>
      </c>
      <c r="B137" s="252"/>
      <c r="C137" s="252"/>
      <c r="D137" s="252"/>
      <c r="E137" s="252"/>
      <c r="F137" s="252"/>
      <c r="G137" s="252"/>
      <c r="H137" s="252"/>
      <c r="I137" s="252"/>
      <c r="J137" s="252"/>
      <c r="K137" s="252"/>
      <c r="L137" s="252"/>
      <c r="M137" s="253"/>
    </row>
    <row r="138" spans="1:13" ht="13.8" x14ac:dyDescent="0.25">
      <c r="A138" s="264">
        <v>28</v>
      </c>
      <c r="B138" s="265" t="s">
        <v>482</v>
      </c>
      <c r="C138" s="265" t="s">
        <v>483</v>
      </c>
      <c r="D138" s="22" t="s">
        <v>484</v>
      </c>
      <c r="E138" s="23">
        <v>100</v>
      </c>
      <c r="F138" s="24" t="s">
        <v>15</v>
      </c>
      <c r="G138" s="24" t="s">
        <v>161</v>
      </c>
      <c r="H138" s="24">
        <f>230*117/100</f>
        <v>269.10000000000002</v>
      </c>
      <c r="I138" s="24">
        <f>H138*200</f>
        <v>53820.000000000007</v>
      </c>
      <c r="J138" s="22" t="s">
        <v>16</v>
      </c>
      <c r="K138" s="271" t="s">
        <v>45</v>
      </c>
      <c r="L138" s="266" t="s">
        <v>48</v>
      </c>
      <c r="M138" s="267"/>
    </row>
    <row r="139" spans="1:13" ht="13.8" x14ac:dyDescent="0.25">
      <c r="A139" s="259"/>
      <c r="B139" s="261"/>
      <c r="C139" s="261"/>
      <c r="D139" s="17" t="s">
        <v>127</v>
      </c>
      <c r="E139" s="18">
        <v>99</v>
      </c>
      <c r="F139" s="19" t="s">
        <v>15</v>
      </c>
      <c r="G139" s="24" t="s">
        <v>161</v>
      </c>
      <c r="H139" s="24">
        <f>235*117/100</f>
        <v>274.95</v>
      </c>
      <c r="I139" s="24">
        <f>H139*200</f>
        <v>54990</v>
      </c>
      <c r="J139" s="17" t="s">
        <v>16</v>
      </c>
      <c r="K139" s="262"/>
      <c r="L139" s="263"/>
      <c r="M139" s="247"/>
    </row>
    <row r="140" spans="1:13" ht="13.8" x14ac:dyDescent="0.25">
      <c r="A140" s="259"/>
      <c r="B140" s="261"/>
      <c r="C140" s="261"/>
      <c r="D140" s="80" t="s">
        <v>183</v>
      </c>
      <c r="E140" s="81">
        <v>95</v>
      </c>
      <c r="F140" s="8" t="s">
        <v>15</v>
      </c>
      <c r="G140" s="16" t="s">
        <v>161</v>
      </c>
      <c r="H140" s="16">
        <f>250*117/100</f>
        <v>292.5</v>
      </c>
      <c r="I140" s="16">
        <f t="shared" ref="I140:I142" si="13">H140*400</f>
        <v>117000</v>
      </c>
      <c r="J140" s="82" t="s">
        <v>16</v>
      </c>
      <c r="K140" s="262"/>
      <c r="L140" s="263"/>
      <c r="M140" s="247"/>
    </row>
    <row r="141" spans="1:13" ht="13.8" x14ac:dyDescent="0.25">
      <c r="A141" s="259"/>
      <c r="B141" s="261"/>
      <c r="C141" s="261"/>
      <c r="D141" s="80" t="s">
        <v>485</v>
      </c>
      <c r="E141" s="81">
        <v>92</v>
      </c>
      <c r="F141" s="8" t="s">
        <v>15</v>
      </c>
      <c r="G141" s="16" t="s">
        <v>161</v>
      </c>
      <c r="H141" s="16">
        <f>260*117/100</f>
        <v>304.2</v>
      </c>
      <c r="I141" s="16">
        <f t="shared" si="13"/>
        <v>121680</v>
      </c>
      <c r="J141" s="82" t="s">
        <v>16</v>
      </c>
      <c r="K141" s="262"/>
      <c r="L141" s="263"/>
      <c r="M141" s="247"/>
    </row>
    <row r="142" spans="1:13" ht="13.8" x14ac:dyDescent="0.25">
      <c r="A142" s="259"/>
      <c r="B142" s="261"/>
      <c r="C142" s="261"/>
      <c r="D142" s="80" t="s">
        <v>184</v>
      </c>
      <c r="E142" s="81">
        <v>86</v>
      </c>
      <c r="F142" s="8" t="s">
        <v>15</v>
      </c>
      <c r="G142" s="16" t="s">
        <v>161</v>
      </c>
      <c r="H142" s="16">
        <f>290*117/100</f>
        <v>339.3</v>
      </c>
      <c r="I142" s="16">
        <f t="shared" si="13"/>
        <v>135720</v>
      </c>
      <c r="J142" s="82" t="s">
        <v>16</v>
      </c>
      <c r="K142" s="262"/>
      <c r="L142" s="263"/>
      <c r="M142" s="247"/>
    </row>
    <row r="143" spans="1:13" ht="13.8" x14ac:dyDescent="0.25">
      <c r="A143" s="260"/>
      <c r="B143" s="248" t="s">
        <v>507</v>
      </c>
      <c r="C143" s="249"/>
      <c r="D143" s="249"/>
      <c r="E143" s="249"/>
      <c r="F143" s="249"/>
      <c r="G143" s="249"/>
      <c r="H143" s="249"/>
      <c r="I143" s="249"/>
      <c r="J143" s="249"/>
      <c r="K143" s="249"/>
      <c r="L143" s="249"/>
      <c r="M143" s="250"/>
    </row>
    <row r="144" spans="1:13" ht="15.6" x14ac:dyDescent="0.25">
      <c r="A144" s="251" t="s">
        <v>486</v>
      </c>
      <c r="B144" s="252"/>
      <c r="C144" s="252"/>
      <c r="D144" s="252"/>
      <c r="E144" s="252"/>
      <c r="F144" s="252"/>
      <c r="G144" s="252"/>
      <c r="H144" s="252"/>
      <c r="I144" s="252"/>
      <c r="J144" s="252"/>
      <c r="K144" s="252"/>
      <c r="L144" s="252"/>
      <c r="M144" s="253"/>
    </row>
    <row r="145" spans="1:13" ht="14.25" customHeight="1" x14ac:dyDescent="0.25">
      <c r="A145" s="264">
        <v>29</v>
      </c>
      <c r="B145" s="265" t="s">
        <v>487</v>
      </c>
      <c r="C145" s="265" t="s">
        <v>483</v>
      </c>
      <c r="D145" s="17" t="s">
        <v>488</v>
      </c>
      <c r="E145" s="23">
        <v>100</v>
      </c>
      <c r="F145" s="24" t="s">
        <v>15</v>
      </c>
      <c r="G145" s="24" t="s">
        <v>161</v>
      </c>
      <c r="H145" s="24">
        <f>195*117/100</f>
        <v>228.15</v>
      </c>
      <c r="I145" s="24">
        <f t="shared" ref="I145:I150" si="14">H145*200</f>
        <v>45630</v>
      </c>
      <c r="J145" s="22" t="s">
        <v>16</v>
      </c>
      <c r="K145" s="262" t="s">
        <v>522</v>
      </c>
      <c r="L145" s="266" t="s">
        <v>48</v>
      </c>
      <c r="M145" s="267"/>
    </row>
    <row r="146" spans="1:13" ht="39.6" x14ac:dyDescent="0.25">
      <c r="A146" s="259"/>
      <c r="B146" s="261"/>
      <c r="C146" s="261"/>
      <c r="D146" s="86" t="s">
        <v>535</v>
      </c>
      <c r="E146" s="18">
        <v>92</v>
      </c>
      <c r="F146" s="19" t="s">
        <v>15</v>
      </c>
      <c r="G146" s="24" t="s">
        <v>161</v>
      </c>
      <c r="H146" s="24">
        <f>220*117/100</f>
        <v>257.39999999999998</v>
      </c>
      <c r="I146" s="24">
        <f t="shared" si="14"/>
        <v>51479.999999999993</v>
      </c>
      <c r="J146" s="17" t="s">
        <v>16</v>
      </c>
      <c r="K146" s="262"/>
      <c r="L146" s="263"/>
      <c r="M146" s="247"/>
    </row>
    <row r="147" spans="1:13" ht="14.25" customHeight="1" x14ac:dyDescent="0.25">
      <c r="A147" s="259"/>
      <c r="B147" s="261"/>
      <c r="C147" s="261"/>
      <c r="D147" s="80" t="s">
        <v>508</v>
      </c>
      <c r="E147" s="81">
        <v>88</v>
      </c>
      <c r="F147" s="8" t="s">
        <v>15</v>
      </c>
      <c r="G147" s="16" t="s">
        <v>161</v>
      </c>
      <c r="H147" s="16">
        <f>195*117/100</f>
        <v>228.15</v>
      </c>
      <c r="I147" s="16">
        <f t="shared" si="14"/>
        <v>45630</v>
      </c>
      <c r="J147" s="83" t="s">
        <v>16</v>
      </c>
      <c r="K147" s="262"/>
      <c r="L147" s="263"/>
      <c r="M147" s="247"/>
    </row>
    <row r="148" spans="1:13" ht="26.4" x14ac:dyDescent="0.25">
      <c r="A148" s="259"/>
      <c r="B148" s="261"/>
      <c r="C148" s="261"/>
      <c r="D148" s="80" t="s">
        <v>489</v>
      </c>
      <c r="E148" s="81">
        <v>80</v>
      </c>
      <c r="F148" s="8" t="s">
        <v>15</v>
      </c>
      <c r="G148" s="16" t="s">
        <v>161</v>
      </c>
      <c r="H148" s="16">
        <f>275*117/100</f>
        <v>321.75</v>
      </c>
      <c r="I148" s="16">
        <f t="shared" si="14"/>
        <v>64350</v>
      </c>
      <c r="J148" s="82" t="s">
        <v>16</v>
      </c>
      <c r="K148" s="262"/>
      <c r="L148" s="263"/>
      <c r="M148" s="247"/>
    </row>
    <row r="149" spans="1:13" ht="26.4" x14ac:dyDescent="0.25">
      <c r="A149" s="259"/>
      <c r="B149" s="261"/>
      <c r="C149" s="261"/>
      <c r="D149" s="80" t="s">
        <v>490</v>
      </c>
      <c r="E149" s="81">
        <v>75</v>
      </c>
      <c r="F149" s="8" t="s">
        <v>15</v>
      </c>
      <c r="G149" s="16" t="s">
        <v>161</v>
      </c>
      <c r="H149" s="16">
        <f>301*117/100</f>
        <v>352.17</v>
      </c>
      <c r="I149" s="16">
        <f t="shared" si="14"/>
        <v>70434</v>
      </c>
      <c r="J149" s="82" t="s">
        <v>16</v>
      </c>
      <c r="K149" s="262"/>
      <c r="L149" s="263"/>
      <c r="M149" s="247"/>
    </row>
    <row r="150" spans="1:13" ht="14.25" customHeight="1" x14ac:dyDescent="0.25">
      <c r="A150" s="259"/>
      <c r="B150" s="261"/>
      <c r="C150" s="261"/>
      <c r="D150" s="80" t="s">
        <v>491</v>
      </c>
      <c r="E150" s="81">
        <v>71</v>
      </c>
      <c r="F150" s="8" t="s">
        <v>15</v>
      </c>
      <c r="G150" s="16" t="s">
        <v>161</v>
      </c>
      <c r="H150" s="16">
        <f>331*117/100</f>
        <v>387.27</v>
      </c>
      <c r="I150" s="16">
        <f t="shared" si="14"/>
        <v>77454</v>
      </c>
      <c r="J150" s="82" t="s">
        <v>16</v>
      </c>
      <c r="K150" s="262"/>
      <c r="L150" s="263"/>
      <c r="M150" s="247"/>
    </row>
    <row r="151" spans="1:13" ht="14.25" customHeight="1" x14ac:dyDescent="0.25">
      <c r="A151" s="260"/>
      <c r="B151" s="248" t="s">
        <v>507</v>
      </c>
      <c r="C151" s="249"/>
      <c r="D151" s="249"/>
      <c r="E151" s="249"/>
      <c r="F151" s="249"/>
      <c r="G151" s="249"/>
      <c r="H151" s="249"/>
      <c r="I151" s="249"/>
      <c r="J151" s="249"/>
      <c r="K151" s="249"/>
      <c r="L151" s="249"/>
      <c r="M151" s="250"/>
    </row>
    <row r="152" spans="1:13" ht="15.6" x14ac:dyDescent="0.25">
      <c r="A152" s="251" t="s">
        <v>492</v>
      </c>
      <c r="B152" s="252"/>
      <c r="C152" s="252"/>
      <c r="D152" s="252"/>
      <c r="E152" s="252"/>
      <c r="F152" s="252"/>
      <c r="G152" s="252"/>
      <c r="H152" s="252"/>
      <c r="I152" s="252"/>
      <c r="J152" s="252"/>
      <c r="K152" s="252"/>
      <c r="L152" s="252"/>
      <c r="M152" s="253"/>
    </row>
    <row r="153" spans="1:13" ht="14.25" customHeight="1" x14ac:dyDescent="0.25">
      <c r="A153" s="264">
        <v>30</v>
      </c>
      <c r="B153" s="265" t="s">
        <v>493</v>
      </c>
      <c r="C153" s="265" t="s">
        <v>483</v>
      </c>
      <c r="D153" s="17" t="s">
        <v>494</v>
      </c>
      <c r="E153" s="23">
        <v>100</v>
      </c>
      <c r="F153" s="24" t="s">
        <v>15</v>
      </c>
      <c r="G153" s="24" t="s">
        <v>161</v>
      </c>
      <c r="H153" s="24">
        <f>185*117/100</f>
        <v>216.45</v>
      </c>
      <c r="I153" s="24">
        <f>H153*200</f>
        <v>43290</v>
      </c>
      <c r="J153" s="22" t="s">
        <v>16</v>
      </c>
      <c r="K153" s="271" t="s">
        <v>522</v>
      </c>
      <c r="L153" s="266" t="s">
        <v>48</v>
      </c>
      <c r="M153" s="267"/>
    </row>
    <row r="154" spans="1:13" ht="39.6" x14ac:dyDescent="0.25">
      <c r="A154" s="259"/>
      <c r="B154" s="261"/>
      <c r="C154" s="261"/>
      <c r="D154" s="86" t="s">
        <v>495</v>
      </c>
      <c r="E154" s="18">
        <v>90</v>
      </c>
      <c r="F154" s="19" t="s">
        <v>15</v>
      </c>
      <c r="G154" s="24" t="s">
        <v>161</v>
      </c>
      <c r="H154" s="24">
        <f>215*117/100</f>
        <v>251.55</v>
      </c>
      <c r="I154" s="24">
        <f>H154*200</f>
        <v>50310</v>
      </c>
      <c r="J154" s="17" t="s">
        <v>16</v>
      </c>
      <c r="K154" s="262"/>
      <c r="L154" s="263"/>
      <c r="M154" s="247"/>
    </row>
    <row r="155" spans="1:13" ht="39.6" x14ac:dyDescent="0.25">
      <c r="A155" s="259"/>
      <c r="B155" s="261"/>
      <c r="C155" s="261"/>
      <c r="D155" s="80" t="s">
        <v>496</v>
      </c>
      <c r="E155" s="81">
        <v>86</v>
      </c>
      <c r="F155" s="8" t="s">
        <v>15</v>
      </c>
      <c r="G155" s="16" t="s">
        <v>161</v>
      </c>
      <c r="H155" s="16">
        <f>230*117/100</f>
        <v>269.10000000000002</v>
      </c>
      <c r="I155" s="16">
        <f t="shared" ref="I155:I158" si="15">H155*200</f>
        <v>53820.000000000007</v>
      </c>
      <c r="J155" s="82" t="s">
        <v>16</v>
      </c>
      <c r="K155" s="262"/>
      <c r="L155" s="263"/>
      <c r="M155" s="247"/>
    </row>
    <row r="156" spans="1:13" ht="14.25" customHeight="1" x14ac:dyDescent="0.25">
      <c r="A156" s="259"/>
      <c r="B156" s="261"/>
      <c r="C156" s="261"/>
      <c r="D156" s="80" t="s">
        <v>156</v>
      </c>
      <c r="E156" s="81">
        <v>81</v>
      </c>
      <c r="F156" s="8" t="s">
        <v>15</v>
      </c>
      <c r="G156" s="16" t="s">
        <v>161</v>
      </c>
      <c r="H156" s="16">
        <f>252*117/100</f>
        <v>294.83999999999997</v>
      </c>
      <c r="I156" s="16">
        <f t="shared" si="15"/>
        <v>58967.999999999993</v>
      </c>
      <c r="J156" s="82" t="s">
        <v>16</v>
      </c>
      <c r="K156" s="262"/>
      <c r="L156" s="263"/>
      <c r="M156" s="247"/>
    </row>
    <row r="157" spans="1:13" ht="39.6" x14ac:dyDescent="0.25">
      <c r="A157" s="259"/>
      <c r="B157" s="261"/>
      <c r="C157" s="261"/>
      <c r="D157" s="80" t="s">
        <v>497</v>
      </c>
      <c r="E157" s="81">
        <v>75</v>
      </c>
      <c r="F157" s="8" t="s">
        <v>15</v>
      </c>
      <c r="G157" s="16" t="s">
        <v>161</v>
      </c>
      <c r="H157" s="16">
        <f>285*117/100</f>
        <v>333.45</v>
      </c>
      <c r="I157" s="16">
        <f t="shared" si="15"/>
        <v>66690</v>
      </c>
      <c r="J157" s="82" t="s">
        <v>16</v>
      </c>
      <c r="K157" s="262"/>
      <c r="L157" s="263"/>
      <c r="M157" s="247"/>
    </row>
    <row r="158" spans="1:13" ht="39.6" x14ac:dyDescent="0.25">
      <c r="A158" s="259"/>
      <c r="B158" s="261"/>
      <c r="C158" s="261"/>
      <c r="D158" s="80" t="s">
        <v>498</v>
      </c>
      <c r="E158" s="81">
        <v>73</v>
      </c>
      <c r="F158" s="8" t="s">
        <v>15</v>
      </c>
      <c r="G158" s="16" t="s">
        <v>161</v>
      </c>
      <c r="H158" s="16">
        <f>300*117/100</f>
        <v>351</v>
      </c>
      <c r="I158" s="16">
        <f t="shared" si="15"/>
        <v>70200</v>
      </c>
      <c r="J158" s="82" t="s">
        <v>16</v>
      </c>
      <c r="K158" s="272"/>
      <c r="L158" s="263"/>
      <c r="M158" s="247"/>
    </row>
    <row r="159" spans="1:13" ht="14.25" customHeight="1" x14ac:dyDescent="0.25">
      <c r="A159" s="260"/>
      <c r="B159" s="248" t="s">
        <v>507</v>
      </c>
      <c r="C159" s="249"/>
      <c r="D159" s="249"/>
      <c r="E159" s="249"/>
      <c r="F159" s="249"/>
      <c r="G159" s="249"/>
      <c r="H159" s="249"/>
      <c r="I159" s="249"/>
      <c r="J159" s="249"/>
      <c r="K159" s="249"/>
      <c r="L159" s="249"/>
      <c r="M159" s="250"/>
    </row>
    <row r="160" spans="1:13" ht="15.6" x14ac:dyDescent="0.25">
      <c r="A160" s="251" t="s">
        <v>499</v>
      </c>
      <c r="B160" s="252"/>
      <c r="C160" s="252"/>
      <c r="D160" s="252"/>
      <c r="E160" s="252"/>
      <c r="F160" s="252"/>
      <c r="G160" s="252"/>
      <c r="H160" s="252"/>
      <c r="I160" s="252"/>
      <c r="J160" s="252"/>
      <c r="K160" s="252"/>
      <c r="L160" s="252"/>
      <c r="M160" s="253"/>
    </row>
    <row r="161" spans="1:13" ht="26.4" x14ac:dyDescent="0.25">
      <c r="A161" s="264">
        <v>31</v>
      </c>
      <c r="B161" s="265" t="s">
        <v>500</v>
      </c>
      <c r="C161" s="265" t="s">
        <v>483</v>
      </c>
      <c r="D161" s="17" t="s">
        <v>502</v>
      </c>
      <c r="E161" s="18">
        <v>100</v>
      </c>
      <c r="F161" s="19" t="s">
        <v>15</v>
      </c>
      <c r="G161" s="24" t="s">
        <v>161</v>
      </c>
      <c r="H161" s="24">
        <f>230*117/100</f>
        <v>269.10000000000002</v>
      </c>
      <c r="I161" s="24">
        <f>H161*200</f>
        <v>53820.000000000007</v>
      </c>
      <c r="J161" s="17" t="s">
        <v>16</v>
      </c>
      <c r="K161" s="271" t="s">
        <v>522</v>
      </c>
      <c r="L161" s="266" t="s">
        <v>48</v>
      </c>
      <c r="M161" s="267"/>
    </row>
    <row r="162" spans="1:13" ht="26.4" x14ac:dyDescent="0.25">
      <c r="A162" s="259"/>
      <c r="B162" s="261"/>
      <c r="C162" s="261"/>
      <c r="D162" s="22" t="s">
        <v>501</v>
      </c>
      <c r="E162" s="23">
        <v>99</v>
      </c>
      <c r="F162" s="24" t="s">
        <v>15</v>
      </c>
      <c r="G162" s="24" t="s">
        <v>161</v>
      </c>
      <c r="H162" s="24">
        <f>235*117/100</f>
        <v>274.95</v>
      </c>
      <c r="I162" s="24">
        <f t="shared" ref="I162:I164" si="16">H162*200</f>
        <v>54990</v>
      </c>
      <c r="J162" s="22" t="s">
        <v>16</v>
      </c>
      <c r="K162" s="262"/>
      <c r="L162" s="263"/>
      <c r="M162" s="247"/>
    </row>
    <row r="163" spans="1:13" ht="26.4" x14ac:dyDescent="0.25">
      <c r="A163" s="259"/>
      <c r="B163" s="261"/>
      <c r="C163" s="261"/>
      <c r="D163" s="80" t="s">
        <v>503</v>
      </c>
      <c r="E163" s="81">
        <v>97</v>
      </c>
      <c r="F163" s="8" t="s">
        <v>15</v>
      </c>
      <c r="G163" s="16" t="s">
        <v>161</v>
      </c>
      <c r="H163" s="16">
        <f>240*117/100</f>
        <v>280.8</v>
      </c>
      <c r="I163" s="16">
        <f t="shared" si="16"/>
        <v>56160</v>
      </c>
      <c r="J163" s="82" t="s">
        <v>16</v>
      </c>
      <c r="K163" s="262"/>
      <c r="L163" s="263"/>
      <c r="M163" s="247"/>
    </row>
    <row r="164" spans="1:13" ht="26.4" x14ac:dyDescent="0.25">
      <c r="A164" s="259"/>
      <c r="B164" s="261"/>
      <c r="C164" s="261"/>
      <c r="D164" s="80" t="s">
        <v>504</v>
      </c>
      <c r="E164" s="81">
        <v>95</v>
      </c>
      <c r="F164" s="8" t="s">
        <v>15</v>
      </c>
      <c r="G164" s="16" t="s">
        <v>161</v>
      </c>
      <c r="H164" s="16">
        <f>248*117/100</f>
        <v>290.16000000000003</v>
      </c>
      <c r="I164" s="16">
        <f t="shared" si="16"/>
        <v>58032.000000000007</v>
      </c>
      <c r="J164" s="82" t="s">
        <v>16</v>
      </c>
      <c r="K164" s="262"/>
      <c r="L164" s="263"/>
      <c r="M164" s="247"/>
    </row>
    <row r="165" spans="1:13" ht="14.25" customHeight="1" x14ac:dyDescent="0.25">
      <c r="A165" s="260"/>
      <c r="B165" s="248" t="s">
        <v>507</v>
      </c>
      <c r="C165" s="249"/>
      <c r="D165" s="249"/>
      <c r="E165" s="249"/>
      <c r="F165" s="249"/>
      <c r="G165" s="249"/>
      <c r="H165" s="249"/>
      <c r="I165" s="249"/>
      <c r="J165" s="249"/>
      <c r="K165" s="249"/>
      <c r="L165" s="249"/>
      <c r="M165" s="250"/>
    </row>
    <row r="166" spans="1:13" ht="15.6" x14ac:dyDescent="0.25">
      <c r="A166" s="251" t="s">
        <v>509</v>
      </c>
      <c r="B166" s="252"/>
      <c r="C166" s="252"/>
      <c r="D166" s="252"/>
      <c r="E166" s="252"/>
      <c r="F166" s="252"/>
      <c r="G166" s="252"/>
      <c r="H166" s="252"/>
      <c r="I166" s="252"/>
      <c r="J166" s="252"/>
      <c r="K166" s="252"/>
      <c r="L166" s="252"/>
      <c r="M166" s="253"/>
    </row>
    <row r="167" spans="1:13" ht="13.8" x14ac:dyDescent="0.25">
      <c r="A167" s="264">
        <v>32</v>
      </c>
      <c r="B167" s="265" t="s">
        <v>510</v>
      </c>
      <c r="C167" s="278" t="s">
        <v>511</v>
      </c>
      <c r="D167" s="22" t="s">
        <v>512</v>
      </c>
      <c r="E167" s="23">
        <v>100</v>
      </c>
      <c r="F167" s="24" t="s">
        <v>20</v>
      </c>
      <c r="G167" s="24" t="s">
        <v>20</v>
      </c>
      <c r="H167" s="24">
        <f>1624*117/100</f>
        <v>1900.08</v>
      </c>
      <c r="I167" s="24">
        <f>H167</f>
        <v>1900.08</v>
      </c>
      <c r="J167" s="22" t="s">
        <v>16</v>
      </c>
      <c r="K167" s="271" t="s">
        <v>45</v>
      </c>
      <c r="L167" s="266" t="s">
        <v>48</v>
      </c>
      <c r="M167" s="267">
        <v>1762000780</v>
      </c>
    </row>
    <row r="168" spans="1:13" ht="13.8" x14ac:dyDescent="0.25">
      <c r="A168" s="259"/>
      <c r="B168" s="261"/>
      <c r="C168" s="279"/>
      <c r="D168" s="80" t="s">
        <v>513</v>
      </c>
      <c r="E168" s="81">
        <v>63</v>
      </c>
      <c r="F168" s="8" t="s">
        <v>20</v>
      </c>
      <c r="G168" s="16" t="s">
        <v>20</v>
      </c>
      <c r="H168" s="16">
        <f>3500*117/100</f>
        <v>4095</v>
      </c>
      <c r="I168" s="16">
        <f>H168</f>
        <v>4095</v>
      </c>
      <c r="J168" s="83" t="s">
        <v>16</v>
      </c>
      <c r="K168" s="262"/>
      <c r="L168" s="263"/>
      <c r="M168" s="247"/>
    </row>
    <row r="169" spans="1:13" ht="13.8" x14ac:dyDescent="0.25">
      <c r="A169" s="259"/>
      <c r="B169" s="261"/>
      <c r="C169" s="279"/>
      <c r="D169" s="80" t="s">
        <v>514</v>
      </c>
      <c r="E169" s="81">
        <v>58</v>
      </c>
      <c r="F169" s="8" t="s">
        <v>20</v>
      </c>
      <c r="G169" s="16" t="s">
        <v>20</v>
      </c>
      <c r="H169" s="16">
        <f>4000*117/100</f>
        <v>4680</v>
      </c>
      <c r="I169" s="16">
        <f>H169</f>
        <v>4680</v>
      </c>
      <c r="J169" s="83" t="s">
        <v>16</v>
      </c>
      <c r="K169" s="262"/>
      <c r="L169" s="263"/>
      <c r="M169" s="247"/>
    </row>
    <row r="170" spans="1:13" ht="26.4" x14ac:dyDescent="0.25">
      <c r="A170" s="259"/>
      <c r="B170" s="261"/>
      <c r="C170" s="279"/>
      <c r="D170" s="80" t="s">
        <v>515</v>
      </c>
      <c r="E170" s="81">
        <v>49</v>
      </c>
      <c r="F170" s="8" t="s">
        <v>20</v>
      </c>
      <c r="G170" s="16" t="s">
        <v>20</v>
      </c>
      <c r="H170" s="16">
        <f>6000*117/100</f>
        <v>7020</v>
      </c>
      <c r="I170" s="16">
        <f>H170</f>
        <v>7020</v>
      </c>
      <c r="J170" s="83" t="s">
        <v>16</v>
      </c>
      <c r="K170" s="262"/>
      <c r="L170" s="263"/>
      <c r="M170" s="247"/>
    </row>
    <row r="171" spans="1:13" ht="13.8" x14ac:dyDescent="0.25">
      <c r="A171" s="260"/>
      <c r="B171" s="248"/>
      <c r="C171" s="249"/>
      <c r="D171" s="249"/>
      <c r="E171" s="249"/>
      <c r="F171" s="249"/>
      <c r="G171" s="249"/>
      <c r="H171" s="249"/>
      <c r="I171" s="249"/>
      <c r="J171" s="249"/>
      <c r="K171" s="249"/>
      <c r="L171" s="249"/>
      <c r="M171" s="250"/>
    </row>
    <row r="172" spans="1:13" ht="15.6" x14ac:dyDescent="0.25">
      <c r="A172" s="251" t="s">
        <v>516</v>
      </c>
      <c r="B172" s="252"/>
      <c r="C172" s="252"/>
      <c r="D172" s="252"/>
      <c r="E172" s="252"/>
      <c r="F172" s="252"/>
      <c r="G172" s="252"/>
      <c r="H172" s="252"/>
      <c r="I172" s="252"/>
      <c r="J172" s="252"/>
      <c r="K172" s="252"/>
      <c r="L172" s="252"/>
      <c r="M172" s="253"/>
    </row>
    <row r="173" spans="1:13" ht="14.25" customHeight="1" x14ac:dyDescent="0.25">
      <c r="A173" s="264">
        <v>33</v>
      </c>
      <c r="B173" s="265" t="s">
        <v>519</v>
      </c>
      <c r="C173" s="278" t="s">
        <v>511</v>
      </c>
      <c r="D173" s="17" t="s">
        <v>512</v>
      </c>
      <c r="E173" s="18">
        <v>100</v>
      </c>
      <c r="F173" s="19" t="s">
        <v>15</v>
      </c>
      <c r="G173" s="24" t="s">
        <v>518</v>
      </c>
      <c r="H173" s="24">
        <f>282*117/100</f>
        <v>329.94</v>
      </c>
      <c r="I173" s="24">
        <f>H173*50</f>
        <v>16497</v>
      </c>
      <c r="J173" s="17" t="s">
        <v>16</v>
      </c>
      <c r="K173" s="271" t="s">
        <v>45</v>
      </c>
      <c r="L173" s="266" t="s">
        <v>48</v>
      </c>
      <c r="M173" s="267">
        <v>1762000780</v>
      </c>
    </row>
    <row r="174" spans="1:13" ht="26.4" x14ac:dyDescent="0.25">
      <c r="A174" s="259"/>
      <c r="B174" s="261"/>
      <c r="C174" s="279"/>
      <c r="D174" s="73" t="s">
        <v>515</v>
      </c>
      <c r="E174" s="74">
        <v>96</v>
      </c>
      <c r="F174" s="16" t="s">
        <v>15</v>
      </c>
      <c r="G174" s="16" t="s">
        <v>518</v>
      </c>
      <c r="H174" s="16">
        <f>300*117/100</f>
        <v>351</v>
      </c>
      <c r="I174" s="16">
        <f>H174*50</f>
        <v>17550</v>
      </c>
      <c r="J174" s="73" t="s">
        <v>16</v>
      </c>
      <c r="K174" s="262"/>
      <c r="L174" s="263"/>
      <c r="M174" s="247"/>
    </row>
    <row r="175" spans="1:13" ht="26.4" x14ac:dyDescent="0.25">
      <c r="A175" s="259"/>
      <c r="B175" s="261"/>
      <c r="C175" s="279"/>
      <c r="D175" s="80" t="s">
        <v>517</v>
      </c>
      <c r="E175" s="81">
        <v>91</v>
      </c>
      <c r="F175" s="8" t="s">
        <v>15</v>
      </c>
      <c r="G175" s="16" t="s">
        <v>518</v>
      </c>
      <c r="H175" s="16">
        <f>322*117/100</f>
        <v>376.74</v>
      </c>
      <c r="I175" s="16">
        <f>H175*50</f>
        <v>18837</v>
      </c>
      <c r="J175" s="83" t="s">
        <v>16</v>
      </c>
      <c r="K175" s="262"/>
      <c r="L175" s="263"/>
      <c r="M175" s="247"/>
    </row>
    <row r="176" spans="1:13" ht="13.8" x14ac:dyDescent="0.25">
      <c r="A176" s="259"/>
      <c r="B176" s="261"/>
      <c r="C176" s="279"/>
      <c r="D176" s="80" t="s">
        <v>459</v>
      </c>
      <c r="E176" s="81">
        <v>91</v>
      </c>
      <c r="F176" s="8" t="s">
        <v>15</v>
      </c>
      <c r="G176" s="16" t="s">
        <v>518</v>
      </c>
      <c r="H176" s="16">
        <f>322*117/100</f>
        <v>376.74</v>
      </c>
      <c r="I176" s="16">
        <f>H176*50</f>
        <v>18837</v>
      </c>
      <c r="J176" s="83" t="s">
        <v>16</v>
      </c>
      <c r="K176" s="262"/>
      <c r="L176" s="263"/>
      <c r="M176" s="247"/>
    </row>
    <row r="177" spans="1:13" ht="14.25" customHeight="1" x14ac:dyDescent="0.25">
      <c r="A177" s="260"/>
      <c r="B177" s="248"/>
      <c r="C177" s="249"/>
      <c r="D177" s="249"/>
      <c r="E177" s="249"/>
      <c r="F177" s="249"/>
      <c r="G177" s="249"/>
      <c r="H177" s="249"/>
      <c r="I177" s="249"/>
      <c r="J177" s="249"/>
      <c r="K177" s="249"/>
      <c r="L177" s="249"/>
      <c r="M177" s="250"/>
    </row>
    <row r="178" spans="1:13" ht="15.6" x14ac:dyDescent="0.25">
      <c r="A178" s="251" t="s">
        <v>523</v>
      </c>
      <c r="B178" s="252"/>
      <c r="C178" s="252"/>
      <c r="D178" s="252"/>
      <c r="E178" s="252"/>
      <c r="F178" s="252"/>
      <c r="G178" s="252"/>
      <c r="H178" s="252"/>
      <c r="I178" s="252"/>
      <c r="J178" s="252"/>
      <c r="K178" s="252"/>
      <c r="L178" s="252"/>
      <c r="M178" s="253"/>
    </row>
    <row r="179" spans="1:13" ht="14.25" customHeight="1" x14ac:dyDescent="0.25">
      <c r="A179" s="264">
        <v>34</v>
      </c>
      <c r="B179" s="265" t="s">
        <v>524</v>
      </c>
      <c r="C179" s="278" t="s">
        <v>22</v>
      </c>
      <c r="D179" s="17" t="s">
        <v>525</v>
      </c>
      <c r="E179" s="18">
        <v>91</v>
      </c>
      <c r="F179" s="19" t="s">
        <v>15</v>
      </c>
      <c r="G179" s="24" t="s">
        <v>161</v>
      </c>
      <c r="H179" s="24">
        <f>750*117/100</f>
        <v>877.5</v>
      </c>
      <c r="I179" s="24">
        <f>H179*200</f>
        <v>175500</v>
      </c>
      <c r="J179" s="17"/>
      <c r="K179" s="271" t="s">
        <v>45</v>
      </c>
      <c r="L179" s="266" t="s">
        <v>48</v>
      </c>
      <c r="M179" s="267"/>
    </row>
    <row r="180" spans="1:13" ht="26.4" x14ac:dyDescent="0.25">
      <c r="A180" s="259"/>
      <c r="B180" s="261"/>
      <c r="C180" s="279"/>
      <c r="D180" s="73" t="s">
        <v>526</v>
      </c>
      <c r="E180" s="74">
        <v>88</v>
      </c>
      <c r="F180" s="16" t="s">
        <v>15</v>
      </c>
      <c r="G180" s="16" t="s">
        <v>161</v>
      </c>
      <c r="H180" s="16">
        <f>650*117/100</f>
        <v>760.5</v>
      </c>
      <c r="I180" s="16">
        <f>H180*200</f>
        <v>152100</v>
      </c>
      <c r="J180" s="73"/>
      <c r="K180" s="262"/>
      <c r="L180" s="263"/>
      <c r="M180" s="247"/>
    </row>
    <row r="181" spans="1:13" ht="13.8" x14ac:dyDescent="0.25">
      <c r="A181" s="259"/>
      <c r="B181" s="261"/>
      <c r="C181" s="279"/>
      <c r="D181" s="80" t="s">
        <v>527</v>
      </c>
      <c r="E181" s="81">
        <v>85</v>
      </c>
      <c r="F181" s="8" t="s">
        <v>15</v>
      </c>
      <c r="G181" s="16" t="s">
        <v>161</v>
      </c>
      <c r="H181" s="16">
        <f>750*117/100</f>
        <v>877.5</v>
      </c>
      <c r="I181" s="16">
        <f t="shared" ref="I181:I185" si="17">H181*200</f>
        <v>175500</v>
      </c>
      <c r="J181" s="88"/>
      <c r="K181" s="262"/>
      <c r="L181" s="263"/>
      <c r="M181" s="247"/>
    </row>
    <row r="182" spans="1:13" ht="13.8" x14ac:dyDescent="0.25">
      <c r="A182" s="259"/>
      <c r="B182" s="261"/>
      <c r="C182" s="279"/>
      <c r="D182" s="80" t="s">
        <v>528</v>
      </c>
      <c r="E182" s="81">
        <v>85</v>
      </c>
      <c r="F182" s="8" t="s">
        <v>15</v>
      </c>
      <c r="G182" s="16" t="s">
        <v>161</v>
      </c>
      <c r="H182" s="16">
        <f>680*117/100</f>
        <v>795.6</v>
      </c>
      <c r="I182" s="16">
        <f t="shared" si="17"/>
        <v>159120</v>
      </c>
      <c r="J182" s="88"/>
      <c r="K182" s="262"/>
      <c r="L182" s="263"/>
      <c r="M182" s="247"/>
    </row>
    <row r="183" spans="1:13" ht="13.8" x14ac:dyDescent="0.25">
      <c r="A183" s="259"/>
      <c r="B183" s="261"/>
      <c r="C183" s="279"/>
      <c r="D183" s="80" t="s">
        <v>529</v>
      </c>
      <c r="E183" s="81">
        <v>81</v>
      </c>
      <c r="F183" s="8" t="s">
        <v>15</v>
      </c>
      <c r="G183" s="16" t="s">
        <v>161</v>
      </c>
      <c r="H183" s="16">
        <f>800*117/100</f>
        <v>936</v>
      </c>
      <c r="I183" s="16">
        <f t="shared" si="17"/>
        <v>187200</v>
      </c>
      <c r="J183" s="88"/>
      <c r="K183" s="262"/>
      <c r="L183" s="263"/>
      <c r="M183" s="247"/>
    </row>
    <row r="184" spans="1:13" ht="26.4" x14ac:dyDescent="0.25">
      <c r="A184" s="259"/>
      <c r="B184" s="261"/>
      <c r="C184" s="279"/>
      <c r="D184" s="89" t="s">
        <v>531</v>
      </c>
      <c r="E184" s="81">
        <v>78</v>
      </c>
      <c r="F184" s="8" t="s">
        <v>15</v>
      </c>
      <c r="G184" s="16" t="s">
        <v>161</v>
      </c>
      <c r="H184" s="16">
        <f>850*117/100</f>
        <v>994.5</v>
      </c>
      <c r="I184" s="16">
        <f t="shared" si="17"/>
        <v>198900</v>
      </c>
      <c r="J184" s="88"/>
      <c r="K184" s="262"/>
      <c r="L184" s="263"/>
      <c r="M184" s="247"/>
    </row>
    <row r="185" spans="1:13" ht="13.8" x14ac:dyDescent="0.25">
      <c r="A185" s="259"/>
      <c r="B185" s="261"/>
      <c r="C185" s="279"/>
      <c r="D185" s="80" t="s">
        <v>530</v>
      </c>
      <c r="E185" s="81">
        <v>76</v>
      </c>
      <c r="F185" s="8" t="s">
        <v>15</v>
      </c>
      <c r="G185" s="16" t="s">
        <v>161</v>
      </c>
      <c r="H185" s="16">
        <f>840*117/100</f>
        <v>982.8</v>
      </c>
      <c r="I185" s="16">
        <f t="shared" si="17"/>
        <v>196560</v>
      </c>
      <c r="J185" s="88"/>
      <c r="K185" s="262"/>
      <c r="L185" s="263"/>
      <c r="M185" s="247"/>
    </row>
    <row r="186" spans="1:13" ht="14.25" customHeight="1" x14ac:dyDescent="0.25">
      <c r="A186" s="260"/>
      <c r="B186" s="248" t="s">
        <v>532</v>
      </c>
      <c r="C186" s="249"/>
      <c r="D186" s="249"/>
      <c r="E186" s="249"/>
      <c r="F186" s="249"/>
      <c r="G186" s="249"/>
      <c r="H186" s="249"/>
      <c r="I186" s="249"/>
      <c r="J186" s="249"/>
      <c r="K186" s="249"/>
      <c r="L186" s="249"/>
      <c r="M186" s="250"/>
    </row>
  </sheetData>
  <mergeCells count="223">
    <mergeCell ref="A124:M124"/>
    <mergeCell ref="A125:A126"/>
    <mergeCell ref="B126:M126"/>
    <mergeCell ref="A127:M127"/>
    <mergeCell ref="A128:A129"/>
    <mergeCell ref="B129:M129"/>
    <mergeCell ref="A144:M144"/>
    <mergeCell ref="A145:A151"/>
    <mergeCell ref="B145:B150"/>
    <mergeCell ref="C145:C150"/>
    <mergeCell ref="K145:K150"/>
    <mergeCell ref="L145:L150"/>
    <mergeCell ref="M145:M150"/>
    <mergeCell ref="B151:M151"/>
    <mergeCell ref="A130:M130"/>
    <mergeCell ref="A131:A132"/>
    <mergeCell ref="B132:M132"/>
    <mergeCell ref="A138:A143"/>
    <mergeCell ref="B138:B142"/>
    <mergeCell ref="C138:C142"/>
    <mergeCell ref="K138:K142"/>
    <mergeCell ref="L138:L142"/>
    <mergeCell ref="M138:M142"/>
    <mergeCell ref="B143:M143"/>
    <mergeCell ref="A152:M152"/>
    <mergeCell ref="B177:M177"/>
    <mergeCell ref="A166:M166"/>
    <mergeCell ref="A153:A159"/>
    <mergeCell ref="B153:B158"/>
    <mergeCell ref="C153:C158"/>
    <mergeCell ref="K153:K158"/>
    <mergeCell ref="L153:L158"/>
    <mergeCell ref="M153:M158"/>
    <mergeCell ref="B159:M159"/>
    <mergeCell ref="A172:M172"/>
    <mergeCell ref="B173:B176"/>
    <mergeCell ref="C173:C176"/>
    <mergeCell ref="K173:K176"/>
    <mergeCell ref="L173:L176"/>
    <mergeCell ref="M173:M176"/>
    <mergeCell ref="A178:M178"/>
    <mergeCell ref="A179:A186"/>
    <mergeCell ref="B179:B185"/>
    <mergeCell ref="C179:C185"/>
    <mergeCell ref="K179:K185"/>
    <mergeCell ref="L179:L185"/>
    <mergeCell ref="M179:M185"/>
    <mergeCell ref="B186:M186"/>
    <mergeCell ref="A160:M160"/>
    <mergeCell ref="A161:A165"/>
    <mergeCell ref="B161:B164"/>
    <mergeCell ref="C161:C164"/>
    <mergeCell ref="K161:K164"/>
    <mergeCell ref="L161:L164"/>
    <mergeCell ref="M161:M164"/>
    <mergeCell ref="B165:M165"/>
    <mergeCell ref="A173:A177"/>
    <mergeCell ref="A167:A171"/>
    <mergeCell ref="B167:B170"/>
    <mergeCell ref="C167:C170"/>
    <mergeCell ref="K167:K170"/>
    <mergeCell ref="L167:L170"/>
    <mergeCell ref="M167:M170"/>
    <mergeCell ref="B171:M171"/>
    <mergeCell ref="M75:M78"/>
    <mergeCell ref="B79:M79"/>
    <mergeCell ref="A81:A85"/>
    <mergeCell ref="B81:B84"/>
    <mergeCell ref="C81:C84"/>
    <mergeCell ref="A38:M38"/>
    <mergeCell ref="A39:A43"/>
    <mergeCell ref="B39:B42"/>
    <mergeCell ref="C39:C42"/>
    <mergeCell ref="A68:M68"/>
    <mergeCell ref="A69:A73"/>
    <mergeCell ref="B69:B72"/>
    <mergeCell ref="C69:C72"/>
    <mergeCell ref="K69:K72"/>
    <mergeCell ref="L69:L72"/>
    <mergeCell ref="M69:M72"/>
    <mergeCell ref="B73:M73"/>
    <mergeCell ref="A74:M74"/>
    <mergeCell ref="M39:M42"/>
    <mergeCell ref="M81:M84"/>
    <mergeCell ref="K81:K84"/>
    <mergeCell ref="A80:M80"/>
    <mergeCell ref="K75:K78"/>
    <mergeCell ref="L75:L78"/>
    <mergeCell ref="A1:A6"/>
    <mergeCell ref="B1:M1"/>
    <mergeCell ref="B2:M2"/>
    <mergeCell ref="B3:M3"/>
    <mergeCell ref="B4:M4"/>
    <mergeCell ref="B5:M5"/>
    <mergeCell ref="A13:M13"/>
    <mergeCell ref="A14:A15"/>
    <mergeCell ref="B15:M15"/>
    <mergeCell ref="A7:M7"/>
    <mergeCell ref="A8:A12"/>
    <mergeCell ref="B8:B11"/>
    <mergeCell ref="C8:C11"/>
    <mergeCell ref="K8:K11"/>
    <mergeCell ref="L8:L11"/>
    <mergeCell ref="M8:M11"/>
    <mergeCell ref="B12:M12"/>
    <mergeCell ref="A16:M16"/>
    <mergeCell ref="A17:A22"/>
    <mergeCell ref="B17:B21"/>
    <mergeCell ref="C17:C21"/>
    <mergeCell ref="A75:A79"/>
    <mergeCell ref="B75:B78"/>
    <mergeCell ref="C75:C78"/>
    <mergeCell ref="A33:M33"/>
    <mergeCell ref="A34:A37"/>
    <mergeCell ref="B34:B36"/>
    <mergeCell ref="C34:C36"/>
    <mergeCell ref="K34:K36"/>
    <mergeCell ref="L34:L36"/>
    <mergeCell ref="M34:M36"/>
    <mergeCell ref="M63:M66"/>
    <mergeCell ref="B67:M67"/>
    <mergeCell ref="B61:M61"/>
    <mergeCell ref="A62:M62"/>
    <mergeCell ref="A63:A67"/>
    <mergeCell ref="B63:B66"/>
    <mergeCell ref="C63:C66"/>
    <mergeCell ref="K63:K66"/>
    <mergeCell ref="L63:L66"/>
    <mergeCell ref="B37:M37"/>
    <mergeCell ref="K17:K21"/>
    <mergeCell ref="L17:L21"/>
    <mergeCell ref="A50:M50"/>
    <mergeCell ref="A51:A55"/>
    <mergeCell ref="B51:B54"/>
    <mergeCell ref="C51:C54"/>
    <mergeCell ref="K51:K54"/>
    <mergeCell ref="L51:L54"/>
    <mergeCell ref="M51:M54"/>
    <mergeCell ref="B55:M55"/>
    <mergeCell ref="A44:M44"/>
    <mergeCell ref="A45:A49"/>
    <mergeCell ref="B45:B48"/>
    <mergeCell ref="C45:C48"/>
    <mergeCell ref="K45:K48"/>
    <mergeCell ref="L45:L48"/>
    <mergeCell ref="M45:M48"/>
    <mergeCell ref="B49:M49"/>
    <mergeCell ref="M17:M21"/>
    <mergeCell ref="B22:M22"/>
    <mergeCell ref="B43:M43"/>
    <mergeCell ref="A23:M23"/>
    <mergeCell ref="A24:A29"/>
    <mergeCell ref="B24:B28"/>
    <mergeCell ref="C24:C28"/>
    <mergeCell ref="A56:M56"/>
    <mergeCell ref="A57:A61"/>
    <mergeCell ref="B57:B60"/>
    <mergeCell ref="C57:C60"/>
    <mergeCell ref="K57:K60"/>
    <mergeCell ref="L57:L60"/>
    <mergeCell ref="M57:M60"/>
    <mergeCell ref="K24:K28"/>
    <mergeCell ref="L24:L28"/>
    <mergeCell ref="M24:M28"/>
    <mergeCell ref="B29:M29"/>
    <mergeCell ref="A31:A32"/>
    <mergeCell ref="B32:M32"/>
    <mergeCell ref="K39:K42"/>
    <mergeCell ref="L39:L42"/>
    <mergeCell ref="A30:M30"/>
    <mergeCell ref="A121:M121"/>
    <mergeCell ref="A122:A123"/>
    <mergeCell ref="B123:M123"/>
    <mergeCell ref="A108:A109"/>
    <mergeCell ref="A86:M86"/>
    <mergeCell ref="A87:A90"/>
    <mergeCell ref="B87:B89"/>
    <mergeCell ref="C87:C89"/>
    <mergeCell ref="K87:K89"/>
    <mergeCell ref="L87:L89"/>
    <mergeCell ref="M87:M89"/>
    <mergeCell ref="B90:M90"/>
    <mergeCell ref="A110:M110"/>
    <mergeCell ref="A111:A117"/>
    <mergeCell ref="B111:B116"/>
    <mergeCell ref="C111:C116"/>
    <mergeCell ref="K111:K116"/>
    <mergeCell ref="L111:L116"/>
    <mergeCell ref="M111:M116"/>
    <mergeCell ref="B117:M117"/>
    <mergeCell ref="L92:L96"/>
    <mergeCell ref="M92:M96"/>
    <mergeCell ref="B97:M97"/>
    <mergeCell ref="A91:M91"/>
    <mergeCell ref="L81:L84"/>
    <mergeCell ref="B109:M109"/>
    <mergeCell ref="B85:M85"/>
    <mergeCell ref="A98:M98"/>
    <mergeCell ref="A107:M107"/>
    <mergeCell ref="A99:A100"/>
    <mergeCell ref="B100:M100"/>
    <mergeCell ref="A118:M118"/>
    <mergeCell ref="A119:A120"/>
    <mergeCell ref="B120:M120"/>
    <mergeCell ref="A101:M101"/>
    <mergeCell ref="A102:A103"/>
    <mergeCell ref="B103:M103"/>
    <mergeCell ref="A104:M104"/>
    <mergeCell ref="A105:A106"/>
    <mergeCell ref="B106:M106"/>
    <mergeCell ref="A92:A97"/>
    <mergeCell ref="B92:B96"/>
    <mergeCell ref="C92:C96"/>
    <mergeCell ref="K92:K96"/>
    <mergeCell ref="A133:M133"/>
    <mergeCell ref="A134:A136"/>
    <mergeCell ref="B134:B135"/>
    <mergeCell ref="C134:C135"/>
    <mergeCell ref="K134:K135"/>
    <mergeCell ref="L134:L135"/>
    <mergeCell ref="M134:M135"/>
    <mergeCell ref="B136:M136"/>
    <mergeCell ref="A137:M137"/>
  </mergeCells>
  <pageMargins left="0.23622047244094491" right="0.23622047244094491" top="0.55118110236220474" bottom="0.55118110236220474" header="0.31496062992125984" footer="0.31496062992125984"/>
  <pageSetup paperSize="9" scale="79" fitToHeight="0" orientation="landscape" r:id="rId1"/>
  <rowBreaks count="5" manualBreakCount="5">
    <brk id="32" max="12" man="1"/>
    <brk id="73" max="12" man="1"/>
    <brk id="100" max="12" man="1"/>
    <brk id="130" max="12" man="1"/>
    <brk id="151" max="12" man="1"/>
  </rowBreaks>
  <ignoredErrors>
    <ignoredError sqref="H115" 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98"/>
  <sheetViews>
    <sheetView rightToLeft="1" zoomScaleNormal="100" workbookViewId="0">
      <selection activeCell="B34" sqref="B34:B39"/>
    </sheetView>
  </sheetViews>
  <sheetFormatPr defaultColWidth="8.69921875" defaultRowHeight="15" x14ac:dyDescent="0.25"/>
  <cols>
    <col min="1" max="1" width="4.19921875" customWidth="1"/>
    <col min="2" max="2" width="21.09765625" style="10" bestFit="1" customWidth="1"/>
    <col min="4" max="4" width="7.19921875" customWidth="1"/>
    <col min="5" max="5" width="7.69921875" customWidth="1"/>
    <col min="6" max="6" width="10.19921875" bestFit="1" customWidth="1"/>
    <col min="7" max="7" width="12.09765625" style="11" bestFit="1" customWidth="1"/>
    <col min="8" max="8" width="15.19921875" style="12" bestFit="1" customWidth="1"/>
    <col min="9" max="9" width="14.59765625" style="12" bestFit="1" customWidth="1"/>
    <col min="10" max="10" width="9" customWidth="1"/>
    <col min="11" max="11" width="23.59765625" style="13" customWidth="1"/>
    <col min="12" max="12" width="13.5" style="14" customWidth="1"/>
    <col min="13" max="13" width="16.5" style="15" customWidth="1"/>
  </cols>
  <sheetData>
    <row r="1" spans="1:13" ht="21" x14ac:dyDescent="0.25">
      <c r="A1" s="254"/>
      <c r="B1" s="255" t="s">
        <v>137</v>
      </c>
      <c r="C1" s="255"/>
      <c r="D1" s="255"/>
      <c r="E1" s="255"/>
      <c r="F1" s="255"/>
      <c r="G1" s="255"/>
      <c r="H1" s="255"/>
      <c r="I1" s="255"/>
      <c r="J1" s="255"/>
      <c r="K1" s="255"/>
      <c r="L1" s="255"/>
      <c r="M1" s="255"/>
    </row>
    <row r="2" spans="1:13" ht="13.8" x14ac:dyDescent="0.25">
      <c r="A2" s="254"/>
      <c r="B2" s="256" t="s">
        <v>0</v>
      </c>
      <c r="C2" s="256"/>
      <c r="D2" s="256"/>
      <c r="E2" s="256"/>
      <c r="F2" s="256"/>
      <c r="G2" s="256"/>
      <c r="H2" s="256"/>
      <c r="I2" s="256"/>
      <c r="J2" s="256"/>
      <c r="K2" s="256"/>
      <c r="L2" s="256"/>
      <c r="M2" s="256"/>
    </row>
    <row r="3" spans="1:13" ht="15.6" x14ac:dyDescent="0.25">
      <c r="A3" s="254"/>
      <c r="B3" s="257" t="s">
        <v>1</v>
      </c>
      <c r="C3" s="257"/>
      <c r="D3" s="257"/>
      <c r="E3" s="257"/>
      <c r="F3" s="257"/>
      <c r="G3" s="257"/>
      <c r="H3" s="257"/>
      <c r="I3" s="257"/>
      <c r="J3" s="257"/>
      <c r="K3" s="257"/>
      <c r="L3" s="257"/>
      <c r="M3" s="257"/>
    </row>
    <row r="4" spans="1:13" ht="13.8" x14ac:dyDescent="0.25">
      <c r="A4" s="254"/>
      <c r="B4" s="258" t="s">
        <v>2</v>
      </c>
      <c r="C4" s="258"/>
      <c r="D4" s="258"/>
      <c r="E4" s="258"/>
      <c r="F4" s="258"/>
      <c r="G4" s="258"/>
      <c r="H4" s="258"/>
      <c r="I4" s="258"/>
      <c r="J4" s="258"/>
      <c r="K4" s="258"/>
      <c r="L4" s="258"/>
      <c r="M4" s="258"/>
    </row>
    <row r="5" spans="1:13" ht="13.8" x14ac:dyDescent="0.25">
      <c r="A5" s="254"/>
      <c r="B5" s="258" t="s">
        <v>26</v>
      </c>
      <c r="C5" s="258"/>
      <c r="D5" s="258"/>
      <c r="E5" s="258"/>
      <c r="F5" s="258"/>
      <c r="G5" s="258"/>
      <c r="H5" s="258"/>
      <c r="I5" s="258"/>
      <c r="J5" s="258"/>
      <c r="K5" s="258"/>
      <c r="L5" s="258"/>
      <c r="M5" s="258"/>
    </row>
    <row r="6" spans="1:13" ht="46.8" x14ac:dyDescent="0.25">
      <c r="A6" s="254"/>
      <c r="B6" s="1" t="s">
        <v>3</v>
      </c>
      <c r="C6" s="2" t="s">
        <v>4</v>
      </c>
      <c r="D6" s="3" t="s">
        <v>5</v>
      </c>
      <c r="E6" s="3" t="s">
        <v>6</v>
      </c>
      <c r="F6" s="3" t="s">
        <v>7</v>
      </c>
      <c r="G6" s="3" t="s">
        <v>8</v>
      </c>
      <c r="H6" s="4" t="s">
        <v>9</v>
      </c>
      <c r="I6" s="5" t="s">
        <v>10</v>
      </c>
      <c r="J6" s="3" t="s">
        <v>11</v>
      </c>
      <c r="K6" s="3" t="s">
        <v>12</v>
      </c>
      <c r="L6" s="6" t="s">
        <v>13</v>
      </c>
      <c r="M6" s="3" t="s">
        <v>14</v>
      </c>
    </row>
    <row r="7" spans="1:13" ht="15.6" x14ac:dyDescent="0.25">
      <c r="A7" s="251" t="s">
        <v>82</v>
      </c>
      <c r="B7" s="252"/>
      <c r="C7" s="252"/>
      <c r="D7" s="252"/>
      <c r="E7" s="252"/>
      <c r="F7" s="252"/>
      <c r="G7" s="252"/>
      <c r="H7" s="252"/>
      <c r="I7" s="252"/>
      <c r="J7" s="252"/>
      <c r="K7" s="252"/>
      <c r="L7" s="252"/>
      <c r="M7" s="253"/>
    </row>
    <row r="8" spans="1:13" ht="26.4" x14ac:dyDescent="0.25">
      <c r="A8" s="264">
        <v>1</v>
      </c>
      <c r="B8" s="265" t="s">
        <v>80</v>
      </c>
      <c r="C8" s="265" t="s">
        <v>81</v>
      </c>
      <c r="D8" s="17" t="s">
        <v>83</v>
      </c>
      <c r="E8" s="18">
        <v>100</v>
      </c>
      <c r="F8" s="19" t="s">
        <v>86</v>
      </c>
      <c r="G8" s="19" t="s">
        <v>87</v>
      </c>
      <c r="H8" s="19">
        <f>2500*117/100</f>
        <v>2925</v>
      </c>
      <c r="I8" s="19">
        <f>H8*30</f>
        <v>87750</v>
      </c>
      <c r="J8" s="17" t="s">
        <v>16</v>
      </c>
      <c r="K8" s="271" t="s">
        <v>45</v>
      </c>
      <c r="L8" s="287" t="s">
        <v>48</v>
      </c>
      <c r="M8" s="267">
        <v>253008</v>
      </c>
    </row>
    <row r="9" spans="1:13" ht="13.8" x14ac:dyDescent="0.25">
      <c r="A9" s="259"/>
      <c r="B9" s="261"/>
      <c r="C9" s="261"/>
      <c r="D9" s="27" t="s">
        <v>84</v>
      </c>
      <c r="E9" s="7">
        <v>94</v>
      </c>
      <c r="F9" s="8" t="s">
        <v>86</v>
      </c>
      <c r="G9" s="8" t="s">
        <v>87</v>
      </c>
      <c r="H9" s="28">
        <f>2500*117/100</f>
        <v>2925</v>
      </c>
      <c r="I9" s="28">
        <f t="shared" ref="I9:I11" si="0">H9*30</f>
        <v>87750</v>
      </c>
      <c r="J9" s="27" t="s">
        <v>16</v>
      </c>
      <c r="K9" s="262"/>
      <c r="L9" s="287"/>
      <c r="M9" s="247"/>
    </row>
    <row r="10" spans="1:13" ht="26.4" x14ac:dyDescent="0.25">
      <c r="A10" s="259"/>
      <c r="B10" s="261"/>
      <c r="C10" s="261"/>
      <c r="D10" s="27" t="s">
        <v>85</v>
      </c>
      <c r="E10" s="7">
        <v>93</v>
      </c>
      <c r="F10" s="8" t="s">
        <v>86</v>
      </c>
      <c r="G10" s="8" t="s">
        <v>87</v>
      </c>
      <c r="H10" s="28">
        <f>2800*117/100</f>
        <v>3276</v>
      </c>
      <c r="I10" s="28">
        <f t="shared" si="0"/>
        <v>98280</v>
      </c>
      <c r="J10" s="27" t="s">
        <v>16</v>
      </c>
      <c r="K10" s="262"/>
      <c r="L10" s="287"/>
      <c r="M10" s="247"/>
    </row>
    <row r="11" spans="1:13" ht="26.4" x14ac:dyDescent="0.25">
      <c r="A11" s="259"/>
      <c r="B11" s="261"/>
      <c r="C11" s="261"/>
      <c r="D11" s="27" t="s">
        <v>88</v>
      </c>
      <c r="E11" s="7">
        <v>88</v>
      </c>
      <c r="F11" s="8" t="s">
        <v>86</v>
      </c>
      <c r="G11" s="8" t="s">
        <v>87</v>
      </c>
      <c r="H11" s="28">
        <f>3000*117/100</f>
        <v>3510</v>
      </c>
      <c r="I11" s="28">
        <f t="shared" si="0"/>
        <v>105300</v>
      </c>
      <c r="J11" s="27" t="s">
        <v>16</v>
      </c>
      <c r="K11" s="262"/>
      <c r="L11" s="287"/>
      <c r="M11" s="247"/>
    </row>
    <row r="12" spans="1:13" ht="13.8" x14ac:dyDescent="0.25">
      <c r="A12" s="260"/>
      <c r="B12" s="248"/>
      <c r="C12" s="249"/>
      <c r="D12" s="249"/>
      <c r="E12" s="249"/>
      <c r="F12" s="249"/>
      <c r="G12" s="249"/>
      <c r="H12" s="249"/>
      <c r="I12" s="249"/>
      <c r="J12" s="249"/>
      <c r="K12" s="249"/>
      <c r="L12" s="249"/>
      <c r="M12" s="250"/>
    </row>
    <row r="13" spans="1:13" ht="15.6" x14ac:dyDescent="0.25">
      <c r="A13" s="251" t="s">
        <v>90</v>
      </c>
      <c r="B13" s="252"/>
      <c r="C13" s="252"/>
      <c r="D13" s="252"/>
      <c r="E13" s="252"/>
      <c r="F13" s="252"/>
      <c r="G13" s="252"/>
      <c r="H13" s="252"/>
      <c r="I13" s="252"/>
      <c r="J13" s="252"/>
      <c r="K13" s="252"/>
      <c r="L13" s="252"/>
      <c r="M13" s="253"/>
    </row>
    <row r="14" spans="1:13" ht="37.5" customHeight="1" x14ac:dyDescent="0.25">
      <c r="A14" s="264">
        <v>2</v>
      </c>
      <c r="B14" s="265" t="s">
        <v>89</v>
      </c>
      <c r="C14" s="265" t="s">
        <v>81</v>
      </c>
      <c r="D14" s="17" t="s">
        <v>91</v>
      </c>
      <c r="E14" s="18">
        <v>100</v>
      </c>
      <c r="F14" s="19" t="s">
        <v>86</v>
      </c>
      <c r="G14" s="19" t="s">
        <v>87</v>
      </c>
      <c r="H14" s="19">
        <f>1000*117/100</f>
        <v>1170</v>
      </c>
      <c r="I14" s="19">
        <f>H14*30</f>
        <v>35100</v>
      </c>
      <c r="J14" s="17" t="s">
        <v>16</v>
      </c>
      <c r="K14" s="271" t="s">
        <v>45</v>
      </c>
      <c r="L14" s="287" t="s">
        <v>48</v>
      </c>
      <c r="M14" s="267">
        <v>253008</v>
      </c>
    </row>
    <row r="15" spans="1:13" ht="13.8" x14ac:dyDescent="0.25">
      <c r="A15" s="259"/>
      <c r="B15" s="261"/>
      <c r="C15" s="261"/>
      <c r="D15" s="27" t="s">
        <v>92</v>
      </c>
      <c r="E15" s="7">
        <v>90</v>
      </c>
      <c r="F15" s="8" t="s">
        <v>86</v>
      </c>
      <c r="G15" s="8" t="s">
        <v>87</v>
      </c>
      <c r="H15" s="28">
        <f>1200*117/100</f>
        <v>1404</v>
      </c>
      <c r="I15" s="28">
        <f t="shared" ref="I15:I17" si="1">H15*30</f>
        <v>42120</v>
      </c>
      <c r="J15" s="27" t="s">
        <v>16</v>
      </c>
      <c r="K15" s="262"/>
      <c r="L15" s="287"/>
      <c r="M15" s="247"/>
    </row>
    <row r="16" spans="1:13" ht="13.8" x14ac:dyDescent="0.25">
      <c r="A16" s="259"/>
      <c r="B16" s="261"/>
      <c r="C16" s="261"/>
      <c r="D16" s="27" t="s">
        <v>93</v>
      </c>
      <c r="E16" s="7">
        <v>80</v>
      </c>
      <c r="F16" s="8" t="s">
        <v>86</v>
      </c>
      <c r="G16" s="8" t="s">
        <v>87</v>
      </c>
      <c r="H16" s="28">
        <f>1400*117/100</f>
        <v>1638</v>
      </c>
      <c r="I16" s="28">
        <f t="shared" si="1"/>
        <v>49140</v>
      </c>
      <c r="J16" s="27" t="s">
        <v>16</v>
      </c>
      <c r="K16" s="262"/>
      <c r="L16" s="287"/>
      <c r="M16" s="247"/>
    </row>
    <row r="17" spans="1:13" ht="26.4" x14ac:dyDescent="0.25">
      <c r="A17" s="259"/>
      <c r="B17" s="261"/>
      <c r="C17" s="261"/>
      <c r="D17" s="27" t="s">
        <v>94</v>
      </c>
      <c r="E17" s="7">
        <v>77</v>
      </c>
      <c r="F17" s="8" t="s">
        <v>86</v>
      </c>
      <c r="G17" s="8" t="s">
        <v>87</v>
      </c>
      <c r="H17" s="28">
        <f>1500*117/100</f>
        <v>1755</v>
      </c>
      <c r="I17" s="28">
        <f t="shared" si="1"/>
        <v>52650</v>
      </c>
      <c r="J17" s="27" t="s">
        <v>16</v>
      </c>
      <c r="K17" s="262"/>
      <c r="L17" s="287"/>
      <c r="M17" s="247"/>
    </row>
    <row r="18" spans="1:13" ht="13.8" x14ac:dyDescent="0.25">
      <c r="A18" s="260"/>
      <c r="B18" s="248"/>
      <c r="C18" s="249"/>
      <c r="D18" s="249"/>
      <c r="E18" s="249"/>
      <c r="F18" s="249"/>
      <c r="G18" s="249"/>
      <c r="H18" s="249"/>
      <c r="I18" s="249"/>
      <c r="J18" s="249"/>
      <c r="K18" s="249"/>
      <c r="L18" s="249"/>
      <c r="M18" s="250"/>
    </row>
    <row r="19" spans="1:13" ht="15.6" x14ac:dyDescent="0.25">
      <c r="A19" s="251" t="s">
        <v>756</v>
      </c>
      <c r="B19" s="252"/>
      <c r="C19" s="252"/>
      <c r="D19" s="252"/>
      <c r="E19" s="252"/>
      <c r="F19" s="252"/>
      <c r="G19" s="252"/>
      <c r="H19" s="252"/>
      <c r="I19" s="252"/>
      <c r="J19" s="252"/>
      <c r="K19" s="252"/>
      <c r="L19" s="252"/>
      <c r="M19" s="253"/>
    </row>
    <row r="20" spans="1:13" ht="26.4" x14ac:dyDescent="0.25">
      <c r="A20" s="264">
        <v>3</v>
      </c>
      <c r="B20" s="265" t="s">
        <v>95</v>
      </c>
      <c r="C20" s="265" t="s">
        <v>81</v>
      </c>
      <c r="D20" s="17" t="s">
        <v>88</v>
      </c>
      <c r="E20" s="18">
        <v>100</v>
      </c>
      <c r="F20" s="19" t="s">
        <v>20</v>
      </c>
      <c r="G20" s="19" t="s">
        <v>20</v>
      </c>
      <c r="H20" s="19">
        <f>84250*117/100</f>
        <v>98572.5</v>
      </c>
      <c r="I20" s="19">
        <f>H20</f>
        <v>98572.5</v>
      </c>
      <c r="J20" s="17" t="s">
        <v>16</v>
      </c>
      <c r="K20" s="271" t="s">
        <v>45</v>
      </c>
      <c r="L20" s="287" t="s">
        <v>48</v>
      </c>
      <c r="M20" s="267">
        <v>253009</v>
      </c>
    </row>
    <row r="21" spans="1:13" ht="26.4" x14ac:dyDescent="0.25">
      <c r="A21" s="259"/>
      <c r="B21" s="261"/>
      <c r="C21" s="261"/>
      <c r="D21" s="27" t="s">
        <v>83</v>
      </c>
      <c r="E21" s="7">
        <v>97</v>
      </c>
      <c r="F21" s="8" t="s">
        <v>20</v>
      </c>
      <c r="G21" s="8" t="s">
        <v>20</v>
      </c>
      <c r="H21" s="8">
        <f>88500*117/100</f>
        <v>103545</v>
      </c>
      <c r="I21" s="8">
        <f>H21</f>
        <v>103545</v>
      </c>
      <c r="J21" s="27" t="s">
        <v>16</v>
      </c>
      <c r="K21" s="262"/>
      <c r="L21" s="287"/>
      <c r="M21" s="247"/>
    </row>
    <row r="22" spans="1:13" ht="26.4" x14ac:dyDescent="0.25">
      <c r="A22" s="259"/>
      <c r="B22" s="261"/>
      <c r="C22" s="261"/>
      <c r="D22" s="27" t="s">
        <v>96</v>
      </c>
      <c r="E22" s="7">
        <v>75</v>
      </c>
      <c r="F22" s="8" t="s">
        <v>20</v>
      </c>
      <c r="G22" s="8" t="s">
        <v>20</v>
      </c>
      <c r="H22" s="8">
        <f>130500*117/100</f>
        <v>152685</v>
      </c>
      <c r="I22" s="8">
        <f t="shared" ref="I22:I23" si="2">H22</f>
        <v>152685</v>
      </c>
      <c r="J22" s="27" t="s">
        <v>16</v>
      </c>
      <c r="K22" s="262"/>
      <c r="L22" s="287"/>
      <c r="M22" s="247"/>
    </row>
    <row r="23" spans="1:13" ht="26.4" x14ac:dyDescent="0.25">
      <c r="A23" s="259"/>
      <c r="B23" s="261"/>
      <c r="C23" s="261"/>
      <c r="D23" s="27" t="s">
        <v>97</v>
      </c>
      <c r="E23" s="7">
        <v>35</v>
      </c>
      <c r="F23" s="8" t="s">
        <v>20</v>
      </c>
      <c r="G23" s="8" t="s">
        <v>20</v>
      </c>
      <c r="H23" s="8">
        <f>1100500*117/100</f>
        <v>1287585</v>
      </c>
      <c r="I23" s="8">
        <f t="shared" si="2"/>
        <v>1287585</v>
      </c>
      <c r="J23" s="27" t="s">
        <v>16</v>
      </c>
      <c r="K23" s="262"/>
      <c r="L23" s="287"/>
      <c r="M23" s="247"/>
    </row>
    <row r="24" spans="1:13" ht="13.8" x14ac:dyDescent="0.25">
      <c r="A24" s="260"/>
      <c r="B24" s="248"/>
      <c r="C24" s="249"/>
      <c r="D24" s="249"/>
      <c r="E24" s="249"/>
      <c r="F24" s="249"/>
      <c r="G24" s="249"/>
      <c r="H24" s="249"/>
      <c r="I24" s="249"/>
      <c r="J24" s="249"/>
      <c r="K24" s="249"/>
      <c r="L24" s="249"/>
      <c r="M24" s="250"/>
    </row>
    <row r="25" spans="1:13" ht="15.6" x14ac:dyDescent="0.25">
      <c r="A25" s="251" t="s">
        <v>757</v>
      </c>
      <c r="B25" s="252"/>
      <c r="C25" s="252"/>
      <c r="D25" s="252"/>
      <c r="E25" s="252"/>
      <c r="F25" s="252"/>
      <c r="G25" s="252"/>
      <c r="H25" s="252"/>
      <c r="I25" s="252"/>
      <c r="J25" s="252"/>
      <c r="K25" s="252"/>
      <c r="L25" s="252"/>
      <c r="M25" s="253"/>
    </row>
    <row r="26" spans="1:13" ht="13.8" x14ac:dyDescent="0.25">
      <c r="A26" s="264">
        <v>4</v>
      </c>
      <c r="B26" s="265" t="s">
        <v>98</v>
      </c>
      <c r="C26" s="265" t="s">
        <v>99</v>
      </c>
      <c r="D26" s="17" t="s">
        <v>100</v>
      </c>
      <c r="E26" s="18">
        <v>100</v>
      </c>
      <c r="F26" s="19" t="s">
        <v>20</v>
      </c>
      <c r="G26" s="19" t="s">
        <v>20</v>
      </c>
      <c r="H26" s="19">
        <f>(300*10*12+3500)*117/100</f>
        <v>46215</v>
      </c>
      <c r="I26" s="19">
        <f>H26</f>
        <v>46215</v>
      </c>
      <c r="J26" s="17" t="s">
        <v>16</v>
      </c>
      <c r="K26" s="271" t="s">
        <v>45</v>
      </c>
      <c r="L26" s="287" t="s">
        <v>48</v>
      </c>
      <c r="M26" s="267">
        <v>2240012757</v>
      </c>
    </row>
    <row r="27" spans="1:13" ht="13.8" x14ac:dyDescent="0.25">
      <c r="A27" s="259"/>
      <c r="B27" s="261"/>
      <c r="C27" s="261"/>
      <c r="D27" s="27" t="s">
        <v>101</v>
      </c>
      <c r="E27" s="7">
        <v>95</v>
      </c>
      <c r="F27" s="8" t="s">
        <v>20</v>
      </c>
      <c r="G27" s="8" t="s">
        <v>20</v>
      </c>
      <c r="H27" s="8">
        <f>(340*10*12+5000)*117/100</f>
        <v>53586</v>
      </c>
      <c r="I27" s="8">
        <f>H27</f>
        <v>53586</v>
      </c>
      <c r="J27" s="27" t="s">
        <v>16</v>
      </c>
      <c r="K27" s="262"/>
      <c r="L27" s="287"/>
      <c r="M27" s="247"/>
    </row>
    <row r="28" spans="1:13" ht="26.4" x14ac:dyDescent="0.25">
      <c r="A28" s="259"/>
      <c r="B28" s="261"/>
      <c r="C28" s="261"/>
      <c r="D28" s="27" t="s">
        <v>106</v>
      </c>
      <c r="E28" s="7">
        <v>98</v>
      </c>
      <c r="F28" s="8" t="s">
        <v>20</v>
      </c>
      <c r="G28" s="8" t="s">
        <v>20</v>
      </c>
      <c r="H28" s="8">
        <f>(500*10*12+1900)*117/100</f>
        <v>72423</v>
      </c>
      <c r="I28" s="8">
        <f t="shared" ref="I28" si="3">H28</f>
        <v>72423</v>
      </c>
      <c r="J28" s="27" t="s">
        <v>16</v>
      </c>
      <c r="K28" s="262"/>
      <c r="L28" s="287"/>
      <c r="M28" s="247"/>
    </row>
    <row r="29" spans="1:13" ht="13.8" x14ac:dyDescent="0.25">
      <c r="A29" s="260"/>
      <c r="B29" s="248"/>
      <c r="C29" s="249"/>
      <c r="D29" s="249"/>
      <c r="E29" s="249"/>
      <c r="F29" s="249"/>
      <c r="G29" s="249"/>
      <c r="H29" s="249"/>
      <c r="I29" s="249"/>
      <c r="J29" s="249"/>
      <c r="K29" s="249"/>
      <c r="L29" s="249"/>
      <c r="M29" s="250"/>
    </row>
    <row r="30" spans="1:13" ht="15.6" x14ac:dyDescent="0.25">
      <c r="A30" s="251" t="s">
        <v>104</v>
      </c>
      <c r="B30" s="252"/>
      <c r="C30" s="252"/>
      <c r="D30" s="252"/>
      <c r="E30" s="252"/>
      <c r="F30" s="252"/>
      <c r="G30" s="252"/>
      <c r="H30" s="252"/>
      <c r="I30" s="252"/>
      <c r="J30" s="252"/>
      <c r="K30" s="252"/>
      <c r="L30" s="252"/>
      <c r="M30" s="253"/>
    </row>
    <row r="31" spans="1:13" ht="52.8" x14ac:dyDescent="0.25">
      <c r="A31" s="288">
        <v>5</v>
      </c>
      <c r="B31" s="30" t="s">
        <v>102</v>
      </c>
      <c r="C31" s="30" t="s">
        <v>35</v>
      </c>
      <c r="D31" s="22" t="s">
        <v>43</v>
      </c>
      <c r="E31" s="23">
        <v>100</v>
      </c>
      <c r="F31" s="24" t="s">
        <v>15</v>
      </c>
      <c r="G31" s="24" t="s">
        <v>44</v>
      </c>
      <c r="H31" s="24">
        <f>200*117/100</f>
        <v>234</v>
      </c>
      <c r="I31" s="24">
        <f>H31*100*2</f>
        <v>46800</v>
      </c>
      <c r="J31" s="22" t="s">
        <v>16</v>
      </c>
      <c r="K31" s="29" t="s">
        <v>46</v>
      </c>
      <c r="L31" s="31" t="s">
        <v>48</v>
      </c>
      <c r="M31" s="21"/>
    </row>
    <row r="32" spans="1:13" ht="13.8" x14ac:dyDescent="0.25">
      <c r="A32" s="289"/>
      <c r="B32" s="248" t="s">
        <v>103</v>
      </c>
      <c r="C32" s="249"/>
      <c r="D32" s="249"/>
      <c r="E32" s="249"/>
      <c r="F32" s="249"/>
      <c r="G32" s="249"/>
      <c r="H32" s="249"/>
      <c r="I32" s="249"/>
      <c r="J32" s="249"/>
      <c r="K32" s="249"/>
      <c r="L32" s="249"/>
      <c r="M32" s="250"/>
    </row>
    <row r="33" spans="1:13" ht="15.6" x14ac:dyDescent="0.25">
      <c r="A33" s="251" t="s">
        <v>758</v>
      </c>
      <c r="B33" s="252"/>
      <c r="C33" s="252"/>
      <c r="D33" s="252"/>
      <c r="E33" s="252"/>
      <c r="F33" s="252"/>
      <c r="G33" s="252"/>
      <c r="H33" s="252"/>
      <c r="I33" s="252"/>
      <c r="J33" s="252"/>
      <c r="K33" s="252"/>
      <c r="L33" s="252"/>
      <c r="M33" s="253"/>
    </row>
    <row r="34" spans="1:13" ht="52.8" x14ac:dyDescent="0.25">
      <c r="A34" s="264">
        <v>6</v>
      </c>
      <c r="B34" s="265" t="s">
        <v>105</v>
      </c>
      <c r="C34" s="265" t="s">
        <v>19</v>
      </c>
      <c r="D34" s="17" t="s">
        <v>139</v>
      </c>
      <c r="E34" s="23">
        <v>100</v>
      </c>
      <c r="F34" s="24" t="s">
        <v>20</v>
      </c>
      <c r="G34" s="24" t="s">
        <v>20</v>
      </c>
      <c r="H34" s="19">
        <f>350000*117/100</f>
        <v>409500</v>
      </c>
      <c r="I34" s="24">
        <f>H34</f>
        <v>409500</v>
      </c>
      <c r="J34" s="17" t="s">
        <v>16</v>
      </c>
      <c r="K34" s="271" t="s">
        <v>45</v>
      </c>
      <c r="L34" s="287" t="s">
        <v>48</v>
      </c>
      <c r="M34" s="267">
        <v>253009</v>
      </c>
    </row>
    <row r="35" spans="1:13" ht="26.4" x14ac:dyDescent="0.25">
      <c r="A35" s="259"/>
      <c r="B35" s="261"/>
      <c r="C35" s="261"/>
      <c r="D35" s="32" t="s">
        <v>144</v>
      </c>
      <c r="E35" s="7">
        <v>90</v>
      </c>
      <c r="F35" s="16" t="s">
        <v>20</v>
      </c>
      <c r="G35" s="16" t="s">
        <v>20</v>
      </c>
      <c r="H35" s="8">
        <f>405000*117/100</f>
        <v>473850</v>
      </c>
      <c r="I35" s="16">
        <f t="shared" ref="I35:I39" si="4">H35</f>
        <v>473850</v>
      </c>
      <c r="J35" s="32" t="s">
        <v>16</v>
      </c>
      <c r="K35" s="262"/>
      <c r="L35" s="287"/>
      <c r="M35" s="247"/>
    </row>
    <row r="36" spans="1:13" ht="26.4" x14ac:dyDescent="0.25">
      <c r="A36" s="259"/>
      <c r="B36" s="261"/>
      <c r="C36" s="261"/>
      <c r="D36" s="32" t="s">
        <v>53</v>
      </c>
      <c r="E36" s="7">
        <v>69</v>
      </c>
      <c r="F36" s="16" t="s">
        <v>20</v>
      </c>
      <c r="G36" s="16" t="s">
        <v>20</v>
      </c>
      <c r="H36" s="8">
        <f>485000*117/100</f>
        <v>567450</v>
      </c>
      <c r="I36" s="16">
        <f t="shared" si="4"/>
        <v>567450</v>
      </c>
      <c r="J36" s="32" t="s">
        <v>16</v>
      </c>
      <c r="K36" s="262"/>
      <c r="L36" s="287"/>
      <c r="M36" s="247"/>
    </row>
    <row r="37" spans="1:13" ht="13.8" x14ac:dyDescent="0.25">
      <c r="A37" s="259"/>
      <c r="B37" s="261"/>
      <c r="C37" s="261"/>
      <c r="D37" s="32" t="s">
        <v>59</v>
      </c>
      <c r="E37" s="7">
        <v>67</v>
      </c>
      <c r="F37" s="16" t="s">
        <v>20</v>
      </c>
      <c r="G37" s="16" t="s">
        <v>20</v>
      </c>
      <c r="H37" s="8">
        <f>660000*117/100</f>
        <v>772200</v>
      </c>
      <c r="I37" s="16">
        <f t="shared" si="4"/>
        <v>772200</v>
      </c>
      <c r="J37" s="32" t="s">
        <v>16</v>
      </c>
      <c r="K37" s="262"/>
      <c r="L37" s="287"/>
      <c r="M37" s="247"/>
    </row>
    <row r="38" spans="1:13" ht="52.8" x14ac:dyDescent="0.25">
      <c r="A38" s="259"/>
      <c r="B38" s="261"/>
      <c r="C38" s="261"/>
      <c r="D38" s="32" t="s">
        <v>140</v>
      </c>
      <c r="E38" s="7">
        <v>63</v>
      </c>
      <c r="F38" s="16" t="s">
        <v>20</v>
      </c>
      <c r="G38" s="16" t="s">
        <v>20</v>
      </c>
      <c r="H38" s="8">
        <f>744000*117/100</f>
        <v>870480</v>
      </c>
      <c r="I38" s="16">
        <f t="shared" si="4"/>
        <v>870480</v>
      </c>
      <c r="J38" s="32" t="s">
        <v>16</v>
      </c>
      <c r="K38" s="262"/>
      <c r="L38" s="287"/>
      <c r="M38" s="247"/>
    </row>
    <row r="39" spans="1:13" ht="26.4" x14ac:dyDescent="0.25">
      <c r="A39" s="259"/>
      <c r="B39" s="261"/>
      <c r="C39" s="261"/>
      <c r="D39" s="32" t="s">
        <v>107</v>
      </c>
      <c r="E39" s="7">
        <v>55</v>
      </c>
      <c r="F39" s="16" t="s">
        <v>20</v>
      </c>
      <c r="G39" s="16" t="s">
        <v>20</v>
      </c>
      <c r="H39" s="8">
        <f>980000*117/100</f>
        <v>1146600</v>
      </c>
      <c r="I39" s="16">
        <f t="shared" si="4"/>
        <v>1146600</v>
      </c>
      <c r="J39" s="32"/>
      <c r="K39" s="262"/>
      <c r="L39" s="287"/>
      <c r="M39" s="247"/>
    </row>
    <row r="40" spans="1:13" ht="13.8" x14ac:dyDescent="0.25">
      <c r="A40" s="260"/>
      <c r="B40" s="248"/>
      <c r="C40" s="249"/>
      <c r="D40" s="249"/>
      <c r="E40" s="249"/>
      <c r="F40" s="249"/>
      <c r="G40" s="249"/>
      <c r="H40" s="249"/>
      <c r="I40" s="249"/>
      <c r="J40" s="249"/>
      <c r="K40" s="249"/>
      <c r="L40" s="249"/>
      <c r="M40" s="250"/>
    </row>
    <row r="41" spans="1:13" ht="15.6" x14ac:dyDescent="0.25">
      <c r="A41" s="251" t="s">
        <v>759</v>
      </c>
      <c r="B41" s="252"/>
      <c r="C41" s="252"/>
      <c r="D41" s="252"/>
      <c r="E41" s="252"/>
      <c r="F41" s="252"/>
      <c r="G41" s="252"/>
      <c r="H41" s="252"/>
      <c r="I41" s="252"/>
      <c r="J41" s="252"/>
      <c r="K41" s="252"/>
      <c r="L41" s="252"/>
      <c r="M41" s="253"/>
    </row>
    <row r="42" spans="1:13" ht="39.6" x14ac:dyDescent="0.25">
      <c r="A42" s="264">
        <v>7</v>
      </c>
      <c r="B42" s="265" t="s">
        <v>108</v>
      </c>
      <c r="C42" s="265" t="s">
        <v>19</v>
      </c>
      <c r="D42" s="17" t="s">
        <v>145</v>
      </c>
      <c r="E42" s="23">
        <v>100</v>
      </c>
      <c r="F42" s="24" t="s">
        <v>20</v>
      </c>
      <c r="G42" s="24" t="s">
        <v>20</v>
      </c>
      <c r="H42" s="19">
        <f>7000*117/100</f>
        <v>8190</v>
      </c>
      <c r="I42" s="24">
        <f>H42</f>
        <v>8190</v>
      </c>
      <c r="J42" s="17" t="s">
        <v>16</v>
      </c>
      <c r="K42" s="271" t="s">
        <v>45</v>
      </c>
      <c r="L42" s="287" t="s">
        <v>48</v>
      </c>
      <c r="M42" s="267">
        <v>253009</v>
      </c>
    </row>
    <row r="43" spans="1:13" ht="52.8" x14ac:dyDescent="0.25">
      <c r="A43" s="259"/>
      <c r="B43" s="261"/>
      <c r="C43" s="261"/>
      <c r="D43" s="32" t="s">
        <v>146</v>
      </c>
      <c r="E43" s="7">
        <v>94</v>
      </c>
      <c r="F43" s="16" t="s">
        <v>20</v>
      </c>
      <c r="G43" s="16" t="s">
        <v>20</v>
      </c>
      <c r="H43" s="8">
        <f>7000*117/100</f>
        <v>8190</v>
      </c>
      <c r="I43" s="16">
        <f t="shared" ref="I43:I47" si="5">H43</f>
        <v>8190</v>
      </c>
      <c r="J43" s="32" t="s">
        <v>16</v>
      </c>
      <c r="K43" s="262"/>
      <c r="L43" s="287"/>
      <c r="M43" s="247"/>
    </row>
    <row r="44" spans="1:13" ht="26.4" x14ac:dyDescent="0.25">
      <c r="A44" s="259"/>
      <c r="B44" s="261"/>
      <c r="C44" s="261"/>
      <c r="D44" s="32" t="s">
        <v>109</v>
      </c>
      <c r="E44" s="7">
        <v>99</v>
      </c>
      <c r="F44" s="16" t="s">
        <v>20</v>
      </c>
      <c r="G44" s="16" t="s">
        <v>20</v>
      </c>
      <c r="H44" s="8">
        <f>7020*117/100</f>
        <v>8213.4</v>
      </c>
      <c r="I44" s="16">
        <f t="shared" si="5"/>
        <v>8213.4</v>
      </c>
      <c r="J44" s="32" t="s">
        <v>16</v>
      </c>
      <c r="K44" s="262"/>
      <c r="L44" s="287"/>
      <c r="M44" s="247"/>
    </row>
    <row r="45" spans="1:13" ht="52.8" x14ac:dyDescent="0.25">
      <c r="A45" s="259"/>
      <c r="B45" s="261"/>
      <c r="C45" s="261"/>
      <c r="D45" s="32" t="s">
        <v>147</v>
      </c>
      <c r="E45" s="7">
        <v>56</v>
      </c>
      <c r="F45" s="16" t="s">
        <v>20</v>
      </c>
      <c r="G45" s="16" t="s">
        <v>20</v>
      </c>
      <c r="H45" s="8">
        <f>18720*117/100</f>
        <v>21902.400000000001</v>
      </c>
      <c r="I45" s="16">
        <f t="shared" si="5"/>
        <v>21902.400000000001</v>
      </c>
      <c r="J45" s="32" t="s">
        <v>16</v>
      </c>
      <c r="K45" s="262"/>
      <c r="L45" s="287"/>
      <c r="M45" s="247"/>
    </row>
    <row r="46" spans="1:13" ht="26.4" x14ac:dyDescent="0.25">
      <c r="A46" s="259"/>
      <c r="B46" s="261"/>
      <c r="C46" s="261"/>
      <c r="D46" s="32" t="s">
        <v>110</v>
      </c>
      <c r="E46" s="7">
        <v>55</v>
      </c>
      <c r="F46" s="16" t="s">
        <v>20</v>
      </c>
      <c r="G46" s="16" t="s">
        <v>20</v>
      </c>
      <c r="H46" s="8">
        <f>20000*117/100</f>
        <v>23400</v>
      </c>
      <c r="I46" s="16">
        <f t="shared" si="5"/>
        <v>23400</v>
      </c>
      <c r="J46" s="32"/>
      <c r="K46" s="262"/>
      <c r="L46" s="287"/>
      <c r="M46" s="247"/>
    </row>
    <row r="47" spans="1:13" ht="39.6" x14ac:dyDescent="0.25">
      <c r="A47" s="259"/>
      <c r="B47" s="261"/>
      <c r="C47" s="261"/>
      <c r="D47" s="32" t="s">
        <v>141</v>
      </c>
      <c r="E47" s="7">
        <v>49</v>
      </c>
      <c r="F47" s="16" t="s">
        <v>20</v>
      </c>
      <c r="G47" s="16" t="s">
        <v>20</v>
      </c>
      <c r="H47" s="8">
        <f>26000*117/100</f>
        <v>30420</v>
      </c>
      <c r="I47" s="16">
        <f t="shared" si="5"/>
        <v>30420</v>
      </c>
      <c r="J47" s="32" t="s">
        <v>16</v>
      </c>
      <c r="K47" s="262"/>
      <c r="L47" s="287"/>
      <c r="M47" s="247"/>
    </row>
    <row r="48" spans="1:13" ht="13.8" x14ac:dyDescent="0.25">
      <c r="A48" s="260"/>
      <c r="B48" s="248"/>
      <c r="C48" s="249"/>
      <c r="D48" s="249"/>
      <c r="E48" s="249"/>
      <c r="F48" s="249"/>
      <c r="G48" s="249"/>
      <c r="H48" s="249"/>
      <c r="I48" s="249"/>
      <c r="J48" s="249"/>
      <c r="K48" s="249"/>
      <c r="L48" s="249"/>
      <c r="M48" s="250"/>
    </row>
    <row r="49" spans="1:13" ht="15.6" x14ac:dyDescent="0.25">
      <c r="A49" s="251" t="s">
        <v>760</v>
      </c>
      <c r="B49" s="252"/>
      <c r="C49" s="252"/>
      <c r="D49" s="252"/>
      <c r="E49" s="252"/>
      <c r="F49" s="252"/>
      <c r="G49" s="252"/>
      <c r="H49" s="252"/>
      <c r="I49" s="252"/>
      <c r="J49" s="252"/>
      <c r="K49" s="252"/>
      <c r="L49" s="252"/>
      <c r="M49" s="253"/>
    </row>
    <row r="50" spans="1:13" ht="39.6" x14ac:dyDescent="0.25">
      <c r="A50" s="264">
        <v>8</v>
      </c>
      <c r="B50" s="265" t="s">
        <v>111</v>
      </c>
      <c r="C50" s="265" t="s">
        <v>19</v>
      </c>
      <c r="D50" s="17" t="s">
        <v>148</v>
      </c>
      <c r="E50" s="23">
        <v>95</v>
      </c>
      <c r="F50" s="24" t="s">
        <v>20</v>
      </c>
      <c r="G50" s="24" t="s">
        <v>20</v>
      </c>
      <c r="H50" s="19">
        <f>14800*117/100</f>
        <v>17316</v>
      </c>
      <c r="I50" s="24">
        <f>H50</f>
        <v>17316</v>
      </c>
      <c r="J50" s="17" t="s">
        <v>16</v>
      </c>
      <c r="K50" s="271" t="s">
        <v>45</v>
      </c>
      <c r="L50" s="287" t="s">
        <v>48</v>
      </c>
      <c r="M50" s="267">
        <v>253009</v>
      </c>
    </row>
    <row r="51" spans="1:13" ht="39.6" x14ac:dyDescent="0.25">
      <c r="A51" s="259"/>
      <c r="B51" s="261"/>
      <c r="C51" s="261"/>
      <c r="D51" s="32" t="s">
        <v>149</v>
      </c>
      <c r="E51" s="7">
        <v>76</v>
      </c>
      <c r="F51" s="16" t="s">
        <v>20</v>
      </c>
      <c r="G51" s="16" t="s">
        <v>20</v>
      </c>
      <c r="H51" s="8">
        <f>21000*117/100</f>
        <v>24570</v>
      </c>
      <c r="I51" s="16">
        <f t="shared" ref="I51:I53" si="6">H51</f>
        <v>24570</v>
      </c>
      <c r="J51" s="32" t="s">
        <v>16</v>
      </c>
      <c r="K51" s="262"/>
      <c r="L51" s="287"/>
      <c r="M51" s="247"/>
    </row>
    <row r="52" spans="1:13" ht="52.8" x14ac:dyDescent="0.25">
      <c r="A52" s="259"/>
      <c r="B52" s="261"/>
      <c r="C52" s="261"/>
      <c r="D52" s="32" t="s">
        <v>150</v>
      </c>
      <c r="E52" s="7">
        <v>70</v>
      </c>
      <c r="F52" s="16" t="s">
        <v>20</v>
      </c>
      <c r="G52" s="16" t="s">
        <v>20</v>
      </c>
      <c r="H52" s="8">
        <f>13700*117/100</f>
        <v>16029</v>
      </c>
      <c r="I52" s="16">
        <f t="shared" si="6"/>
        <v>16029</v>
      </c>
      <c r="J52" s="32" t="s">
        <v>16</v>
      </c>
      <c r="K52" s="262"/>
      <c r="L52" s="287"/>
      <c r="M52" s="247"/>
    </row>
    <row r="53" spans="1:13" ht="92.4" x14ac:dyDescent="0.25">
      <c r="A53" s="259"/>
      <c r="B53" s="261"/>
      <c r="C53" s="261"/>
      <c r="D53" s="32" t="s">
        <v>151</v>
      </c>
      <c r="E53" s="7">
        <v>53</v>
      </c>
      <c r="F53" s="16" t="s">
        <v>20</v>
      </c>
      <c r="G53" s="16" t="s">
        <v>20</v>
      </c>
      <c r="H53" s="8">
        <f>41900*117/100</f>
        <v>49023</v>
      </c>
      <c r="I53" s="16">
        <f t="shared" si="6"/>
        <v>49023</v>
      </c>
      <c r="J53" s="32" t="s">
        <v>16</v>
      </c>
      <c r="K53" s="262"/>
      <c r="L53" s="287"/>
      <c r="M53" s="247"/>
    </row>
    <row r="54" spans="1:13" ht="13.8" x14ac:dyDescent="0.25">
      <c r="A54" s="260"/>
      <c r="B54" s="248"/>
      <c r="C54" s="249"/>
      <c r="D54" s="249"/>
      <c r="E54" s="249"/>
      <c r="F54" s="249"/>
      <c r="G54" s="249"/>
      <c r="H54" s="249"/>
      <c r="I54" s="249"/>
      <c r="J54" s="249"/>
      <c r="K54" s="249"/>
      <c r="L54" s="249"/>
      <c r="M54" s="250"/>
    </row>
    <row r="55" spans="1:13" ht="15.6" x14ac:dyDescent="0.25">
      <c r="A55" s="251" t="s">
        <v>761</v>
      </c>
      <c r="B55" s="252"/>
      <c r="C55" s="252"/>
      <c r="D55" s="252"/>
      <c r="E55" s="252"/>
      <c r="F55" s="252"/>
      <c r="G55" s="252"/>
      <c r="H55" s="252"/>
      <c r="I55" s="252"/>
      <c r="J55" s="252"/>
      <c r="K55" s="252"/>
      <c r="L55" s="252"/>
      <c r="M55" s="253"/>
    </row>
    <row r="56" spans="1:13" ht="26.4" x14ac:dyDescent="0.25">
      <c r="A56" s="264">
        <v>9</v>
      </c>
      <c r="B56" s="265" t="s">
        <v>112</v>
      </c>
      <c r="C56" s="265" t="s">
        <v>19</v>
      </c>
      <c r="D56" s="17" t="s">
        <v>142</v>
      </c>
      <c r="E56" s="23">
        <v>100</v>
      </c>
      <c r="F56" s="24" t="s">
        <v>20</v>
      </c>
      <c r="G56" s="24" t="s">
        <v>20</v>
      </c>
      <c r="H56" s="19">
        <f>6000*117/100</f>
        <v>7020</v>
      </c>
      <c r="I56" s="24">
        <f>H56</f>
        <v>7020</v>
      </c>
      <c r="J56" s="17" t="s">
        <v>16</v>
      </c>
      <c r="K56" s="271" t="s">
        <v>45</v>
      </c>
      <c r="L56" s="287" t="s">
        <v>48</v>
      </c>
      <c r="M56" s="267">
        <v>253009</v>
      </c>
    </row>
    <row r="57" spans="1:13" ht="26.4" x14ac:dyDescent="0.25">
      <c r="A57" s="259"/>
      <c r="B57" s="261"/>
      <c r="C57" s="261"/>
      <c r="D57" s="32" t="s">
        <v>113</v>
      </c>
      <c r="E57" s="7">
        <v>83</v>
      </c>
      <c r="F57" s="16" t="s">
        <v>20</v>
      </c>
      <c r="G57" s="16" t="s">
        <v>20</v>
      </c>
      <c r="H57" s="8">
        <f>8000*117/100</f>
        <v>9360</v>
      </c>
      <c r="I57" s="16">
        <f t="shared" ref="I57:I62" si="7">H57</f>
        <v>9360</v>
      </c>
      <c r="J57" s="32" t="s">
        <v>16</v>
      </c>
      <c r="K57" s="262"/>
      <c r="L57" s="287"/>
      <c r="M57" s="247"/>
    </row>
    <row r="58" spans="1:13" ht="26.4" x14ac:dyDescent="0.25">
      <c r="A58" s="259"/>
      <c r="B58" s="261"/>
      <c r="C58" s="261"/>
      <c r="D58" s="32" t="s">
        <v>114</v>
      </c>
      <c r="E58" s="7">
        <v>82</v>
      </c>
      <c r="F58" s="16" t="s">
        <v>20</v>
      </c>
      <c r="G58" s="16" t="s">
        <v>20</v>
      </c>
      <c r="H58" s="8">
        <f>8100*117/100</f>
        <v>9477</v>
      </c>
      <c r="I58" s="16">
        <f t="shared" si="7"/>
        <v>9477</v>
      </c>
      <c r="J58" s="32" t="s">
        <v>16</v>
      </c>
      <c r="K58" s="262"/>
      <c r="L58" s="287"/>
      <c r="M58" s="247"/>
    </row>
    <row r="59" spans="1:13" ht="39.6" x14ac:dyDescent="0.25">
      <c r="A59" s="259"/>
      <c r="B59" s="261"/>
      <c r="C59" s="261"/>
      <c r="D59" s="32" t="s">
        <v>115</v>
      </c>
      <c r="E59" s="7">
        <v>69</v>
      </c>
      <c r="F59" s="16" t="s">
        <v>20</v>
      </c>
      <c r="G59" s="16" t="s">
        <v>20</v>
      </c>
      <c r="H59" s="8">
        <f>10840*117/100</f>
        <v>12682.8</v>
      </c>
      <c r="I59" s="16">
        <f t="shared" si="7"/>
        <v>12682.8</v>
      </c>
      <c r="J59" s="32" t="s">
        <v>16</v>
      </c>
      <c r="K59" s="262"/>
      <c r="L59" s="287"/>
      <c r="M59" s="247"/>
    </row>
    <row r="60" spans="1:13" ht="13.8" x14ac:dyDescent="0.25">
      <c r="A60" s="259"/>
      <c r="B60" s="261"/>
      <c r="C60" s="261"/>
      <c r="D60" s="32" t="s">
        <v>116</v>
      </c>
      <c r="E60" s="7">
        <v>67</v>
      </c>
      <c r="F60" s="16" t="s">
        <v>20</v>
      </c>
      <c r="G60" s="16" t="s">
        <v>20</v>
      </c>
      <c r="H60" s="8">
        <f>11740*117/100</f>
        <v>13735.8</v>
      </c>
      <c r="I60" s="16">
        <f t="shared" si="7"/>
        <v>13735.8</v>
      </c>
      <c r="J60" s="32" t="s">
        <v>16</v>
      </c>
      <c r="K60" s="262"/>
      <c r="L60" s="287"/>
      <c r="M60" s="247"/>
    </row>
    <row r="61" spans="1:13" ht="26.4" x14ac:dyDescent="0.25">
      <c r="A61" s="259"/>
      <c r="B61" s="261"/>
      <c r="C61" s="261"/>
      <c r="D61" s="32" t="s">
        <v>117</v>
      </c>
      <c r="E61" s="7">
        <v>58</v>
      </c>
      <c r="F61" s="16" t="s">
        <v>20</v>
      </c>
      <c r="G61" s="16" t="s">
        <v>20</v>
      </c>
      <c r="H61" s="8">
        <f>14800*117/100</f>
        <v>17316</v>
      </c>
      <c r="I61" s="16">
        <f t="shared" si="7"/>
        <v>17316</v>
      </c>
      <c r="J61" s="32" t="s">
        <v>16</v>
      </c>
      <c r="K61" s="262"/>
      <c r="L61" s="287"/>
      <c r="M61" s="247"/>
    </row>
    <row r="62" spans="1:13" ht="26.4" x14ac:dyDescent="0.25">
      <c r="A62" s="259"/>
      <c r="B62" s="261"/>
      <c r="C62" s="261"/>
      <c r="D62" s="32" t="s">
        <v>118</v>
      </c>
      <c r="E62" s="7">
        <v>53</v>
      </c>
      <c r="F62" s="16" t="s">
        <v>20</v>
      </c>
      <c r="G62" s="16" t="s">
        <v>20</v>
      </c>
      <c r="H62" s="8">
        <f>16500*117/100</f>
        <v>19305</v>
      </c>
      <c r="I62" s="16">
        <f t="shared" si="7"/>
        <v>19305</v>
      </c>
      <c r="J62" s="32" t="s">
        <v>16</v>
      </c>
      <c r="K62" s="262"/>
      <c r="L62" s="287"/>
      <c r="M62" s="247"/>
    </row>
    <row r="63" spans="1:13" ht="13.8" x14ac:dyDescent="0.25">
      <c r="A63" s="260"/>
      <c r="B63" s="248"/>
      <c r="C63" s="249"/>
      <c r="D63" s="249"/>
      <c r="E63" s="249"/>
      <c r="F63" s="249"/>
      <c r="G63" s="249"/>
      <c r="H63" s="249"/>
      <c r="I63" s="249"/>
      <c r="J63" s="249"/>
      <c r="K63" s="249"/>
      <c r="L63" s="249"/>
      <c r="M63" s="250"/>
    </row>
    <row r="64" spans="1:13" ht="15.6" x14ac:dyDescent="0.25">
      <c r="A64" s="251" t="s">
        <v>121</v>
      </c>
      <c r="B64" s="252"/>
      <c r="C64" s="252"/>
      <c r="D64" s="252"/>
      <c r="E64" s="252"/>
      <c r="F64" s="252"/>
      <c r="G64" s="252"/>
      <c r="H64" s="252"/>
      <c r="I64" s="252"/>
      <c r="J64" s="252"/>
      <c r="K64" s="252"/>
      <c r="L64" s="252"/>
      <c r="M64" s="253"/>
    </row>
    <row r="65" spans="1:13" ht="26.4" x14ac:dyDescent="0.25">
      <c r="A65" s="264">
        <v>10</v>
      </c>
      <c r="B65" s="265" t="s">
        <v>119</v>
      </c>
      <c r="C65" s="265" t="s">
        <v>19</v>
      </c>
      <c r="D65" s="17" t="s">
        <v>120</v>
      </c>
      <c r="E65" s="23">
        <v>100</v>
      </c>
      <c r="F65" s="24" t="s">
        <v>20</v>
      </c>
      <c r="G65" s="24" t="s">
        <v>20</v>
      </c>
      <c r="H65" s="19">
        <f>5000*117/100</f>
        <v>5850</v>
      </c>
      <c r="I65" s="24">
        <f>H65</f>
        <v>5850</v>
      </c>
      <c r="J65" s="17" t="s">
        <v>16</v>
      </c>
      <c r="K65" s="271" t="s">
        <v>45</v>
      </c>
      <c r="L65" s="287" t="s">
        <v>48</v>
      </c>
      <c r="M65" s="267">
        <v>253009</v>
      </c>
    </row>
    <row r="66" spans="1:13" ht="26.4" x14ac:dyDescent="0.25">
      <c r="A66" s="259"/>
      <c r="B66" s="261"/>
      <c r="C66" s="261"/>
      <c r="D66" s="32" t="s">
        <v>96</v>
      </c>
      <c r="E66" s="7">
        <v>84</v>
      </c>
      <c r="F66" s="16" t="s">
        <v>20</v>
      </c>
      <c r="G66" s="16" t="s">
        <v>20</v>
      </c>
      <c r="H66" s="8">
        <f>6500*117/100</f>
        <v>7605</v>
      </c>
      <c r="I66" s="16">
        <f t="shared" ref="I66:I68" si="8">H66</f>
        <v>7605</v>
      </c>
      <c r="J66" s="32" t="s">
        <v>16</v>
      </c>
      <c r="K66" s="262"/>
      <c r="L66" s="287"/>
      <c r="M66" s="247"/>
    </row>
    <row r="67" spans="1:13" ht="26.4" x14ac:dyDescent="0.25">
      <c r="A67" s="259"/>
      <c r="B67" s="261"/>
      <c r="C67" s="261"/>
      <c r="D67" s="32" t="s">
        <v>73</v>
      </c>
      <c r="E67" s="7">
        <v>53</v>
      </c>
      <c r="F67" s="16" t="s">
        <v>20</v>
      </c>
      <c r="G67" s="16" t="s">
        <v>20</v>
      </c>
      <c r="H67" s="8">
        <f>15000*117/100</f>
        <v>17550</v>
      </c>
      <c r="I67" s="16">
        <f t="shared" si="8"/>
        <v>17550</v>
      </c>
      <c r="J67" s="32" t="s">
        <v>16</v>
      </c>
      <c r="K67" s="262"/>
      <c r="L67" s="287"/>
      <c r="M67" s="247"/>
    </row>
    <row r="68" spans="1:13" ht="26.4" x14ac:dyDescent="0.25">
      <c r="A68" s="259"/>
      <c r="B68" s="261"/>
      <c r="C68" s="261"/>
      <c r="D68" s="32" t="s">
        <v>72</v>
      </c>
      <c r="E68" s="7">
        <v>53</v>
      </c>
      <c r="F68" s="16" t="s">
        <v>20</v>
      </c>
      <c r="G68" s="16" t="s">
        <v>20</v>
      </c>
      <c r="H68" s="8">
        <f>15000*117/100</f>
        <v>17550</v>
      </c>
      <c r="I68" s="16">
        <f t="shared" si="8"/>
        <v>17550</v>
      </c>
      <c r="J68" s="32" t="s">
        <v>16</v>
      </c>
      <c r="K68" s="262"/>
      <c r="L68" s="287"/>
      <c r="M68" s="247"/>
    </row>
    <row r="69" spans="1:13" ht="13.8" x14ac:dyDescent="0.25">
      <c r="A69" s="260"/>
      <c r="B69" s="248"/>
      <c r="C69" s="249"/>
      <c r="D69" s="249"/>
      <c r="E69" s="249"/>
      <c r="F69" s="249"/>
      <c r="G69" s="249"/>
      <c r="H69" s="249"/>
      <c r="I69" s="249"/>
      <c r="J69" s="249"/>
      <c r="K69" s="249"/>
      <c r="L69" s="249"/>
      <c r="M69" s="250"/>
    </row>
    <row r="70" spans="1:13" ht="15.6" x14ac:dyDescent="0.25">
      <c r="A70" s="251" t="s">
        <v>762</v>
      </c>
      <c r="B70" s="252"/>
      <c r="C70" s="252"/>
      <c r="D70" s="252"/>
      <c r="E70" s="252"/>
      <c r="F70" s="252"/>
      <c r="G70" s="252"/>
      <c r="H70" s="252"/>
      <c r="I70" s="252"/>
      <c r="J70" s="252"/>
      <c r="K70" s="252"/>
      <c r="L70" s="252"/>
      <c r="M70" s="253"/>
    </row>
    <row r="71" spans="1:13" ht="52.8" x14ac:dyDescent="0.25">
      <c r="A71" s="264">
        <v>11</v>
      </c>
      <c r="B71" s="265" t="s">
        <v>122</v>
      </c>
      <c r="C71" s="265" t="s">
        <v>19</v>
      </c>
      <c r="D71" s="17" t="s">
        <v>152</v>
      </c>
      <c r="E71" s="23">
        <v>100</v>
      </c>
      <c r="F71" s="24" t="s">
        <v>20</v>
      </c>
      <c r="G71" s="24" t="s">
        <v>20</v>
      </c>
      <c r="H71" s="19">
        <f>14000*117/100</f>
        <v>16380</v>
      </c>
      <c r="I71" s="24">
        <f>H71</f>
        <v>16380</v>
      </c>
      <c r="J71" s="17" t="s">
        <v>16</v>
      </c>
      <c r="K71" s="271" t="s">
        <v>45</v>
      </c>
      <c r="L71" s="287" t="s">
        <v>48</v>
      </c>
      <c r="M71" s="267">
        <v>253009</v>
      </c>
    </row>
    <row r="72" spans="1:13" ht="26.4" x14ac:dyDescent="0.25">
      <c r="A72" s="259"/>
      <c r="B72" s="261"/>
      <c r="C72" s="261"/>
      <c r="D72" s="32" t="s">
        <v>124</v>
      </c>
      <c r="E72" s="7">
        <v>65</v>
      </c>
      <c r="F72" s="16" t="s">
        <v>20</v>
      </c>
      <c r="G72" s="16" t="s">
        <v>20</v>
      </c>
      <c r="H72" s="8">
        <f>28000*117/100</f>
        <v>32760</v>
      </c>
      <c r="I72" s="16">
        <f t="shared" ref="I72:I73" si="9">H72</f>
        <v>32760</v>
      </c>
      <c r="J72" s="32" t="s">
        <v>16</v>
      </c>
      <c r="K72" s="262"/>
      <c r="L72" s="287"/>
      <c r="M72" s="247"/>
    </row>
    <row r="73" spans="1:13" ht="26.4" x14ac:dyDescent="0.25">
      <c r="A73" s="259"/>
      <c r="B73" s="261"/>
      <c r="C73" s="261"/>
      <c r="D73" s="32" t="s">
        <v>125</v>
      </c>
      <c r="E73" s="7">
        <v>46</v>
      </c>
      <c r="F73" s="16" t="s">
        <v>20</v>
      </c>
      <c r="G73" s="16" t="s">
        <v>20</v>
      </c>
      <c r="H73" s="8">
        <f>60000*117/100</f>
        <v>70200</v>
      </c>
      <c r="I73" s="16">
        <f t="shared" si="9"/>
        <v>70200</v>
      </c>
      <c r="J73" s="32" t="s">
        <v>16</v>
      </c>
      <c r="K73" s="262"/>
      <c r="L73" s="287"/>
      <c r="M73" s="247"/>
    </row>
    <row r="74" spans="1:13" ht="13.8" x14ac:dyDescent="0.25">
      <c r="A74" s="260"/>
      <c r="B74" s="248" t="s">
        <v>123</v>
      </c>
      <c r="C74" s="249"/>
      <c r="D74" s="249"/>
      <c r="E74" s="249"/>
      <c r="F74" s="249"/>
      <c r="G74" s="249"/>
      <c r="H74" s="249"/>
      <c r="I74" s="249"/>
      <c r="J74" s="249"/>
      <c r="K74" s="249"/>
      <c r="L74" s="249"/>
      <c r="M74" s="250"/>
    </row>
    <row r="75" spans="1:13" ht="15.6" x14ac:dyDescent="0.25">
      <c r="A75" s="251" t="s">
        <v>763</v>
      </c>
      <c r="B75" s="252"/>
      <c r="C75" s="252"/>
      <c r="D75" s="252"/>
      <c r="E75" s="252"/>
      <c r="F75" s="252"/>
      <c r="G75" s="252"/>
      <c r="H75" s="252"/>
      <c r="I75" s="252"/>
      <c r="J75" s="252"/>
      <c r="K75" s="252"/>
      <c r="L75" s="252"/>
      <c r="M75" s="253"/>
    </row>
    <row r="76" spans="1:13" ht="39.6" x14ac:dyDescent="0.25">
      <c r="A76" s="264">
        <v>12</v>
      </c>
      <c r="B76" s="265" t="s">
        <v>126</v>
      </c>
      <c r="C76" s="265" t="s">
        <v>19</v>
      </c>
      <c r="D76" s="17" t="s">
        <v>153</v>
      </c>
      <c r="E76" s="23">
        <v>100</v>
      </c>
      <c r="F76" s="24" t="s">
        <v>20</v>
      </c>
      <c r="G76" s="24" t="s">
        <v>20</v>
      </c>
      <c r="H76" s="19">
        <f>10000*117/100</f>
        <v>11700</v>
      </c>
      <c r="I76" s="24">
        <f>H76</f>
        <v>11700</v>
      </c>
      <c r="J76" s="17" t="s">
        <v>16</v>
      </c>
      <c r="K76" s="271" t="s">
        <v>45</v>
      </c>
      <c r="L76" s="287" t="s">
        <v>48</v>
      </c>
      <c r="M76" s="267">
        <v>253009</v>
      </c>
    </row>
    <row r="77" spans="1:13" ht="26.4" x14ac:dyDescent="0.25">
      <c r="A77" s="259"/>
      <c r="B77" s="261"/>
      <c r="C77" s="261"/>
      <c r="D77" s="32" t="s">
        <v>127</v>
      </c>
      <c r="E77" s="7">
        <v>59</v>
      </c>
      <c r="F77" s="16" t="s">
        <v>20</v>
      </c>
      <c r="G77" s="16" t="s">
        <v>20</v>
      </c>
      <c r="H77" s="8">
        <f>24000*117/100</f>
        <v>28080</v>
      </c>
      <c r="I77" s="16">
        <f t="shared" ref="I77:I79" si="10">H77</f>
        <v>28080</v>
      </c>
      <c r="J77" s="32" t="s">
        <v>16</v>
      </c>
      <c r="K77" s="262"/>
      <c r="L77" s="287"/>
      <c r="M77" s="247"/>
    </row>
    <row r="78" spans="1:13" ht="13.8" x14ac:dyDescent="0.25">
      <c r="A78" s="259"/>
      <c r="B78" s="261"/>
      <c r="C78" s="261"/>
      <c r="D78" s="32" t="s">
        <v>128</v>
      </c>
      <c r="E78" s="7">
        <v>65</v>
      </c>
      <c r="F78" s="16" t="s">
        <v>20</v>
      </c>
      <c r="G78" s="16" t="s">
        <v>20</v>
      </c>
      <c r="H78" s="8">
        <f>25000*117/100</f>
        <v>29250</v>
      </c>
      <c r="I78" s="16">
        <f t="shared" si="10"/>
        <v>29250</v>
      </c>
      <c r="J78" s="32" t="s">
        <v>16</v>
      </c>
      <c r="K78" s="262"/>
      <c r="L78" s="287"/>
      <c r="M78" s="247"/>
    </row>
    <row r="79" spans="1:13" ht="26.4" x14ac:dyDescent="0.25">
      <c r="A79" s="259"/>
      <c r="B79" s="261"/>
      <c r="C79" s="261"/>
      <c r="D79" s="32" t="s">
        <v>120</v>
      </c>
      <c r="E79" s="7">
        <v>56</v>
      </c>
      <c r="F79" s="16" t="s">
        <v>20</v>
      </c>
      <c r="G79" s="16" t="s">
        <v>20</v>
      </c>
      <c r="H79" s="8">
        <f>27000*117/100</f>
        <v>31590</v>
      </c>
      <c r="I79" s="16">
        <f t="shared" si="10"/>
        <v>31590</v>
      </c>
      <c r="J79" s="32" t="s">
        <v>16</v>
      </c>
      <c r="K79" s="262"/>
      <c r="L79" s="287"/>
      <c r="M79" s="247"/>
    </row>
    <row r="80" spans="1:13" ht="13.8" x14ac:dyDescent="0.25">
      <c r="A80" s="260"/>
      <c r="B80" s="248"/>
      <c r="C80" s="249"/>
      <c r="D80" s="249"/>
      <c r="E80" s="249"/>
      <c r="F80" s="249"/>
      <c r="G80" s="249"/>
      <c r="H80" s="249"/>
      <c r="I80" s="249"/>
      <c r="J80" s="249"/>
      <c r="K80" s="249"/>
      <c r="L80" s="249"/>
      <c r="M80" s="250"/>
    </row>
    <row r="81" spans="1:13" ht="15.6" x14ac:dyDescent="0.25">
      <c r="A81" s="251" t="s">
        <v>764</v>
      </c>
      <c r="B81" s="252"/>
      <c r="C81" s="252"/>
      <c r="D81" s="252"/>
      <c r="E81" s="252"/>
      <c r="F81" s="252"/>
      <c r="G81" s="252"/>
      <c r="H81" s="252"/>
      <c r="I81" s="252"/>
      <c r="J81" s="252"/>
      <c r="K81" s="252"/>
      <c r="L81" s="252"/>
      <c r="M81" s="253"/>
    </row>
    <row r="82" spans="1:13" ht="26.4" x14ac:dyDescent="0.25">
      <c r="A82" s="264">
        <v>13</v>
      </c>
      <c r="B82" s="265" t="s">
        <v>129</v>
      </c>
      <c r="C82" s="265" t="s">
        <v>19</v>
      </c>
      <c r="D82" s="17" t="s">
        <v>130</v>
      </c>
      <c r="E82" s="23">
        <v>100</v>
      </c>
      <c r="F82" s="24" t="s">
        <v>20</v>
      </c>
      <c r="G82" s="24" t="s">
        <v>20</v>
      </c>
      <c r="H82" s="19">
        <f>6500*117/100</f>
        <v>7605</v>
      </c>
      <c r="I82" s="24">
        <f>H82</f>
        <v>7605</v>
      </c>
      <c r="J82" s="17" t="s">
        <v>16</v>
      </c>
      <c r="K82" s="271" t="s">
        <v>45</v>
      </c>
      <c r="L82" s="287" t="s">
        <v>48</v>
      </c>
      <c r="M82" s="267">
        <v>253009</v>
      </c>
    </row>
    <row r="83" spans="1:13" ht="39.6" x14ac:dyDescent="0.25">
      <c r="A83" s="259"/>
      <c r="B83" s="261"/>
      <c r="C83" s="261"/>
      <c r="D83" s="32" t="s">
        <v>136</v>
      </c>
      <c r="E83" s="7">
        <v>87</v>
      </c>
      <c r="F83" s="16" t="s">
        <v>20</v>
      </c>
      <c r="G83" s="16" t="s">
        <v>20</v>
      </c>
      <c r="H83" s="8">
        <f>8000*117/100</f>
        <v>9360</v>
      </c>
      <c r="I83" s="16">
        <f t="shared" ref="I83" si="11">H83</f>
        <v>9360</v>
      </c>
      <c r="J83" s="32" t="s">
        <v>16</v>
      </c>
      <c r="K83" s="262"/>
      <c r="L83" s="287"/>
      <c r="M83" s="247"/>
    </row>
    <row r="84" spans="1:13" ht="13.8" x14ac:dyDescent="0.25">
      <c r="A84" s="260"/>
      <c r="B84" s="248" t="s">
        <v>131</v>
      </c>
      <c r="C84" s="249"/>
      <c r="D84" s="249"/>
      <c r="E84" s="249"/>
      <c r="F84" s="249"/>
      <c r="G84" s="249"/>
      <c r="H84" s="249"/>
      <c r="I84" s="249"/>
      <c r="J84" s="249"/>
      <c r="K84" s="249"/>
      <c r="L84" s="249"/>
      <c r="M84" s="250"/>
    </row>
    <row r="85" spans="1:13" ht="15.6" x14ac:dyDescent="0.25">
      <c r="A85" s="251" t="s">
        <v>765</v>
      </c>
      <c r="B85" s="252"/>
      <c r="C85" s="252"/>
      <c r="D85" s="252"/>
      <c r="E85" s="252"/>
      <c r="F85" s="252"/>
      <c r="G85" s="252"/>
      <c r="H85" s="252"/>
      <c r="I85" s="252"/>
      <c r="J85" s="252"/>
      <c r="K85" s="252"/>
      <c r="L85" s="252"/>
      <c r="M85" s="253"/>
    </row>
    <row r="86" spans="1:13" ht="39.6" x14ac:dyDescent="0.25">
      <c r="A86" s="264">
        <v>14</v>
      </c>
      <c r="B86" s="265" t="s">
        <v>132</v>
      </c>
      <c r="C86" s="265" t="s">
        <v>19</v>
      </c>
      <c r="D86" s="17" t="s">
        <v>141</v>
      </c>
      <c r="E86" s="23">
        <v>100</v>
      </c>
      <c r="F86" s="24" t="s">
        <v>20</v>
      </c>
      <c r="G86" s="24" t="s">
        <v>20</v>
      </c>
      <c r="H86" s="19">
        <f>90000*117/100</f>
        <v>105300</v>
      </c>
      <c r="I86" s="24">
        <f>H86</f>
        <v>105300</v>
      </c>
      <c r="J86" s="17" t="s">
        <v>16</v>
      </c>
      <c r="K86" s="271" t="s">
        <v>45</v>
      </c>
      <c r="L86" s="287" t="s">
        <v>48</v>
      </c>
      <c r="M86" s="267">
        <v>253009</v>
      </c>
    </row>
    <row r="87" spans="1:13" ht="26.4" x14ac:dyDescent="0.25">
      <c r="A87" s="259"/>
      <c r="B87" s="261"/>
      <c r="C87" s="261"/>
      <c r="D87" s="33" t="s">
        <v>107</v>
      </c>
      <c r="E87" s="7">
        <v>58</v>
      </c>
      <c r="F87" s="16" t="s">
        <v>20</v>
      </c>
      <c r="G87" s="16" t="s">
        <v>20</v>
      </c>
      <c r="H87" s="8">
        <f>225000*117/100</f>
        <v>263250</v>
      </c>
      <c r="I87" s="16">
        <f t="shared" ref="I87:I91" si="12">H87</f>
        <v>263250</v>
      </c>
      <c r="J87" s="33"/>
      <c r="K87" s="262"/>
      <c r="L87" s="287"/>
      <c r="M87" s="247"/>
    </row>
    <row r="88" spans="1:13" ht="26.4" x14ac:dyDescent="0.25">
      <c r="A88" s="259"/>
      <c r="B88" s="261"/>
      <c r="C88" s="261"/>
      <c r="D88" s="33" t="s">
        <v>133</v>
      </c>
      <c r="E88" s="7">
        <v>51</v>
      </c>
      <c r="F88" s="16" t="s">
        <v>20</v>
      </c>
      <c r="G88" s="16" t="s">
        <v>20</v>
      </c>
      <c r="H88" s="8">
        <f>295000*117/100</f>
        <v>345150</v>
      </c>
      <c r="I88" s="16">
        <f t="shared" ref="I88" si="13">H88</f>
        <v>345150</v>
      </c>
      <c r="J88" s="33" t="s">
        <v>16</v>
      </c>
      <c r="K88" s="262"/>
      <c r="L88" s="287"/>
      <c r="M88" s="247"/>
    </row>
    <row r="89" spans="1:13" ht="26.4" x14ac:dyDescent="0.25">
      <c r="A89" s="259"/>
      <c r="B89" s="261"/>
      <c r="C89" s="261"/>
      <c r="D89" s="33" t="s">
        <v>144</v>
      </c>
      <c r="E89" s="7">
        <v>49</v>
      </c>
      <c r="F89" s="16" t="s">
        <v>20</v>
      </c>
      <c r="G89" s="16" t="s">
        <v>20</v>
      </c>
      <c r="H89" s="8">
        <f>340000*117/100</f>
        <v>397800</v>
      </c>
      <c r="I89" s="16">
        <f t="shared" ref="I89:I90" si="14">H89</f>
        <v>397800</v>
      </c>
      <c r="J89" s="33" t="s">
        <v>16</v>
      </c>
      <c r="K89" s="262"/>
      <c r="L89" s="287"/>
      <c r="M89" s="247"/>
    </row>
    <row r="90" spans="1:13" ht="26.4" x14ac:dyDescent="0.25">
      <c r="A90" s="259"/>
      <c r="B90" s="261"/>
      <c r="C90" s="261"/>
      <c r="D90" s="33" t="s">
        <v>53</v>
      </c>
      <c r="E90" s="7">
        <v>43</v>
      </c>
      <c r="F90" s="16" t="s">
        <v>20</v>
      </c>
      <c r="G90" s="16" t="s">
        <v>20</v>
      </c>
      <c r="H90" s="8">
        <f>485000*117/100</f>
        <v>567450</v>
      </c>
      <c r="I90" s="16">
        <f t="shared" si="14"/>
        <v>567450</v>
      </c>
      <c r="J90" s="33" t="s">
        <v>16</v>
      </c>
      <c r="K90" s="262"/>
      <c r="L90" s="287"/>
      <c r="M90" s="247"/>
    </row>
    <row r="91" spans="1:13" ht="13.8" x14ac:dyDescent="0.25">
      <c r="A91" s="259"/>
      <c r="B91" s="261"/>
      <c r="C91" s="261"/>
      <c r="D91" s="33" t="s">
        <v>59</v>
      </c>
      <c r="E91" s="7">
        <v>65</v>
      </c>
      <c r="F91" s="16" t="s">
        <v>20</v>
      </c>
      <c r="G91" s="16" t="s">
        <v>20</v>
      </c>
      <c r="H91" s="8">
        <f>695000*117/100</f>
        <v>813150</v>
      </c>
      <c r="I91" s="16">
        <f t="shared" si="12"/>
        <v>813150</v>
      </c>
      <c r="J91" s="33" t="s">
        <v>16</v>
      </c>
      <c r="K91" s="262"/>
      <c r="L91" s="287"/>
      <c r="M91" s="247"/>
    </row>
    <row r="92" spans="1:13" ht="13.8" x14ac:dyDescent="0.25">
      <c r="A92" s="260"/>
      <c r="B92" s="248"/>
      <c r="C92" s="249"/>
      <c r="D92" s="249"/>
      <c r="E92" s="249"/>
      <c r="F92" s="249"/>
      <c r="G92" s="249"/>
      <c r="H92" s="249"/>
      <c r="I92" s="249"/>
      <c r="J92" s="249"/>
      <c r="K92" s="249"/>
      <c r="L92" s="249"/>
      <c r="M92" s="250"/>
    </row>
    <row r="93" spans="1:13" ht="15.6" x14ac:dyDescent="0.25">
      <c r="A93" s="251" t="s">
        <v>766</v>
      </c>
      <c r="B93" s="252"/>
      <c r="C93" s="252"/>
      <c r="D93" s="252"/>
      <c r="E93" s="252"/>
      <c r="F93" s="252"/>
      <c r="G93" s="252"/>
      <c r="H93" s="252"/>
      <c r="I93" s="252"/>
      <c r="J93" s="252"/>
      <c r="K93" s="252"/>
      <c r="L93" s="252"/>
      <c r="M93" s="253"/>
    </row>
    <row r="94" spans="1:13" ht="25.5" customHeight="1" x14ac:dyDescent="0.25">
      <c r="A94" s="264">
        <v>15</v>
      </c>
      <c r="B94" s="265" t="s">
        <v>134</v>
      </c>
      <c r="C94" s="265" t="s">
        <v>19</v>
      </c>
      <c r="D94" s="17" t="s">
        <v>144</v>
      </c>
      <c r="E94" s="23">
        <v>92</v>
      </c>
      <c r="F94" s="24" t="s">
        <v>20</v>
      </c>
      <c r="G94" s="24" t="s">
        <v>20</v>
      </c>
      <c r="H94" s="19">
        <f>210000*117/100</f>
        <v>245700</v>
      </c>
      <c r="I94" s="24">
        <f>H94</f>
        <v>245700</v>
      </c>
      <c r="J94" s="17" t="s">
        <v>16</v>
      </c>
      <c r="K94" s="271" t="s">
        <v>45</v>
      </c>
      <c r="L94" s="284" t="s">
        <v>48</v>
      </c>
      <c r="M94" s="267">
        <v>253009</v>
      </c>
    </row>
    <row r="95" spans="1:13" ht="56.25" customHeight="1" x14ac:dyDescent="0.25">
      <c r="A95" s="259"/>
      <c r="B95" s="261"/>
      <c r="C95" s="261"/>
      <c r="D95" s="33" t="s">
        <v>139</v>
      </c>
      <c r="E95" s="7">
        <v>73</v>
      </c>
      <c r="F95" s="16" t="s">
        <v>20</v>
      </c>
      <c r="G95" s="16" t="s">
        <v>20</v>
      </c>
      <c r="H95" s="8">
        <f>300000*117/100</f>
        <v>351000</v>
      </c>
      <c r="I95" s="16">
        <f t="shared" ref="I95" si="15">H95</f>
        <v>351000</v>
      </c>
      <c r="J95" s="33" t="s">
        <v>16</v>
      </c>
      <c r="K95" s="262"/>
      <c r="L95" s="285"/>
      <c r="M95" s="247"/>
    </row>
    <row r="96" spans="1:13" ht="25.5" customHeight="1" x14ac:dyDescent="0.25">
      <c r="A96" s="259"/>
      <c r="B96" s="261"/>
      <c r="C96" s="261"/>
      <c r="D96" s="33" t="s">
        <v>107</v>
      </c>
      <c r="E96" s="7">
        <v>73</v>
      </c>
      <c r="F96" s="16" t="s">
        <v>20</v>
      </c>
      <c r="G96" s="16" t="s">
        <v>20</v>
      </c>
      <c r="H96" s="8">
        <f>300000*117/100</f>
        <v>351000</v>
      </c>
      <c r="I96" s="16">
        <f t="shared" ref="I96" si="16">H96</f>
        <v>351000</v>
      </c>
      <c r="J96" s="33"/>
      <c r="K96" s="262"/>
      <c r="L96" s="285"/>
      <c r="M96" s="247"/>
    </row>
    <row r="97" spans="1:13" ht="39.6" x14ac:dyDescent="0.25">
      <c r="A97" s="259"/>
      <c r="B97" s="268"/>
      <c r="C97" s="268"/>
      <c r="D97" s="33" t="s">
        <v>143</v>
      </c>
      <c r="E97" s="7">
        <v>70</v>
      </c>
      <c r="F97" s="16" t="s">
        <v>20</v>
      </c>
      <c r="G97" s="16" t="s">
        <v>20</v>
      </c>
      <c r="H97" s="8">
        <f>185000*117/100</f>
        <v>216450</v>
      </c>
      <c r="I97" s="16">
        <f t="shared" ref="I97" si="17">H97</f>
        <v>216450</v>
      </c>
      <c r="J97" s="33" t="s">
        <v>16</v>
      </c>
      <c r="K97" s="272"/>
      <c r="L97" s="286"/>
      <c r="M97" s="270"/>
    </row>
    <row r="98" spans="1:13" ht="13.8" x14ac:dyDescent="0.25">
      <c r="A98" s="260"/>
      <c r="B98" s="248" t="s">
        <v>135</v>
      </c>
      <c r="C98" s="249"/>
      <c r="D98" s="249"/>
      <c r="E98" s="249"/>
      <c r="F98" s="249"/>
      <c r="G98" s="249"/>
      <c r="H98" s="249"/>
      <c r="I98" s="249"/>
      <c r="J98" s="249"/>
      <c r="K98" s="249"/>
      <c r="L98" s="249"/>
      <c r="M98" s="250"/>
    </row>
  </sheetData>
  <mergeCells count="121">
    <mergeCell ref="A20:A24"/>
    <mergeCell ref="B20:B23"/>
    <mergeCell ref="C20:C23"/>
    <mergeCell ref="K20:K23"/>
    <mergeCell ref="L20:L23"/>
    <mergeCell ref="M20:M23"/>
    <mergeCell ref="B24:M24"/>
    <mergeCell ref="A25:M25"/>
    <mergeCell ref="A26:A29"/>
    <mergeCell ref="B26:B28"/>
    <mergeCell ref="C26:C28"/>
    <mergeCell ref="K26:K28"/>
    <mergeCell ref="L26:L28"/>
    <mergeCell ref="M26:M28"/>
    <mergeCell ref="B29:M29"/>
    <mergeCell ref="A13:M13"/>
    <mergeCell ref="A14:A18"/>
    <mergeCell ref="B14:B17"/>
    <mergeCell ref="C14:C17"/>
    <mergeCell ref="K14:K17"/>
    <mergeCell ref="L14:L17"/>
    <mergeCell ref="M14:M17"/>
    <mergeCell ref="B18:M18"/>
    <mergeCell ref="A19:M19"/>
    <mergeCell ref="A1:A6"/>
    <mergeCell ref="B1:M1"/>
    <mergeCell ref="B2:M2"/>
    <mergeCell ref="B3:M3"/>
    <mergeCell ref="B4:M4"/>
    <mergeCell ref="B5:M5"/>
    <mergeCell ref="A7:M7"/>
    <mergeCell ref="A8:A12"/>
    <mergeCell ref="B8:B11"/>
    <mergeCell ref="C8:C11"/>
    <mergeCell ref="K8:K11"/>
    <mergeCell ref="L8:L11"/>
    <mergeCell ref="M8:M11"/>
    <mergeCell ref="B12:M12"/>
    <mergeCell ref="A30:M30"/>
    <mergeCell ref="A31:A32"/>
    <mergeCell ref="B32:M32"/>
    <mergeCell ref="A41:M41"/>
    <mergeCell ref="A42:A48"/>
    <mergeCell ref="B42:B47"/>
    <mergeCell ref="C42:C47"/>
    <mergeCell ref="K42:K47"/>
    <mergeCell ref="L42:L47"/>
    <mergeCell ref="M42:M47"/>
    <mergeCell ref="B48:M48"/>
    <mergeCell ref="A33:M33"/>
    <mergeCell ref="A34:A40"/>
    <mergeCell ref="B34:B39"/>
    <mergeCell ref="C34:C39"/>
    <mergeCell ref="K34:K39"/>
    <mergeCell ref="L34:L39"/>
    <mergeCell ref="M34:M39"/>
    <mergeCell ref="B40:M40"/>
    <mergeCell ref="A55:M55"/>
    <mergeCell ref="A56:A63"/>
    <mergeCell ref="B56:B62"/>
    <mergeCell ref="C56:C62"/>
    <mergeCell ref="K56:K62"/>
    <mergeCell ref="L56:L62"/>
    <mergeCell ref="M56:M62"/>
    <mergeCell ref="B63:M63"/>
    <mergeCell ref="A49:M49"/>
    <mergeCell ref="A50:A54"/>
    <mergeCell ref="B50:B53"/>
    <mergeCell ref="C50:C53"/>
    <mergeCell ref="K50:K53"/>
    <mergeCell ref="L50:L53"/>
    <mergeCell ref="M50:M53"/>
    <mergeCell ref="B54:M54"/>
    <mergeCell ref="A70:M70"/>
    <mergeCell ref="A71:A74"/>
    <mergeCell ref="B71:B73"/>
    <mergeCell ref="C71:C73"/>
    <mergeCell ref="K71:K73"/>
    <mergeCell ref="L71:L73"/>
    <mergeCell ref="M71:M73"/>
    <mergeCell ref="B74:M74"/>
    <mergeCell ref="A64:M64"/>
    <mergeCell ref="A65:A69"/>
    <mergeCell ref="B65:B68"/>
    <mergeCell ref="C65:C68"/>
    <mergeCell ref="K65:K68"/>
    <mergeCell ref="L65:L68"/>
    <mergeCell ref="M65:M68"/>
    <mergeCell ref="B69:M69"/>
    <mergeCell ref="A81:M81"/>
    <mergeCell ref="A82:A84"/>
    <mergeCell ref="B82:B83"/>
    <mergeCell ref="C82:C83"/>
    <mergeCell ref="K82:K83"/>
    <mergeCell ref="L82:L83"/>
    <mergeCell ref="M82:M83"/>
    <mergeCell ref="B84:M84"/>
    <mergeCell ref="A75:M75"/>
    <mergeCell ref="A76:A80"/>
    <mergeCell ref="B76:B79"/>
    <mergeCell ref="C76:C79"/>
    <mergeCell ref="K76:K79"/>
    <mergeCell ref="L76:L79"/>
    <mergeCell ref="M76:M79"/>
    <mergeCell ref="B80:M80"/>
    <mergeCell ref="A94:A98"/>
    <mergeCell ref="B94:B97"/>
    <mergeCell ref="C94:C97"/>
    <mergeCell ref="K94:K97"/>
    <mergeCell ref="L94:L97"/>
    <mergeCell ref="M94:M97"/>
    <mergeCell ref="B98:M98"/>
    <mergeCell ref="A85:M85"/>
    <mergeCell ref="A86:A92"/>
    <mergeCell ref="B86:B91"/>
    <mergeCell ref="C86:C91"/>
    <mergeCell ref="K86:K91"/>
    <mergeCell ref="L86:L91"/>
    <mergeCell ref="M86:M91"/>
    <mergeCell ref="B92:M92"/>
    <mergeCell ref="A93:M93"/>
  </mergeCells>
  <pageMargins left="0.7" right="0.7" top="0.75" bottom="0.75" header="0.3" footer="0.3"/>
  <pageSetup paperSize="9" scale="73"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6"/>
  <sheetViews>
    <sheetView rightToLeft="1" topLeftCell="A31" zoomScale="85" zoomScaleNormal="85" workbookViewId="0">
      <selection activeCell="B46" sqref="A7:M46"/>
    </sheetView>
  </sheetViews>
  <sheetFormatPr defaultColWidth="8.69921875" defaultRowHeight="15" x14ac:dyDescent="0.25"/>
  <cols>
    <col min="1" max="1" width="4.19921875" customWidth="1"/>
    <col min="2" max="2" width="21.09765625" style="10" bestFit="1" customWidth="1"/>
    <col min="4" max="4" width="7.19921875" customWidth="1"/>
    <col min="5" max="5" width="7.69921875" customWidth="1"/>
    <col min="6" max="6" width="10.19921875" bestFit="1" customWidth="1"/>
    <col min="7" max="7" width="12.09765625" style="11" bestFit="1" customWidth="1"/>
    <col min="8" max="8" width="13.59765625" style="12" bestFit="1" customWidth="1"/>
    <col min="9" max="9" width="14.59765625" style="12" bestFit="1" customWidth="1"/>
    <col min="10" max="10" width="9" customWidth="1"/>
    <col min="11" max="11" width="23.59765625" style="13" customWidth="1"/>
    <col min="12" max="12" width="13.5" style="14" customWidth="1"/>
    <col min="13" max="13" width="16.5" style="15" customWidth="1"/>
  </cols>
  <sheetData>
    <row r="1" spans="1:13" ht="21" x14ac:dyDescent="0.25">
      <c r="A1" s="254"/>
      <c r="B1" s="255" t="s">
        <v>77</v>
      </c>
      <c r="C1" s="255"/>
      <c r="D1" s="255"/>
      <c r="E1" s="255"/>
      <c r="F1" s="255"/>
      <c r="G1" s="255"/>
      <c r="H1" s="255"/>
      <c r="I1" s="255"/>
      <c r="J1" s="255"/>
      <c r="K1" s="255"/>
      <c r="L1" s="255"/>
      <c r="M1" s="255"/>
    </row>
    <row r="2" spans="1:13" ht="13.8" x14ac:dyDescent="0.25">
      <c r="A2" s="254"/>
      <c r="B2" s="256" t="s">
        <v>0</v>
      </c>
      <c r="C2" s="256"/>
      <c r="D2" s="256"/>
      <c r="E2" s="256"/>
      <c r="F2" s="256"/>
      <c r="G2" s="256"/>
      <c r="H2" s="256"/>
      <c r="I2" s="256"/>
      <c r="J2" s="256"/>
      <c r="K2" s="256"/>
      <c r="L2" s="256"/>
      <c r="M2" s="256"/>
    </row>
    <row r="3" spans="1:13" ht="15.6" x14ac:dyDescent="0.25">
      <c r="A3" s="254"/>
      <c r="B3" s="257" t="s">
        <v>1</v>
      </c>
      <c r="C3" s="257"/>
      <c r="D3" s="257"/>
      <c r="E3" s="257"/>
      <c r="F3" s="257"/>
      <c r="G3" s="257"/>
      <c r="H3" s="257"/>
      <c r="I3" s="257"/>
      <c r="J3" s="257"/>
      <c r="K3" s="257"/>
      <c r="L3" s="257"/>
      <c r="M3" s="257"/>
    </row>
    <row r="4" spans="1:13" ht="13.8" x14ac:dyDescent="0.25">
      <c r="A4" s="254"/>
      <c r="B4" s="258" t="s">
        <v>2</v>
      </c>
      <c r="C4" s="258"/>
      <c r="D4" s="258"/>
      <c r="E4" s="258"/>
      <c r="F4" s="258"/>
      <c r="G4" s="258"/>
      <c r="H4" s="258"/>
      <c r="I4" s="258"/>
      <c r="J4" s="258"/>
      <c r="K4" s="258"/>
      <c r="L4" s="258"/>
      <c r="M4" s="258"/>
    </row>
    <row r="5" spans="1:13" ht="13.8" x14ac:dyDescent="0.25">
      <c r="A5" s="254"/>
      <c r="B5" s="258" t="s">
        <v>26</v>
      </c>
      <c r="C5" s="258"/>
      <c r="D5" s="258"/>
      <c r="E5" s="258"/>
      <c r="F5" s="258"/>
      <c r="G5" s="258"/>
      <c r="H5" s="258"/>
      <c r="I5" s="258"/>
      <c r="J5" s="258"/>
      <c r="K5" s="258"/>
      <c r="L5" s="258"/>
      <c r="M5" s="258"/>
    </row>
    <row r="6" spans="1:13" ht="46.8" x14ac:dyDescent="0.25">
      <c r="A6" s="254"/>
      <c r="B6" s="1" t="s">
        <v>3</v>
      </c>
      <c r="C6" s="2" t="s">
        <v>4</v>
      </c>
      <c r="D6" s="3" t="s">
        <v>5</v>
      </c>
      <c r="E6" s="3" t="s">
        <v>6</v>
      </c>
      <c r="F6" s="3" t="s">
        <v>7</v>
      </c>
      <c r="G6" s="3" t="s">
        <v>8</v>
      </c>
      <c r="H6" s="4" t="s">
        <v>9</v>
      </c>
      <c r="I6" s="5" t="s">
        <v>10</v>
      </c>
      <c r="J6" s="3" t="s">
        <v>11</v>
      </c>
      <c r="K6" s="3" t="s">
        <v>12</v>
      </c>
      <c r="L6" s="6" t="s">
        <v>13</v>
      </c>
      <c r="M6" s="3" t="s">
        <v>14</v>
      </c>
    </row>
    <row r="7" spans="1:13" ht="15.6" x14ac:dyDescent="0.25">
      <c r="A7" s="251" t="s">
        <v>49</v>
      </c>
      <c r="B7" s="252"/>
      <c r="C7" s="252"/>
      <c r="D7" s="252"/>
      <c r="E7" s="252"/>
      <c r="F7" s="252"/>
      <c r="G7" s="252"/>
      <c r="H7" s="252"/>
      <c r="I7" s="252"/>
      <c r="J7" s="252"/>
      <c r="K7" s="252"/>
      <c r="L7" s="252"/>
      <c r="M7" s="253"/>
    </row>
    <row r="8" spans="1:13" ht="25.5" customHeight="1" x14ac:dyDescent="0.25">
      <c r="A8" s="264">
        <v>1</v>
      </c>
      <c r="B8" s="265" t="s">
        <v>50</v>
      </c>
      <c r="C8" s="265" t="s">
        <v>19</v>
      </c>
      <c r="D8" s="17" t="s">
        <v>52</v>
      </c>
      <c r="E8" s="18">
        <v>90</v>
      </c>
      <c r="F8" s="19" t="s">
        <v>20</v>
      </c>
      <c r="G8" s="19" t="s">
        <v>20</v>
      </c>
      <c r="H8" s="19">
        <f>287000*117/100</f>
        <v>335790</v>
      </c>
      <c r="I8" s="19">
        <f>H8</f>
        <v>335790</v>
      </c>
      <c r="J8" s="17" t="s">
        <v>16</v>
      </c>
      <c r="K8" s="271" t="s">
        <v>45</v>
      </c>
      <c r="L8" s="284" t="s">
        <v>48</v>
      </c>
      <c r="M8" s="267">
        <v>253009</v>
      </c>
    </row>
    <row r="9" spans="1:13" ht="26.4" x14ac:dyDescent="0.25">
      <c r="A9" s="259"/>
      <c r="B9" s="261"/>
      <c r="C9" s="261"/>
      <c r="D9" s="26" t="s">
        <v>53</v>
      </c>
      <c r="E9" s="7">
        <v>88</v>
      </c>
      <c r="F9" s="8" t="s">
        <v>20</v>
      </c>
      <c r="G9" s="8" t="s">
        <v>20</v>
      </c>
      <c r="H9" s="8">
        <f>244000*117/100</f>
        <v>285480</v>
      </c>
      <c r="I9" s="8">
        <f>H9</f>
        <v>285480</v>
      </c>
      <c r="J9" s="26" t="s">
        <v>16</v>
      </c>
      <c r="K9" s="262"/>
      <c r="L9" s="285"/>
      <c r="M9" s="247"/>
    </row>
    <row r="10" spans="1:13" ht="13.8" x14ac:dyDescent="0.25">
      <c r="A10" s="259"/>
      <c r="B10" s="261"/>
      <c r="C10" s="261"/>
      <c r="D10" s="26" t="s">
        <v>60</v>
      </c>
      <c r="E10" s="7">
        <v>88</v>
      </c>
      <c r="F10" s="8" t="s">
        <v>20</v>
      </c>
      <c r="G10" s="8" t="s">
        <v>20</v>
      </c>
      <c r="H10" s="8">
        <f>295000*117/100</f>
        <v>345150</v>
      </c>
      <c r="I10" s="8">
        <f t="shared" ref="I10:I12" si="0">H10</f>
        <v>345150</v>
      </c>
      <c r="J10" s="26" t="s">
        <v>16</v>
      </c>
      <c r="K10" s="262"/>
      <c r="L10" s="285"/>
      <c r="M10" s="247"/>
    </row>
    <row r="11" spans="1:13" ht="26.4" x14ac:dyDescent="0.25">
      <c r="A11" s="259"/>
      <c r="B11" s="261"/>
      <c r="C11" s="261"/>
      <c r="D11" s="26" t="s">
        <v>54</v>
      </c>
      <c r="E11" s="7">
        <v>87</v>
      </c>
      <c r="F11" s="8" t="s">
        <v>20</v>
      </c>
      <c r="G11" s="8" t="s">
        <v>20</v>
      </c>
      <c r="H11" s="8">
        <f>300000*117/100</f>
        <v>351000</v>
      </c>
      <c r="I11" s="8">
        <f t="shared" ref="I11" si="1">H11</f>
        <v>351000</v>
      </c>
      <c r="J11" s="26" t="s">
        <v>16</v>
      </c>
      <c r="K11" s="262"/>
      <c r="L11" s="285"/>
      <c r="M11" s="247"/>
    </row>
    <row r="12" spans="1:13" ht="26.4" x14ac:dyDescent="0.25">
      <c r="A12" s="259"/>
      <c r="B12" s="268"/>
      <c r="C12" s="268"/>
      <c r="D12" s="26" t="s">
        <v>55</v>
      </c>
      <c r="E12" s="7">
        <v>62</v>
      </c>
      <c r="F12" s="8" t="s">
        <v>20</v>
      </c>
      <c r="G12" s="8" t="s">
        <v>20</v>
      </c>
      <c r="H12" s="8">
        <f>450000*117/100</f>
        <v>526500</v>
      </c>
      <c r="I12" s="8">
        <f t="shared" si="0"/>
        <v>526500</v>
      </c>
      <c r="J12" s="26" t="s">
        <v>16</v>
      </c>
      <c r="K12" s="272"/>
      <c r="L12" s="286"/>
      <c r="M12" s="270"/>
    </row>
    <row r="13" spans="1:13" ht="14.25" customHeight="1" x14ac:dyDescent="0.25">
      <c r="A13" s="260"/>
      <c r="B13" s="248"/>
      <c r="C13" s="249"/>
      <c r="D13" s="249"/>
      <c r="E13" s="249"/>
      <c r="F13" s="249"/>
      <c r="G13" s="249"/>
      <c r="H13" s="249"/>
      <c r="I13" s="249"/>
      <c r="J13" s="249"/>
      <c r="K13" s="249"/>
      <c r="L13" s="249"/>
      <c r="M13" s="250"/>
    </row>
    <row r="14" spans="1:13" ht="15.6" x14ac:dyDescent="0.25">
      <c r="A14" s="251" t="s">
        <v>51</v>
      </c>
      <c r="B14" s="252"/>
      <c r="C14" s="252"/>
      <c r="D14" s="252"/>
      <c r="E14" s="252"/>
      <c r="F14" s="252"/>
      <c r="G14" s="252"/>
      <c r="H14" s="252"/>
      <c r="I14" s="252"/>
      <c r="J14" s="252"/>
      <c r="K14" s="252"/>
      <c r="L14" s="252"/>
      <c r="M14" s="253"/>
    </row>
    <row r="15" spans="1:13" ht="14.25" customHeight="1" x14ac:dyDescent="0.25">
      <c r="A15" s="264">
        <v>2</v>
      </c>
      <c r="B15" s="265" t="s">
        <v>57</v>
      </c>
      <c r="C15" s="265" t="s">
        <v>19</v>
      </c>
      <c r="D15" s="17" t="s">
        <v>58</v>
      </c>
      <c r="E15" s="18">
        <v>100</v>
      </c>
      <c r="F15" s="19" t="s">
        <v>20</v>
      </c>
      <c r="G15" s="19" t="s">
        <v>20</v>
      </c>
      <c r="H15" s="19">
        <f>135000*117/100</f>
        <v>157950</v>
      </c>
      <c r="I15" s="19">
        <f>H15</f>
        <v>157950</v>
      </c>
      <c r="J15" s="17" t="s">
        <v>16</v>
      </c>
      <c r="K15" s="271" t="s">
        <v>45</v>
      </c>
      <c r="L15" s="284" t="s">
        <v>48</v>
      </c>
      <c r="M15" s="267">
        <v>253009</v>
      </c>
    </row>
    <row r="16" spans="1:13" ht="14.25" customHeight="1" x14ac:dyDescent="0.25">
      <c r="A16" s="259"/>
      <c r="B16" s="261"/>
      <c r="C16" s="261"/>
      <c r="D16" s="26" t="s">
        <v>59</v>
      </c>
      <c r="E16" s="7">
        <v>99</v>
      </c>
      <c r="F16" s="8" t="s">
        <v>20</v>
      </c>
      <c r="G16" s="8" t="s">
        <v>20</v>
      </c>
      <c r="H16" s="8">
        <f>136780*117/100</f>
        <v>160032.6</v>
      </c>
      <c r="I16" s="8">
        <f>H16</f>
        <v>160032.6</v>
      </c>
      <c r="J16" s="26" t="s">
        <v>16</v>
      </c>
      <c r="K16" s="262"/>
      <c r="L16" s="285"/>
      <c r="M16" s="247"/>
    </row>
    <row r="17" spans="1:13" ht="26.4" x14ac:dyDescent="0.25">
      <c r="A17" s="259"/>
      <c r="B17" s="261"/>
      <c r="C17" s="261"/>
      <c r="D17" s="26" t="s">
        <v>54</v>
      </c>
      <c r="E17" s="7">
        <v>93</v>
      </c>
      <c r="F17" s="8" t="s">
        <v>20</v>
      </c>
      <c r="G17" s="8" t="s">
        <v>20</v>
      </c>
      <c r="H17" s="8">
        <f>150000*117/100</f>
        <v>175500</v>
      </c>
      <c r="I17" s="8">
        <f t="shared" ref="I17" si="2">H17</f>
        <v>175500</v>
      </c>
      <c r="J17" s="26" t="s">
        <v>16</v>
      </c>
      <c r="K17" s="262"/>
      <c r="L17" s="285"/>
      <c r="M17" s="247"/>
    </row>
    <row r="18" spans="1:13" ht="26.4" x14ac:dyDescent="0.25">
      <c r="A18" s="259"/>
      <c r="B18" s="261"/>
      <c r="C18" s="261"/>
      <c r="D18" s="26" t="s">
        <v>52</v>
      </c>
      <c r="E18" s="7">
        <v>93</v>
      </c>
      <c r="F18" s="8" t="s">
        <v>20</v>
      </c>
      <c r="G18" s="8" t="s">
        <v>20</v>
      </c>
      <c r="H18" s="8">
        <f>150000*117/100</f>
        <v>175500</v>
      </c>
      <c r="I18" s="8">
        <f>H18</f>
        <v>175500</v>
      </c>
      <c r="J18" s="26" t="s">
        <v>16</v>
      </c>
      <c r="K18" s="262"/>
      <c r="L18" s="285"/>
      <c r="M18" s="247"/>
    </row>
    <row r="19" spans="1:13" ht="26.4" x14ac:dyDescent="0.25">
      <c r="A19" s="259"/>
      <c r="B19" s="261"/>
      <c r="C19" s="261"/>
      <c r="D19" s="26" t="s">
        <v>55</v>
      </c>
      <c r="E19" s="7">
        <v>89</v>
      </c>
      <c r="F19" s="8" t="s">
        <v>20</v>
      </c>
      <c r="G19" s="8" t="s">
        <v>20</v>
      </c>
      <c r="H19" s="8">
        <f>160000*117/100</f>
        <v>187200</v>
      </c>
      <c r="I19" s="8">
        <f>H19</f>
        <v>187200</v>
      </c>
      <c r="J19" s="26" t="s">
        <v>16</v>
      </c>
      <c r="K19" s="262"/>
      <c r="L19" s="285"/>
      <c r="M19" s="247"/>
    </row>
    <row r="20" spans="1:13" ht="13.8" x14ac:dyDescent="0.25">
      <c r="A20" s="259"/>
      <c r="B20" s="261"/>
      <c r="C20" s="261"/>
      <c r="D20" s="26" t="s">
        <v>60</v>
      </c>
      <c r="E20" s="7">
        <v>78</v>
      </c>
      <c r="F20" s="8" t="s">
        <v>20</v>
      </c>
      <c r="G20" s="8" t="s">
        <v>20</v>
      </c>
      <c r="H20" s="8">
        <f>195000*117/100</f>
        <v>228150</v>
      </c>
      <c r="I20" s="8">
        <f t="shared" ref="I20:I21" si="3">H20</f>
        <v>228150</v>
      </c>
      <c r="J20" s="26" t="s">
        <v>16</v>
      </c>
      <c r="K20" s="262"/>
      <c r="L20" s="285"/>
      <c r="M20" s="247"/>
    </row>
    <row r="21" spans="1:13" ht="26.4" x14ac:dyDescent="0.25">
      <c r="A21" s="259"/>
      <c r="B21" s="268"/>
      <c r="C21" s="268"/>
      <c r="D21" s="26" t="s">
        <v>53</v>
      </c>
      <c r="E21" s="7">
        <v>74</v>
      </c>
      <c r="F21" s="8" t="s">
        <v>20</v>
      </c>
      <c r="G21" s="8" t="s">
        <v>20</v>
      </c>
      <c r="H21" s="8">
        <f>169000*117/100</f>
        <v>197730</v>
      </c>
      <c r="I21" s="8">
        <f t="shared" si="3"/>
        <v>197730</v>
      </c>
      <c r="J21" s="26" t="s">
        <v>16</v>
      </c>
      <c r="K21" s="272"/>
      <c r="L21" s="286"/>
      <c r="M21" s="270"/>
    </row>
    <row r="22" spans="1:13" ht="14.25" customHeight="1" x14ac:dyDescent="0.25">
      <c r="A22" s="260"/>
      <c r="B22" s="248"/>
      <c r="C22" s="249"/>
      <c r="D22" s="249"/>
      <c r="E22" s="249"/>
      <c r="F22" s="249"/>
      <c r="G22" s="249"/>
      <c r="H22" s="249"/>
      <c r="I22" s="249"/>
      <c r="J22" s="249"/>
      <c r="K22" s="249"/>
      <c r="L22" s="249"/>
      <c r="M22" s="250"/>
    </row>
    <row r="23" spans="1:13" ht="15.6" x14ac:dyDescent="0.25">
      <c r="A23" s="251" t="s">
        <v>56</v>
      </c>
      <c r="B23" s="252"/>
      <c r="C23" s="252"/>
      <c r="D23" s="252"/>
      <c r="E23" s="252"/>
      <c r="F23" s="252"/>
      <c r="G23" s="252"/>
      <c r="H23" s="252"/>
      <c r="I23" s="252"/>
      <c r="J23" s="252"/>
      <c r="K23" s="252"/>
      <c r="L23" s="252"/>
      <c r="M23" s="253"/>
    </row>
    <row r="24" spans="1:13" ht="52.8" x14ac:dyDescent="0.25">
      <c r="A24" s="264">
        <v>3</v>
      </c>
      <c r="B24" s="265" t="s">
        <v>62</v>
      </c>
      <c r="C24" s="265" t="s">
        <v>19</v>
      </c>
      <c r="D24" s="17" t="s">
        <v>138</v>
      </c>
      <c r="E24" s="18">
        <v>100</v>
      </c>
      <c r="F24" s="19" t="s">
        <v>20</v>
      </c>
      <c r="G24" s="19" t="s">
        <v>20</v>
      </c>
      <c r="H24" s="19">
        <f>48000*117/100</f>
        <v>56160</v>
      </c>
      <c r="I24" s="19">
        <f>H24</f>
        <v>56160</v>
      </c>
      <c r="J24" s="17" t="s">
        <v>16</v>
      </c>
      <c r="K24" s="271" t="s">
        <v>45</v>
      </c>
      <c r="L24" s="287"/>
      <c r="M24" s="267">
        <v>253009</v>
      </c>
    </row>
    <row r="25" spans="1:13" ht="13.8" x14ac:dyDescent="0.25">
      <c r="A25" s="259"/>
      <c r="B25" s="261"/>
      <c r="C25" s="261"/>
      <c r="D25" s="26" t="s">
        <v>59</v>
      </c>
      <c r="E25" s="7">
        <v>82</v>
      </c>
      <c r="F25" s="8" t="s">
        <v>20</v>
      </c>
      <c r="G25" s="8" t="s">
        <v>20</v>
      </c>
      <c r="H25" s="8">
        <f>65200*117/100</f>
        <v>76284</v>
      </c>
      <c r="I25" s="8">
        <f>H25</f>
        <v>76284</v>
      </c>
      <c r="J25" s="26" t="s">
        <v>16</v>
      </c>
      <c r="K25" s="262"/>
      <c r="L25" s="287"/>
      <c r="M25" s="247"/>
    </row>
    <row r="26" spans="1:13" ht="13.8" x14ac:dyDescent="0.25">
      <c r="A26" s="259"/>
      <c r="B26" s="261"/>
      <c r="C26" s="261"/>
      <c r="D26" s="26" t="s">
        <v>64</v>
      </c>
      <c r="E26" s="7">
        <v>75</v>
      </c>
      <c r="F26" s="8" t="s">
        <v>20</v>
      </c>
      <c r="G26" s="8" t="s">
        <v>20</v>
      </c>
      <c r="H26" s="8">
        <f>75000*117/100</f>
        <v>87750</v>
      </c>
      <c r="I26" s="8">
        <f t="shared" ref="I26:I28" si="4">H26</f>
        <v>87750</v>
      </c>
      <c r="J26" s="26" t="s">
        <v>16</v>
      </c>
      <c r="K26" s="262"/>
      <c r="L26" s="287"/>
      <c r="M26" s="247"/>
    </row>
    <row r="27" spans="1:13" ht="13.8" x14ac:dyDescent="0.25">
      <c r="A27" s="259"/>
      <c r="B27" s="261"/>
      <c r="C27" s="261"/>
      <c r="D27" s="26" t="s">
        <v>58</v>
      </c>
      <c r="E27" s="7">
        <v>70</v>
      </c>
      <c r="F27" s="8" t="s">
        <v>20</v>
      </c>
      <c r="G27" s="8" t="s">
        <v>20</v>
      </c>
      <c r="H27" s="8">
        <f>85000*117/100</f>
        <v>99450</v>
      </c>
      <c r="I27" s="8">
        <f t="shared" si="4"/>
        <v>99450</v>
      </c>
      <c r="J27" s="26" t="s">
        <v>16</v>
      </c>
      <c r="K27" s="262"/>
      <c r="L27" s="287"/>
      <c r="M27" s="247"/>
    </row>
    <row r="28" spans="1:13" ht="26.4" x14ac:dyDescent="0.25">
      <c r="A28" s="259"/>
      <c r="B28" s="261"/>
      <c r="C28" s="261"/>
      <c r="D28" s="26" t="s">
        <v>52</v>
      </c>
      <c r="E28" s="7">
        <v>69</v>
      </c>
      <c r="F28" s="8" t="s">
        <v>20</v>
      </c>
      <c r="G28" s="8" t="s">
        <v>20</v>
      </c>
      <c r="H28" s="8">
        <f>86000*117/100</f>
        <v>100620</v>
      </c>
      <c r="I28" s="8">
        <f t="shared" si="4"/>
        <v>100620</v>
      </c>
      <c r="J28" s="26" t="s">
        <v>16</v>
      </c>
      <c r="K28" s="262"/>
      <c r="L28" s="287"/>
      <c r="M28" s="247"/>
    </row>
    <row r="29" spans="1:13" ht="13.8" x14ac:dyDescent="0.25">
      <c r="A29" s="260"/>
      <c r="B29" s="248"/>
      <c r="C29" s="249"/>
      <c r="D29" s="249"/>
      <c r="E29" s="249"/>
      <c r="F29" s="249"/>
      <c r="G29" s="249"/>
      <c r="H29" s="249"/>
      <c r="I29" s="249"/>
      <c r="J29" s="249"/>
      <c r="K29" s="249"/>
      <c r="L29" s="249"/>
      <c r="M29" s="250"/>
    </row>
    <row r="30" spans="1:13" ht="15.6" x14ac:dyDescent="0.25">
      <c r="A30" s="251" t="s">
        <v>61</v>
      </c>
      <c r="B30" s="252"/>
      <c r="C30" s="252"/>
      <c r="D30" s="252"/>
      <c r="E30" s="252"/>
      <c r="F30" s="252"/>
      <c r="G30" s="252"/>
      <c r="H30" s="252"/>
      <c r="I30" s="252"/>
      <c r="J30" s="252"/>
      <c r="K30" s="252"/>
      <c r="L30" s="252"/>
      <c r="M30" s="253"/>
    </row>
    <row r="31" spans="1:13" ht="14.25" customHeight="1" x14ac:dyDescent="0.25">
      <c r="A31" s="264">
        <v>4</v>
      </c>
      <c r="B31" s="265" t="s">
        <v>66</v>
      </c>
      <c r="C31" s="265" t="s">
        <v>19</v>
      </c>
      <c r="D31" s="17" t="s">
        <v>59</v>
      </c>
      <c r="E31" s="18">
        <v>100</v>
      </c>
      <c r="F31" s="19" t="s">
        <v>20</v>
      </c>
      <c r="G31" s="19" t="s">
        <v>20</v>
      </c>
      <c r="H31" s="19">
        <f>439000*117/100</f>
        <v>513630</v>
      </c>
      <c r="I31" s="19">
        <f>H31</f>
        <v>513630</v>
      </c>
      <c r="J31" s="17" t="s">
        <v>16</v>
      </c>
      <c r="K31" s="271" t="s">
        <v>45</v>
      </c>
      <c r="L31" s="284" t="s">
        <v>48</v>
      </c>
      <c r="M31" s="267">
        <v>253009</v>
      </c>
    </row>
    <row r="32" spans="1:13" ht="14.25" customHeight="1" x14ac:dyDescent="0.25">
      <c r="A32" s="259"/>
      <c r="B32" s="261"/>
      <c r="C32" s="261"/>
      <c r="D32" s="26" t="s">
        <v>58</v>
      </c>
      <c r="E32" s="7">
        <v>98</v>
      </c>
      <c r="F32" s="8" t="s">
        <v>20</v>
      </c>
      <c r="G32" s="8" t="s">
        <v>20</v>
      </c>
      <c r="H32" s="8">
        <f>450000*117/100</f>
        <v>526500</v>
      </c>
      <c r="I32" s="8">
        <f>H32</f>
        <v>526500</v>
      </c>
      <c r="J32" s="26" t="s">
        <v>16</v>
      </c>
      <c r="K32" s="262"/>
      <c r="L32" s="285"/>
      <c r="M32" s="247"/>
    </row>
    <row r="33" spans="1:13" ht="26.4" x14ac:dyDescent="0.25">
      <c r="A33" s="259"/>
      <c r="B33" s="261"/>
      <c r="C33" s="261"/>
      <c r="D33" s="26" t="s">
        <v>52</v>
      </c>
      <c r="E33" s="7">
        <v>98</v>
      </c>
      <c r="F33" s="8" t="s">
        <v>20</v>
      </c>
      <c r="G33" s="8" t="s">
        <v>20</v>
      </c>
      <c r="H33" s="8">
        <f>450000*117/100</f>
        <v>526500</v>
      </c>
      <c r="I33" s="8">
        <f t="shared" ref="I33" si="5">H33</f>
        <v>526500</v>
      </c>
      <c r="J33" s="26" t="s">
        <v>16</v>
      </c>
      <c r="K33" s="262"/>
      <c r="L33" s="285"/>
      <c r="M33" s="247"/>
    </row>
    <row r="34" spans="1:13" ht="26.4" x14ac:dyDescent="0.25">
      <c r="A34" s="259"/>
      <c r="B34" s="261"/>
      <c r="C34" s="261"/>
      <c r="D34" s="26" t="s">
        <v>63</v>
      </c>
      <c r="E34" s="7">
        <v>97</v>
      </c>
      <c r="F34" s="8" t="s">
        <v>20</v>
      </c>
      <c r="G34" s="8" t="s">
        <v>20</v>
      </c>
      <c r="H34" s="8">
        <f>455000*117/100</f>
        <v>532350</v>
      </c>
      <c r="I34" s="8">
        <f>H34</f>
        <v>532350</v>
      </c>
      <c r="J34" s="26" t="s">
        <v>16</v>
      </c>
      <c r="K34" s="262"/>
      <c r="L34" s="285"/>
      <c r="M34" s="247"/>
    </row>
    <row r="35" spans="1:13" ht="14.25" customHeight="1" x14ac:dyDescent="0.25">
      <c r="A35" s="259"/>
      <c r="B35" s="261"/>
      <c r="C35" s="261"/>
      <c r="D35" s="26" t="s">
        <v>67</v>
      </c>
      <c r="E35" s="7">
        <v>79</v>
      </c>
      <c r="F35" s="8" t="s">
        <v>20</v>
      </c>
      <c r="G35" s="8" t="s">
        <v>20</v>
      </c>
      <c r="H35" s="8">
        <f>504000*117/100</f>
        <v>589680</v>
      </c>
      <c r="I35" s="8">
        <f>H35</f>
        <v>589680</v>
      </c>
      <c r="J35" s="26" t="s">
        <v>16</v>
      </c>
      <c r="K35" s="262"/>
      <c r="L35" s="285"/>
      <c r="M35" s="247"/>
    </row>
    <row r="36" spans="1:13" ht="26.4" x14ac:dyDescent="0.25">
      <c r="A36" s="259"/>
      <c r="B36" s="261"/>
      <c r="C36" s="261"/>
      <c r="D36" s="26" t="s">
        <v>53</v>
      </c>
      <c r="E36" s="7">
        <v>72</v>
      </c>
      <c r="F36" s="8" t="s">
        <v>20</v>
      </c>
      <c r="G36" s="8" t="s">
        <v>20</v>
      </c>
      <c r="H36" s="8">
        <f>570000*117/100</f>
        <v>666900</v>
      </c>
      <c r="I36" s="8">
        <f t="shared" ref="I36:I37" si="6">H36</f>
        <v>666900</v>
      </c>
      <c r="J36" s="26" t="s">
        <v>16</v>
      </c>
      <c r="K36" s="262"/>
      <c r="L36" s="285"/>
      <c r="M36" s="247"/>
    </row>
    <row r="37" spans="1:13" ht="26.4" x14ac:dyDescent="0.25">
      <c r="A37" s="259"/>
      <c r="B37" s="268"/>
      <c r="C37" s="268"/>
      <c r="D37" s="26" t="s">
        <v>54</v>
      </c>
      <c r="E37" s="7">
        <v>67</v>
      </c>
      <c r="F37" s="8" t="s">
        <v>20</v>
      </c>
      <c r="G37" s="8" t="s">
        <v>20</v>
      </c>
      <c r="H37" s="8">
        <f>840000*117/100</f>
        <v>982800</v>
      </c>
      <c r="I37" s="8">
        <f t="shared" si="6"/>
        <v>982800</v>
      </c>
      <c r="J37" s="26" t="s">
        <v>16</v>
      </c>
      <c r="K37" s="272"/>
      <c r="L37" s="286"/>
      <c r="M37" s="270"/>
    </row>
    <row r="38" spans="1:13" ht="14.25" customHeight="1" x14ac:dyDescent="0.25">
      <c r="A38" s="260"/>
      <c r="B38" s="248"/>
      <c r="C38" s="249"/>
      <c r="D38" s="249"/>
      <c r="E38" s="249"/>
      <c r="F38" s="249"/>
      <c r="G38" s="249"/>
      <c r="H38" s="249"/>
      <c r="I38" s="249"/>
      <c r="J38" s="249"/>
      <c r="K38" s="249"/>
      <c r="L38" s="249"/>
      <c r="M38" s="250"/>
    </row>
    <row r="39" spans="1:13" ht="15.6" x14ac:dyDescent="0.25">
      <c r="A39" s="251" t="s">
        <v>65</v>
      </c>
      <c r="B39" s="252"/>
      <c r="C39" s="252"/>
      <c r="D39" s="252"/>
      <c r="E39" s="252"/>
      <c r="F39" s="252"/>
      <c r="G39" s="252"/>
      <c r="H39" s="252"/>
      <c r="I39" s="252"/>
      <c r="J39" s="252"/>
      <c r="K39" s="252"/>
      <c r="L39" s="252"/>
      <c r="M39" s="253"/>
    </row>
    <row r="40" spans="1:13" ht="25.5" customHeight="1" x14ac:dyDescent="0.25">
      <c r="A40" s="264">
        <v>5</v>
      </c>
      <c r="B40" s="265" t="s">
        <v>68</v>
      </c>
      <c r="C40" s="265" t="s">
        <v>19</v>
      </c>
      <c r="D40" s="17" t="s">
        <v>69</v>
      </c>
      <c r="E40" s="23">
        <v>100</v>
      </c>
      <c r="F40" s="24" t="s">
        <v>17</v>
      </c>
      <c r="G40" s="24"/>
      <c r="H40" s="25">
        <v>3.3000000000000002E-2</v>
      </c>
      <c r="I40" s="24"/>
      <c r="J40" s="17" t="s">
        <v>16</v>
      </c>
      <c r="K40" s="271" t="s">
        <v>76</v>
      </c>
      <c r="L40" s="284"/>
      <c r="M40" s="267">
        <v>253009</v>
      </c>
    </row>
    <row r="41" spans="1:13" ht="26.4" x14ac:dyDescent="0.25">
      <c r="A41" s="259"/>
      <c r="B41" s="261"/>
      <c r="C41" s="261"/>
      <c r="D41" s="17" t="s">
        <v>70</v>
      </c>
      <c r="E41" s="18">
        <v>98</v>
      </c>
      <c r="F41" s="24" t="s">
        <v>17</v>
      </c>
      <c r="G41" s="24"/>
      <c r="H41" s="25">
        <v>3.4000000000000002E-2</v>
      </c>
      <c r="I41" s="24"/>
      <c r="J41" s="17" t="s">
        <v>16</v>
      </c>
      <c r="K41" s="262"/>
      <c r="L41" s="285"/>
      <c r="M41" s="247"/>
    </row>
    <row r="42" spans="1:13" ht="26.4" x14ac:dyDescent="0.25">
      <c r="A42" s="259"/>
      <c r="B42" s="261"/>
      <c r="C42" s="261"/>
      <c r="D42" s="17" t="s">
        <v>71</v>
      </c>
      <c r="E42" s="18">
        <v>96</v>
      </c>
      <c r="F42" s="24" t="s">
        <v>17</v>
      </c>
      <c r="G42" s="24"/>
      <c r="H42" s="25">
        <v>3.5000000000000003E-2</v>
      </c>
      <c r="I42" s="24"/>
      <c r="J42" s="17" t="s">
        <v>16</v>
      </c>
      <c r="K42" s="262"/>
      <c r="L42" s="285"/>
      <c r="M42" s="247"/>
    </row>
    <row r="43" spans="1:13" ht="26.4" x14ac:dyDescent="0.25">
      <c r="A43" s="259"/>
      <c r="B43" s="261"/>
      <c r="C43" s="261"/>
      <c r="D43" s="17" t="s">
        <v>72</v>
      </c>
      <c r="E43" s="18">
        <v>96</v>
      </c>
      <c r="F43" s="24" t="s">
        <v>17</v>
      </c>
      <c r="G43" s="24"/>
      <c r="H43" s="25">
        <v>3.5000000000000003E-2</v>
      </c>
      <c r="I43" s="24"/>
      <c r="J43" s="17" t="s">
        <v>16</v>
      </c>
      <c r="K43" s="262"/>
      <c r="L43" s="285"/>
      <c r="M43" s="247"/>
    </row>
    <row r="44" spans="1:13" ht="26.4" x14ac:dyDescent="0.25">
      <c r="A44" s="259"/>
      <c r="B44" s="261"/>
      <c r="C44" s="261"/>
      <c r="D44" s="26" t="s">
        <v>73</v>
      </c>
      <c r="E44" s="7">
        <v>76</v>
      </c>
      <c r="F44" s="16" t="s">
        <v>17</v>
      </c>
      <c r="G44" s="16"/>
      <c r="H44" s="20">
        <v>0.05</v>
      </c>
      <c r="I44" s="16"/>
      <c r="J44" s="26" t="s">
        <v>16</v>
      </c>
      <c r="K44" s="262"/>
      <c r="L44" s="285"/>
      <c r="M44" s="247"/>
    </row>
    <row r="45" spans="1:13" ht="26.4" x14ac:dyDescent="0.25">
      <c r="A45" s="259"/>
      <c r="B45" s="268"/>
      <c r="C45" s="268"/>
      <c r="D45" s="26" t="s">
        <v>74</v>
      </c>
      <c r="E45" s="7">
        <v>76</v>
      </c>
      <c r="F45" s="16" t="s">
        <v>17</v>
      </c>
      <c r="G45" s="16"/>
      <c r="H45" s="20">
        <v>0.05</v>
      </c>
      <c r="I45" s="16"/>
      <c r="J45" s="26"/>
      <c r="K45" s="272"/>
      <c r="L45" s="286"/>
      <c r="M45" s="270"/>
    </row>
    <row r="46" spans="1:13" ht="14.25" customHeight="1" x14ac:dyDescent="0.25">
      <c r="A46" s="260"/>
      <c r="B46" s="248" t="s">
        <v>75</v>
      </c>
      <c r="C46" s="249"/>
      <c r="D46" s="249"/>
      <c r="E46" s="249"/>
      <c r="F46" s="249"/>
      <c r="G46" s="249"/>
      <c r="H46" s="249"/>
      <c r="I46" s="249"/>
      <c r="J46" s="249"/>
      <c r="K46" s="249"/>
      <c r="L46" s="249"/>
      <c r="M46" s="250"/>
    </row>
  </sheetData>
  <mergeCells count="46">
    <mergeCell ref="K8:K12"/>
    <mergeCell ref="M31:M37"/>
    <mergeCell ref="M8:M12"/>
    <mergeCell ref="B13:M13"/>
    <mergeCell ref="A1:A6"/>
    <mergeCell ref="B1:M1"/>
    <mergeCell ref="B2:M2"/>
    <mergeCell ref="B3:M3"/>
    <mergeCell ref="B4:M4"/>
    <mergeCell ref="B5:M5"/>
    <mergeCell ref="A7:M7"/>
    <mergeCell ref="A8:A13"/>
    <mergeCell ref="B8:B12"/>
    <mergeCell ref="C8:C12"/>
    <mergeCell ref="L8:L12"/>
    <mergeCell ref="A30:M30"/>
    <mergeCell ref="B38:M38"/>
    <mergeCell ref="A23:M23"/>
    <mergeCell ref="A24:A29"/>
    <mergeCell ref="B24:B28"/>
    <mergeCell ref="C24:C28"/>
    <mergeCell ref="K24:K28"/>
    <mergeCell ref="L24:L28"/>
    <mergeCell ref="M24:M28"/>
    <mergeCell ref="B29:M29"/>
    <mergeCell ref="A31:A38"/>
    <mergeCell ref="B31:B37"/>
    <mergeCell ref="C31:C37"/>
    <mergeCell ref="K31:K37"/>
    <mergeCell ref="L31:L37"/>
    <mergeCell ref="A15:A22"/>
    <mergeCell ref="A14:M14"/>
    <mergeCell ref="A39:M39"/>
    <mergeCell ref="A40:A46"/>
    <mergeCell ref="B40:B45"/>
    <mergeCell ref="C40:C45"/>
    <mergeCell ref="K40:K45"/>
    <mergeCell ref="L40:L45"/>
    <mergeCell ref="M40:M45"/>
    <mergeCell ref="B46:M46"/>
    <mergeCell ref="B22:M22"/>
    <mergeCell ref="M15:M21"/>
    <mergeCell ref="L15:L21"/>
    <mergeCell ref="K15:K21"/>
    <mergeCell ref="C15:C21"/>
    <mergeCell ref="B15:B21"/>
  </mergeCells>
  <pageMargins left="0.7" right="0.7" top="0.75" bottom="0.75" header="0.3" footer="0.3"/>
  <pageSetup paperSize="9" scale="74"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77"/>
  <sheetViews>
    <sheetView rightToLeft="1" zoomScaleNormal="100" zoomScaleSheetLayoutView="75" workbookViewId="0">
      <pane ySplit="6" topLeftCell="A42" activePane="bottomLeft" state="frozen"/>
      <selection pane="bottomLeft" activeCell="H46" sqref="H46"/>
    </sheetView>
  </sheetViews>
  <sheetFormatPr defaultColWidth="8.69921875" defaultRowHeight="15" x14ac:dyDescent="0.25"/>
  <cols>
    <col min="1" max="1" width="4.19921875" customWidth="1"/>
    <col min="2" max="2" width="21.09765625" style="10" bestFit="1" customWidth="1"/>
    <col min="4" max="4" width="10.19921875" customWidth="1"/>
    <col min="5" max="5" width="7.69921875" customWidth="1"/>
    <col min="6" max="6" width="10.19921875" bestFit="1" customWidth="1"/>
    <col min="7" max="7" width="12.09765625" style="11" bestFit="1" customWidth="1"/>
    <col min="8" max="8" width="13.59765625" style="12" bestFit="1" customWidth="1"/>
    <col min="9" max="9" width="14.59765625" style="12" bestFit="1" customWidth="1"/>
    <col min="10" max="10" width="9" customWidth="1"/>
    <col min="11" max="11" width="23.59765625" style="13" customWidth="1"/>
    <col min="12" max="12" width="13.5" style="14" customWidth="1"/>
    <col min="13" max="13" width="16.5" style="15" customWidth="1"/>
  </cols>
  <sheetData>
    <row r="1" spans="1:13" ht="21" x14ac:dyDescent="0.25">
      <c r="A1" s="254"/>
      <c r="B1" s="255" t="s">
        <v>47</v>
      </c>
      <c r="C1" s="255"/>
      <c r="D1" s="255"/>
      <c r="E1" s="255"/>
      <c r="F1" s="255"/>
      <c r="G1" s="255"/>
      <c r="H1" s="255"/>
      <c r="I1" s="255"/>
      <c r="J1" s="255"/>
      <c r="K1" s="255"/>
      <c r="L1" s="255"/>
      <c r="M1" s="255"/>
    </row>
    <row r="2" spans="1:13" ht="29.4" customHeight="1" x14ac:dyDescent="0.25">
      <c r="A2" s="254"/>
      <c r="B2" s="256" t="s">
        <v>79</v>
      </c>
      <c r="C2" s="256"/>
      <c r="D2" s="256"/>
      <c r="E2" s="256"/>
      <c r="F2" s="256"/>
      <c r="G2" s="256"/>
      <c r="H2" s="256"/>
      <c r="I2" s="256"/>
      <c r="J2" s="256"/>
      <c r="K2" s="256"/>
      <c r="L2" s="256"/>
      <c r="M2" s="256"/>
    </row>
    <row r="3" spans="1:13" ht="15.6" x14ac:dyDescent="0.25">
      <c r="A3" s="254"/>
      <c r="B3" s="257" t="s">
        <v>78</v>
      </c>
      <c r="C3" s="257"/>
      <c r="D3" s="257"/>
      <c r="E3" s="257"/>
      <c r="F3" s="257"/>
      <c r="G3" s="257"/>
      <c r="H3" s="257"/>
      <c r="I3" s="257"/>
      <c r="J3" s="257"/>
      <c r="K3" s="257"/>
      <c r="L3" s="257"/>
      <c r="M3" s="257"/>
    </row>
    <row r="4" spans="1:13" ht="13.8" x14ac:dyDescent="0.25">
      <c r="A4" s="254"/>
      <c r="B4" s="258" t="s">
        <v>2</v>
      </c>
      <c r="C4" s="258"/>
      <c r="D4" s="258"/>
      <c r="E4" s="258"/>
      <c r="F4" s="258"/>
      <c r="G4" s="258"/>
      <c r="H4" s="258"/>
      <c r="I4" s="258"/>
      <c r="J4" s="258"/>
      <c r="K4" s="258"/>
      <c r="L4" s="258"/>
      <c r="M4" s="258"/>
    </row>
    <row r="5" spans="1:13" ht="13.8" x14ac:dyDescent="0.25">
      <c r="A5" s="254"/>
      <c r="B5" s="258"/>
      <c r="C5" s="258"/>
      <c r="D5" s="258"/>
      <c r="E5" s="258"/>
      <c r="F5" s="258"/>
      <c r="G5" s="258"/>
      <c r="H5" s="258"/>
      <c r="I5" s="258"/>
      <c r="J5" s="258"/>
      <c r="K5" s="258"/>
      <c r="L5" s="258"/>
      <c r="M5" s="258"/>
    </row>
    <row r="6" spans="1:13" ht="46.8" x14ac:dyDescent="0.25">
      <c r="A6" s="254"/>
      <c r="B6" s="1" t="s">
        <v>3</v>
      </c>
      <c r="C6" s="2" t="s">
        <v>4</v>
      </c>
      <c r="D6" s="3" t="s">
        <v>5</v>
      </c>
      <c r="E6" s="3" t="s">
        <v>6</v>
      </c>
      <c r="F6" s="3" t="s">
        <v>7</v>
      </c>
      <c r="G6" s="3" t="s">
        <v>8</v>
      </c>
      <c r="H6" s="4" t="s">
        <v>9</v>
      </c>
      <c r="I6" s="5" t="s">
        <v>10</v>
      </c>
      <c r="J6" s="3" t="s">
        <v>11</v>
      </c>
      <c r="K6" s="3" t="s">
        <v>12</v>
      </c>
      <c r="L6" s="6" t="s">
        <v>13</v>
      </c>
      <c r="M6" s="3" t="s">
        <v>14</v>
      </c>
    </row>
    <row r="7" spans="1:13" ht="15.6" x14ac:dyDescent="0.25">
      <c r="A7" s="251" t="s">
        <v>23</v>
      </c>
      <c r="B7" s="252"/>
      <c r="C7" s="252"/>
      <c r="D7" s="252"/>
      <c r="E7" s="252"/>
      <c r="F7" s="252"/>
      <c r="G7" s="252"/>
      <c r="H7" s="252"/>
      <c r="I7" s="252"/>
      <c r="J7" s="252"/>
      <c r="K7" s="252"/>
      <c r="L7" s="252"/>
      <c r="M7" s="253"/>
    </row>
    <row r="8" spans="1:13" ht="20.399999999999999" x14ac:dyDescent="0.25">
      <c r="A8" s="259">
        <v>1</v>
      </c>
      <c r="B8" s="261" t="s">
        <v>242</v>
      </c>
      <c r="C8" s="261" t="s">
        <v>18</v>
      </c>
      <c r="D8" s="64" t="s">
        <v>243</v>
      </c>
      <c r="E8" s="65">
        <v>100</v>
      </c>
      <c r="F8" s="66" t="s">
        <v>20</v>
      </c>
      <c r="G8" s="66" t="s">
        <v>20</v>
      </c>
      <c r="H8" s="66">
        <f>65000*117/100</f>
        <v>76050</v>
      </c>
      <c r="I8" s="66">
        <f>65000*117/100</f>
        <v>76050</v>
      </c>
      <c r="J8" s="67" t="s">
        <v>16</v>
      </c>
      <c r="K8" s="262" t="s">
        <v>244</v>
      </c>
      <c r="L8" s="263" t="s">
        <v>48</v>
      </c>
      <c r="M8" s="247" t="s">
        <v>245</v>
      </c>
    </row>
    <row r="9" spans="1:13" ht="26.4" x14ac:dyDescent="0.25">
      <c r="A9" s="259"/>
      <c r="B9" s="261"/>
      <c r="C9" s="261"/>
      <c r="D9" s="50" t="s">
        <v>246</v>
      </c>
      <c r="E9" s="7">
        <v>96</v>
      </c>
      <c r="F9" s="8" t="s">
        <v>20</v>
      </c>
      <c r="G9" s="8" t="s">
        <v>20</v>
      </c>
      <c r="H9" s="8">
        <f>68000*117/100</f>
        <v>79560</v>
      </c>
      <c r="I9" s="8">
        <f>68000*117/100</f>
        <v>79560</v>
      </c>
      <c r="J9" s="50" t="s">
        <v>16</v>
      </c>
      <c r="K9" s="262"/>
      <c r="L9" s="263"/>
      <c r="M9" s="247"/>
    </row>
    <row r="10" spans="1:13" ht="39.6" x14ac:dyDescent="0.25">
      <c r="A10" s="259"/>
      <c r="B10" s="261"/>
      <c r="C10" s="261"/>
      <c r="D10" s="50" t="s">
        <v>247</v>
      </c>
      <c r="E10" s="7">
        <v>86</v>
      </c>
      <c r="F10" s="8" t="s">
        <v>20</v>
      </c>
      <c r="G10" s="8" t="s">
        <v>20</v>
      </c>
      <c r="H10" s="8">
        <f>81725*117/100</f>
        <v>95618.25</v>
      </c>
      <c r="I10" s="8">
        <f>81725*117/100</f>
        <v>95618.25</v>
      </c>
      <c r="J10" s="50" t="s">
        <v>16</v>
      </c>
      <c r="K10" s="262"/>
      <c r="L10" s="263"/>
      <c r="M10" s="247"/>
    </row>
    <row r="11" spans="1:13" ht="13.8" x14ac:dyDescent="0.25">
      <c r="A11" s="259"/>
      <c r="B11" s="261"/>
      <c r="C11" s="261"/>
      <c r="D11" s="50" t="s">
        <v>248</v>
      </c>
      <c r="E11" s="7">
        <v>85</v>
      </c>
      <c r="F11" s="8" t="s">
        <v>20</v>
      </c>
      <c r="G11" s="8" t="s">
        <v>20</v>
      </c>
      <c r="H11" s="8">
        <f>82469*117/100</f>
        <v>96488.73</v>
      </c>
      <c r="I11" s="8">
        <f>82469*117/100</f>
        <v>96488.73</v>
      </c>
      <c r="J11" s="50" t="s">
        <v>16</v>
      </c>
      <c r="K11" s="262"/>
      <c r="L11" s="263"/>
      <c r="M11" s="247"/>
    </row>
    <row r="12" spans="1:13" ht="26.4" x14ac:dyDescent="0.25">
      <c r="A12" s="259"/>
      <c r="B12" s="261"/>
      <c r="C12" s="261"/>
      <c r="D12" s="50" t="s">
        <v>249</v>
      </c>
      <c r="E12" s="7">
        <v>61</v>
      </c>
      <c r="F12" s="8" t="s">
        <v>20</v>
      </c>
      <c r="G12" s="8" t="s">
        <v>20</v>
      </c>
      <c r="H12" s="8">
        <f>142760*117/100</f>
        <v>167029.20000000001</v>
      </c>
      <c r="I12" s="8">
        <f>142760*117/100</f>
        <v>167029.20000000001</v>
      </c>
      <c r="J12" s="50" t="s">
        <v>16</v>
      </c>
      <c r="K12" s="262"/>
      <c r="L12" s="263"/>
      <c r="M12" s="247"/>
    </row>
    <row r="13" spans="1:13" ht="13.8" x14ac:dyDescent="0.25">
      <c r="A13" s="260"/>
      <c r="B13" s="248" t="s">
        <v>250</v>
      </c>
      <c r="C13" s="249"/>
      <c r="D13" s="249"/>
      <c r="E13" s="249"/>
      <c r="F13" s="249"/>
      <c r="G13" s="249"/>
      <c r="H13" s="249"/>
      <c r="I13" s="249"/>
      <c r="J13" s="249"/>
      <c r="K13" s="249"/>
      <c r="L13" s="249"/>
      <c r="M13" s="250"/>
    </row>
    <row r="14" spans="1:13" ht="15.6" x14ac:dyDescent="0.25">
      <c r="A14" s="251" t="s">
        <v>24</v>
      </c>
      <c r="B14" s="252"/>
      <c r="C14" s="252"/>
      <c r="D14" s="252"/>
      <c r="E14" s="252"/>
      <c r="F14" s="252"/>
      <c r="G14" s="252"/>
      <c r="H14" s="252"/>
      <c r="I14" s="252"/>
      <c r="J14" s="252"/>
      <c r="K14" s="252"/>
      <c r="L14" s="252"/>
      <c r="M14" s="253"/>
    </row>
    <row r="15" spans="1:13" ht="92.4" x14ac:dyDescent="0.25">
      <c r="A15" s="264">
        <v>2</v>
      </c>
      <c r="B15" s="58" t="s">
        <v>251</v>
      </c>
      <c r="C15" s="58" t="s">
        <v>252</v>
      </c>
      <c r="D15" s="22" t="s">
        <v>253</v>
      </c>
      <c r="E15" s="23">
        <v>100</v>
      </c>
      <c r="F15" s="24" t="s">
        <v>17</v>
      </c>
      <c r="G15" s="24"/>
      <c r="H15" s="24"/>
      <c r="I15" s="24" t="s">
        <v>254</v>
      </c>
      <c r="J15" s="22" t="s">
        <v>16</v>
      </c>
      <c r="K15" s="59" t="s">
        <v>46</v>
      </c>
      <c r="L15" s="52" t="s">
        <v>48</v>
      </c>
      <c r="M15" s="61"/>
    </row>
    <row r="16" spans="1:13" ht="14.25" customHeight="1" x14ac:dyDescent="0.25">
      <c r="A16" s="260"/>
      <c r="B16" s="248" t="s">
        <v>255</v>
      </c>
      <c r="C16" s="249"/>
      <c r="D16" s="249"/>
      <c r="E16" s="249"/>
      <c r="F16" s="249"/>
      <c r="G16" s="249"/>
      <c r="H16" s="249"/>
      <c r="I16" s="249"/>
      <c r="J16" s="249"/>
      <c r="K16" s="249"/>
      <c r="L16" s="249"/>
      <c r="M16" s="250"/>
    </row>
    <row r="17" spans="1:13" ht="15.6" x14ac:dyDescent="0.25">
      <c r="A17" s="251" t="s">
        <v>256</v>
      </c>
      <c r="B17" s="252"/>
      <c r="C17" s="252"/>
      <c r="D17" s="252"/>
      <c r="E17" s="252"/>
      <c r="F17" s="252"/>
      <c r="G17" s="252"/>
      <c r="H17" s="252"/>
      <c r="I17" s="252"/>
      <c r="J17" s="252"/>
      <c r="K17" s="252"/>
      <c r="L17" s="252"/>
      <c r="M17" s="253"/>
    </row>
    <row r="18" spans="1:13" ht="39.6" x14ac:dyDescent="0.25">
      <c r="A18" s="259">
        <v>3</v>
      </c>
      <c r="B18" s="261" t="s">
        <v>257</v>
      </c>
      <c r="C18" s="261" t="s">
        <v>258</v>
      </c>
      <c r="D18" s="22" t="s">
        <v>259</v>
      </c>
      <c r="E18" s="23">
        <v>100</v>
      </c>
      <c r="F18" s="24" t="s">
        <v>15</v>
      </c>
      <c r="G18" s="24" t="s">
        <v>260</v>
      </c>
      <c r="H18" s="24">
        <f>139*117/100</f>
        <v>162.63</v>
      </c>
      <c r="I18" s="24">
        <f>H18*250</f>
        <v>40657.5</v>
      </c>
      <c r="J18" s="22" t="s">
        <v>16</v>
      </c>
      <c r="K18" s="262" t="s">
        <v>261</v>
      </c>
      <c r="L18" s="263" t="s">
        <v>48</v>
      </c>
      <c r="M18" s="247">
        <v>1811000786</v>
      </c>
    </row>
    <row r="19" spans="1:13" ht="39.6" x14ac:dyDescent="0.25">
      <c r="A19" s="259"/>
      <c r="B19" s="261"/>
      <c r="C19" s="261"/>
      <c r="D19" s="50" t="s">
        <v>262</v>
      </c>
      <c r="E19" s="7">
        <v>95</v>
      </c>
      <c r="F19" s="68" t="s">
        <v>15</v>
      </c>
      <c r="G19" s="68" t="s">
        <v>260</v>
      </c>
      <c r="H19" s="8">
        <f>150*117/100</f>
        <v>175.5</v>
      </c>
      <c r="I19" s="8">
        <f>H19*250</f>
        <v>43875</v>
      </c>
      <c r="J19" s="50" t="s">
        <v>16</v>
      </c>
      <c r="K19" s="262"/>
      <c r="L19" s="263"/>
      <c r="M19" s="247"/>
    </row>
    <row r="20" spans="1:13" ht="39.6" x14ac:dyDescent="0.25">
      <c r="A20" s="259"/>
      <c r="B20" s="261"/>
      <c r="C20" s="261"/>
      <c r="D20" s="50" t="s">
        <v>263</v>
      </c>
      <c r="E20" s="7">
        <v>95</v>
      </c>
      <c r="F20" s="68" t="s">
        <v>15</v>
      </c>
      <c r="G20" s="68" t="s">
        <v>260</v>
      </c>
      <c r="H20" s="8">
        <f>149*117/100</f>
        <v>174.33</v>
      </c>
      <c r="I20" s="8">
        <f>H20*250</f>
        <v>43582.5</v>
      </c>
      <c r="J20" s="50"/>
      <c r="K20" s="262"/>
      <c r="L20" s="263"/>
      <c r="M20" s="247"/>
    </row>
    <row r="21" spans="1:13" ht="39.6" x14ac:dyDescent="0.25">
      <c r="A21" s="259"/>
      <c r="B21" s="261"/>
      <c r="C21" s="261"/>
      <c r="D21" s="50" t="s">
        <v>264</v>
      </c>
      <c r="E21" s="7">
        <v>87</v>
      </c>
      <c r="F21" s="68" t="s">
        <v>15</v>
      </c>
      <c r="G21" s="68" t="s">
        <v>260</v>
      </c>
      <c r="H21" s="8">
        <f>155*117/100</f>
        <v>181.35</v>
      </c>
      <c r="I21" s="8">
        <f>H21*250</f>
        <v>45337.5</v>
      </c>
      <c r="J21" s="50" t="s">
        <v>16</v>
      </c>
      <c r="K21" s="262"/>
      <c r="L21" s="263"/>
      <c r="M21" s="247"/>
    </row>
    <row r="22" spans="1:13" ht="13.8" x14ac:dyDescent="0.25">
      <c r="A22" s="260"/>
      <c r="B22" s="248"/>
      <c r="C22" s="249"/>
      <c r="D22" s="249"/>
      <c r="E22" s="249"/>
      <c r="F22" s="249"/>
      <c r="G22" s="249"/>
      <c r="H22" s="249"/>
      <c r="I22" s="249"/>
      <c r="J22" s="249"/>
      <c r="K22" s="249"/>
      <c r="L22" s="249"/>
      <c r="M22" s="250"/>
    </row>
    <row r="23" spans="1:13" ht="15.6" x14ac:dyDescent="0.25">
      <c r="A23" s="251" t="s">
        <v>265</v>
      </c>
      <c r="B23" s="252"/>
      <c r="C23" s="252"/>
      <c r="D23" s="252"/>
      <c r="E23" s="252"/>
      <c r="F23" s="252"/>
      <c r="G23" s="252"/>
      <c r="H23" s="252"/>
      <c r="I23" s="252"/>
      <c r="J23" s="252"/>
      <c r="K23" s="252"/>
      <c r="L23" s="252"/>
      <c r="M23" s="253"/>
    </row>
    <row r="24" spans="1:13" ht="39.6" x14ac:dyDescent="0.25">
      <c r="A24" s="264">
        <v>4</v>
      </c>
      <c r="B24" s="58" t="s">
        <v>266</v>
      </c>
      <c r="C24" s="58" t="s">
        <v>267</v>
      </c>
      <c r="D24" s="22" t="s">
        <v>268</v>
      </c>
      <c r="E24" s="23">
        <v>100</v>
      </c>
      <c r="F24" s="24" t="s">
        <v>15</v>
      </c>
      <c r="G24" s="24" t="s">
        <v>269</v>
      </c>
      <c r="H24" s="24">
        <f>400*117/100</f>
        <v>468</v>
      </c>
      <c r="I24" s="24">
        <f>H24*100</f>
        <v>46800</v>
      </c>
      <c r="J24" s="22" t="s">
        <v>16</v>
      </c>
      <c r="K24" s="59" t="s">
        <v>46</v>
      </c>
      <c r="L24" s="52" t="s">
        <v>48</v>
      </c>
      <c r="M24" s="61">
        <v>161700581</v>
      </c>
    </row>
    <row r="25" spans="1:13" ht="13.8" x14ac:dyDescent="0.25">
      <c r="A25" s="260"/>
      <c r="B25" s="248" t="s">
        <v>270</v>
      </c>
      <c r="C25" s="249"/>
      <c r="D25" s="249"/>
      <c r="E25" s="249"/>
      <c r="F25" s="249"/>
      <c r="G25" s="249"/>
      <c r="H25" s="249"/>
      <c r="I25" s="249"/>
      <c r="J25" s="249"/>
      <c r="K25" s="249"/>
      <c r="L25" s="249"/>
      <c r="M25" s="250"/>
    </row>
    <row r="26" spans="1:13" ht="15.6" x14ac:dyDescent="0.25">
      <c r="A26" s="251" t="s">
        <v>25</v>
      </c>
      <c r="B26" s="252"/>
      <c r="C26" s="252"/>
      <c r="D26" s="252"/>
      <c r="E26" s="252"/>
      <c r="F26" s="252"/>
      <c r="G26" s="252"/>
      <c r="H26" s="252"/>
      <c r="I26" s="252"/>
      <c r="J26" s="252"/>
      <c r="K26" s="252"/>
      <c r="L26" s="252"/>
      <c r="M26" s="253"/>
    </row>
    <row r="27" spans="1:13" ht="52.8" x14ac:dyDescent="0.25">
      <c r="A27" s="264">
        <v>5</v>
      </c>
      <c r="B27" s="58" t="s">
        <v>271</v>
      </c>
      <c r="C27" s="58" t="s">
        <v>19</v>
      </c>
      <c r="D27" s="22" t="s">
        <v>272</v>
      </c>
      <c r="E27" s="69">
        <v>100</v>
      </c>
      <c r="F27" s="70" t="s">
        <v>20</v>
      </c>
      <c r="G27" s="70" t="s">
        <v>20</v>
      </c>
      <c r="H27" s="70">
        <f>65000*117/100</f>
        <v>76050</v>
      </c>
      <c r="I27" s="70">
        <f>H27</f>
        <v>76050</v>
      </c>
      <c r="J27" s="71" t="s">
        <v>16</v>
      </c>
      <c r="K27" s="59" t="s">
        <v>46</v>
      </c>
      <c r="L27" s="52" t="s">
        <v>48</v>
      </c>
      <c r="M27" s="61">
        <v>253009</v>
      </c>
    </row>
    <row r="28" spans="1:13" ht="14.25" customHeight="1" x14ac:dyDescent="0.25">
      <c r="A28" s="260"/>
      <c r="B28" s="248" t="s">
        <v>273</v>
      </c>
      <c r="C28" s="249"/>
      <c r="D28" s="249"/>
      <c r="E28" s="249"/>
      <c r="F28" s="249"/>
      <c r="G28" s="249"/>
      <c r="H28" s="249"/>
      <c r="I28" s="249"/>
      <c r="J28" s="249"/>
      <c r="K28" s="249"/>
      <c r="L28" s="249"/>
      <c r="M28" s="250"/>
    </row>
    <row r="29" spans="1:13" ht="15.6" x14ac:dyDescent="0.25">
      <c r="A29" s="251" t="s">
        <v>274</v>
      </c>
      <c r="B29" s="252"/>
      <c r="C29" s="252"/>
      <c r="D29" s="252"/>
      <c r="E29" s="252"/>
      <c r="F29" s="252"/>
      <c r="G29" s="252"/>
      <c r="H29" s="252"/>
      <c r="I29" s="252"/>
      <c r="J29" s="252"/>
      <c r="K29" s="252"/>
      <c r="L29" s="252"/>
      <c r="M29" s="253"/>
    </row>
    <row r="30" spans="1:13" ht="79.2" x14ac:dyDescent="0.25">
      <c r="A30" s="264">
        <v>6</v>
      </c>
      <c r="B30" s="58" t="s">
        <v>275</v>
      </c>
      <c r="C30" s="58" t="s">
        <v>22</v>
      </c>
      <c r="D30" s="22" t="s">
        <v>461</v>
      </c>
      <c r="E30" s="23">
        <v>100</v>
      </c>
      <c r="F30" s="24" t="s">
        <v>15</v>
      </c>
      <c r="G30" s="24" t="s">
        <v>269</v>
      </c>
      <c r="H30" s="24">
        <f>450*117/100</f>
        <v>526.5</v>
      </c>
      <c r="I30" s="24">
        <f>H30*100</f>
        <v>52650</v>
      </c>
      <c r="J30" s="22" t="s">
        <v>16</v>
      </c>
      <c r="K30" s="59" t="s">
        <v>276</v>
      </c>
      <c r="L30" s="52" t="s">
        <v>48</v>
      </c>
      <c r="M30" s="61">
        <v>1623000581</v>
      </c>
    </row>
    <row r="31" spans="1:13" ht="29.25" customHeight="1" x14ac:dyDescent="0.25">
      <c r="A31" s="260"/>
      <c r="B31" s="248" t="s">
        <v>277</v>
      </c>
      <c r="C31" s="249"/>
      <c r="D31" s="249"/>
      <c r="E31" s="249"/>
      <c r="F31" s="249"/>
      <c r="G31" s="249"/>
      <c r="H31" s="249"/>
      <c r="I31" s="249"/>
      <c r="J31" s="249"/>
      <c r="K31" s="249"/>
      <c r="L31" s="249"/>
      <c r="M31" s="250"/>
    </row>
    <row r="32" spans="1:13" ht="15.6" x14ac:dyDescent="0.25">
      <c r="A32" s="251" t="s">
        <v>278</v>
      </c>
      <c r="B32" s="252"/>
      <c r="C32" s="252"/>
      <c r="D32" s="252"/>
      <c r="E32" s="252"/>
      <c r="F32" s="252"/>
      <c r="G32" s="252"/>
      <c r="H32" s="252"/>
      <c r="I32" s="252"/>
      <c r="J32" s="252"/>
      <c r="K32" s="252"/>
      <c r="L32" s="252"/>
      <c r="M32" s="253"/>
    </row>
    <row r="33" spans="1:13" ht="79.2" x14ac:dyDescent="0.25">
      <c r="A33" s="264">
        <v>7</v>
      </c>
      <c r="B33" s="58" t="s">
        <v>279</v>
      </c>
      <c r="C33" s="58" t="s">
        <v>22</v>
      </c>
      <c r="D33" s="22" t="s">
        <v>280</v>
      </c>
      <c r="E33" s="23">
        <v>100</v>
      </c>
      <c r="F33" s="24" t="s">
        <v>20</v>
      </c>
      <c r="G33" s="24">
        <v>150000</v>
      </c>
      <c r="H33" s="24">
        <v>150000</v>
      </c>
      <c r="I33" s="24">
        <v>150000</v>
      </c>
      <c r="J33" s="22" t="s">
        <v>16</v>
      </c>
      <c r="K33" s="59" t="s">
        <v>281</v>
      </c>
      <c r="L33" s="60" t="s">
        <v>48</v>
      </c>
      <c r="M33" s="61">
        <v>2710032755</v>
      </c>
    </row>
    <row r="34" spans="1:13" ht="24" customHeight="1" x14ac:dyDescent="0.25">
      <c r="A34" s="260"/>
      <c r="B34" s="248" t="s">
        <v>282</v>
      </c>
      <c r="C34" s="249"/>
      <c r="D34" s="249"/>
      <c r="E34" s="249"/>
      <c r="F34" s="249"/>
      <c r="G34" s="249"/>
      <c r="H34" s="249"/>
      <c r="I34" s="249"/>
      <c r="J34" s="249"/>
      <c r="K34" s="249"/>
      <c r="L34" s="249"/>
      <c r="M34" s="250"/>
    </row>
    <row r="35" spans="1:13" ht="15.6" x14ac:dyDescent="0.25">
      <c r="A35" s="251" t="s">
        <v>283</v>
      </c>
      <c r="B35" s="252"/>
      <c r="C35" s="252"/>
      <c r="D35" s="252"/>
      <c r="E35" s="252"/>
      <c r="F35" s="252"/>
      <c r="G35" s="252"/>
      <c r="H35" s="252"/>
      <c r="I35" s="252"/>
      <c r="J35" s="252"/>
      <c r="K35" s="252"/>
      <c r="L35" s="252"/>
      <c r="M35" s="253"/>
    </row>
    <row r="36" spans="1:13" ht="79.2" x14ac:dyDescent="0.25">
      <c r="A36" s="259">
        <v>8</v>
      </c>
      <c r="B36" s="58" t="s">
        <v>279</v>
      </c>
      <c r="C36" s="58" t="s">
        <v>22</v>
      </c>
      <c r="D36" s="22" t="s">
        <v>284</v>
      </c>
      <c r="E36" s="23">
        <v>100</v>
      </c>
      <c r="F36" s="24" t="s">
        <v>20</v>
      </c>
      <c r="G36" s="24">
        <v>100000</v>
      </c>
      <c r="H36" s="24">
        <v>100000</v>
      </c>
      <c r="I36" s="24">
        <v>100000</v>
      </c>
      <c r="J36" s="22"/>
      <c r="K36" s="56" t="s">
        <v>281</v>
      </c>
      <c r="L36" s="60" t="s">
        <v>48</v>
      </c>
      <c r="M36" s="57"/>
    </row>
    <row r="37" spans="1:13" ht="24" customHeight="1" x14ac:dyDescent="0.25">
      <c r="A37" s="260"/>
      <c r="B37" s="248" t="s">
        <v>282</v>
      </c>
      <c r="C37" s="249"/>
      <c r="D37" s="249"/>
      <c r="E37" s="249"/>
      <c r="F37" s="249"/>
      <c r="G37" s="249"/>
      <c r="H37" s="249"/>
      <c r="I37" s="249"/>
      <c r="J37" s="249"/>
      <c r="K37" s="249"/>
      <c r="L37" s="249"/>
      <c r="M37" s="250"/>
    </row>
    <row r="38" spans="1:13" ht="15.6" x14ac:dyDescent="0.25">
      <c r="A38" s="251" t="s">
        <v>285</v>
      </c>
      <c r="B38" s="252"/>
      <c r="C38" s="252"/>
      <c r="D38" s="252"/>
      <c r="E38" s="252"/>
      <c r="F38" s="252"/>
      <c r="G38" s="252"/>
      <c r="H38" s="252"/>
      <c r="I38" s="252"/>
      <c r="J38" s="252"/>
      <c r="K38" s="252"/>
      <c r="L38" s="252"/>
      <c r="M38" s="253"/>
    </row>
    <row r="39" spans="1:13" ht="13.8" x14ac:dyDescent="0.25">
      <c r="A39" s="259">
        <v>9</v>
      </c>
      <c r="B39" s="261" t="s">
        <v>286</v>
      </c>
      <c r="C39" s="261" t="s">
        <v>18</v>
      </c>
      <c r="D39" s="22" t="s">
        <v>287</v>
      </c>
      <c r="E39" s="23">
        <v>100</v>
      </c>
      <c r="F39" s="24" t="s">
        <v>20</v>
      </c>
      <c r="G39" s="24" t="s">
        <v>20</v>
      </c>
      <c r="H39" s="24">
        <f>40280*117/100</f>
        <v>47127.6</v>
      </c>
      <c r="I39" s="24">
        <f>40280*117/100</f>
        <v>47127.6</v>
      </c>
      <c r="J39" s="22" t="s">
        <v>16</v>
      </c>
      <c r="K39" s="262" t="s">
        <v>45</v>
      </c>
      <c r="L39" s="263" t="s">
        <v>48</v>
      </c>
      <c r="M39" s="247" t="s">
        <v>288</v>
      </c>
    </row>
    <row r="40" spans="1:13" ht="13.8" x14ac:dyDescent="0.25">
      <c r="A40" s="259"/>
      <c r="B40" s="261"/>
      <c r="C40" s="261"/>
      <c r="D40" s="50" t="s">
        <v>248</v>
      </c>
      <c r="E40" s="7">
        <v>84</v>
      </c>
      <c r="F40" s="8" t="s">
        <v>20</v>
      </c>
      <c r="G40" s="8" t="s">
        <v>20</v>
      </c>
      <c r="H40" s="8">
        <f>52200*117/100</f>
        <v>61074</v>
      </c>
      <c r="I40" s="8">
        <f>52200*117/100</f>
        <v>61074</v>
      </c>
      <c r="J40" s="50" t="s">
        <v>16</v>
      </c>
      <c r="K40" s="262"/>
      <c r="L40" s="263"/>
      <c r="M40" s="247"/>
    </row>
    <row r="41" spans="1:13" ht="13.8" x14ac:dyDescent="0.25">
      <c r="A41" s="259"/>
      <c r="B41" s="261"/>
      <c r="C41" s="261"/>
      <c r="D41" s="50" t="s">
        <v>289</v>
      </c>
      <c r="E41" s="7">
        <v>68</v>
      </c>
      <c r="F41" s="8" t="s">
        <v>20</v>
      </c>
      <c r="G41" s="8" t="s">
        <v>20</v>
      </c>
      <c r="H41" s="8">
        <f>74238*117/100</f>
        <v>86858.46</v>
      </c>
      <c r="I41" s="8">
        <f>74238*117/100</f>
        <v>86858.46</v>
      </c>
      <c r="J41" s="50" t="s">
        <v>16</v>
      </c>
      <c r="K41" s="262"/>
      <c r="L41" s="263"/>
      <c r="M41" s="247"/>
    </row>
    <row r="42" spans="1:13" ht="13.8" x14ac:dyDescent="0.25">
      <c r="A42" s="259"/>
      <c r="B42" s="261"/>
      <c r="C42" s="261"/>
      <c r="D42" s="50" t="s">
        <v>290</v>
      </c>
      <c r="E42" s="7">
        <v>64</v>
      </c>
      <c r="F42" s="8" t="s">
        <v>20</v>
      </c>
      <c r="G42" s="8" t="s">
        <v>20</v>
      </c>
      <c r="H42" s="8">
        <f>82934*117/100</f>
        <v>97032.78</v>
      </c>
      <c r="I42" s="8">
        <f>82934*117/100</f>
        <v>97032.78</v>
      </c>
      <c r="J42" s="50" t="s">
        <v>16</v>
      </c>
      <c r="K42" s="262"/>
      <c r="L42" s="263"/>
      <c r="M42" s="247"/>
    </row>
    <row r="43" spans="1:13" ht="13.8" x14ac:dyDescent="0.25">
      <c r="A43" s="260"/>
      <c r="B43" s="248"/>
      <c r="C43" s="249"/>
      <c r="D43" s="249"/>
      <c r="E43" s="249"/>
      <c r="F43" s="249"/>
      <c r="G43" s="249"/>
      <c r="H43" s="249"/>
      <c r="I43" s="249"/>
      <c r="J43" s="249"/>
      <c r="K43" s="249"/>
      <c r="L43" s="249"/>
      <c r="M43" s="250"/>
    </row>
    <row r="44" spans="1:13" ht="15.6" x14ac:dyDescent="0.25">
      <c r="A44" s="251" t="s">
        <v>291</v>
      </c>
      <c r="B44" s="252"/>
      <c r="C44" s="252"/>
      <c r="D44" s="252"/>
      <c r="E44" s="252"/>
      <c r="F44" s="252"/>
      <c r="G44" s="252"/>
      <c r="H44" s="252"/>
      <c r="I44" s="252"/>
      <c r="J44" s="252"/>
      <c r="K44" s="252"/>
      <c r="L44" s="252"/>
      <c r="M44" s="253"/>
    </row>
    <row r="45" spans="1:13" ht="22.5" customHeight="1" x14ac:dyDescent="0.25">
      <c r="A45" s="259">
        <v>10</v>
      </c>
      <c r="B45" s="261" t="s">
        <v>292</v>
      </c>
      <c r="C45" s="261" t="s">
        <v>293</v>
      </c>
      <c r="D45" s="22" t="s">
        <v>294</v>
      </c>
      <c r="E45" s="23">
        <v>100</v>
      </c>
      <c r="F45" s="24" t="s">
        <v>15</v>
      </c>
      <c r="G45" s="24" t="s">
        <v>295</v>
      </c>
      <c r="H45" s="24">
        <f>120</f>
        <v>120</v>
      </c>
      <c r="I45" s="24">
        <f>H45*50*11</f>
        <v>66000</v>
      </c>
      <c r="J45" s="22"/>
      <c r="K45" s="262" t="s">
        <v>45</v>
      </c>
      <c r="L45" s="263" t="s">
        <v>48</v>
      </c>
      <c r="M45" s="247">
        <v>1829300783</v>
      </c>
    </row>
    <row r="46" spans="1:13" ht="27.75" customHeight="1" x14ac:dyDescent="0.25">
      <c r="A46" s="259"/>
      <c r="B46" s="261"/>
      <c r="C46" s="261"/>
      <c r="D46" s="50" t="s">
        <v>296</v>
      </c>
      <c r="E46" s="7">
        <v>78</v>
      </c>
      <c r="F46" s="16" t="s">
        <v>15</v>
      </c>
      <c r="G46" s="8" t="s">
        <v>295</v>
      </c>
      <c r="H46" s="8">
        <f>150*117/100</f>
        <v>175.5</v>
      </c>
      <c r="I46" s="68">
        <f>H46*50*11</f>
        <v>96525</v>
      </c>
      <c r="J46" s="50" t="s">
        <v>16</v>
      </c>
      <c r="K46" s="262"/>
      <c r="L46" s="263"/>
      <c r="M46" s="247"/>
    </row>
    <row r="47" spans="1:13" ht="31.5" customHeight="1" x14ac:dyDescent="0.25">
      <c r="A47" s="259"/>
      <c r="B47" s="261"/>
      <c r="C47" s="261"/>
      <c r="D47" s="50" t="s">
        <v>297</v>
      </c>
      <c r="E47" s="7">
        <v>66</v>
      </c>
      <c r="F47" s="16" t="s">
        <v>15</v>
      </c>
      <c r="G47" s="8" t="s">
        <v>295</v>
      </c>
      <c r="H47" s="8">
        <f>200*117/100</f>
        <v>234</v>
      </c>
      <c r="I47" s="68">
        <f t="shared" ref="I47" si="0">H47*50*11</f>
        <v>128700</v>
      </c>
      <c r="J47" s="50" t="s">
        <v>16</v>
      </c>
      <c r="K47" s="262"/>
      <c r="L47" s="263"/>
      <c r="M47" s="247"/>
    </row>
    <row r="48" spans="1:13" ht="24.75" customHeight="1" x14ac:dyDescent="0.25">
      <c r="A48" s="259"/>
      <c r="B48" s="261"/>
      <c r="C48" s="261"/>
      <c r="D48" s="50" t="s">
        <v>298</v>
      </c>
      <c r="E48" s="7">
        <v>66</v>
      </c>
      <c r="F48" s="16" t="s">
        <v>15</v>
      </c>
      <c r="G48" s="8" t="s">
        <v>295</v>
      </c>
      <c r="H48" s="8">
        <f>200*117/100</f>
        <v>234</v>
      </c>
      <c r="I48" s="68">
        <f>H48*50*11</f>
        <v>128700</v>
      </c>
      <c r="J48" s="50" t="s">
        <v>16</v>
      </c>
      <c r="K48" s="262"/>
      <c r="L48" s="263"/>
      <c r="M48" s="247"/>
    </row>
    <row r="49" spans="1:13" ht="13.8" x14ac:dyDescent="0.25">
      <c r="A49" s="260"/>
      <c r="B49" s="248" t="s">
        <v>299</v>
      </c>
      <c r="C49" s="249"/>
      <c r="D49" s="249"/>
      <c r="E49" s="249"/>
      <c r="F49" s="249"/>
      <c r="G49" s="249"/>
      <c r="H49" s="249"/>
      <c r="I49" s="249"/>
      <c r="J49" s="249"/>
      <c r="K49" s="249"/>
      <c r="L49" s="249"/>
      <c r="M49" s="250"/>
    </row>
    <row r="50" spans="1:13" ht="15.6" x14ac:dyDescent="0.25">
      <c r="A50" s="251" t="s">
        <v>300</v>
      </c>
      <c r="B50" s="252"/>
      <c r="C50" s="252"/>
      <c r="D50" s="252"/>
      <c r="E50" s="252"/>
      <c r="F50" s="252"/>
      <c r="G50" s="252"/>
      <c r="H50" s="252"/>
      <c r="I50" s="252"/>
      <c r="J50" s="252"/>
      <c r="K50" s="252"/>
      <c r="L50" s="252"/>
      <c r="M50" s="253"/>
    </row>
    <row r="51" spans="1:13" ht="22.5" customHeight="1" x14ac:dyDescent="0.25">
      <c r="A51" s="259">
        <v>11</v>
      </c>
      <c r="B51" s="261" t="s">
        <v>301</v>
      </c>
      <c r="C51" s="261" t="s">
        <v>18</v>
      </c>
      <c r="D51" s="22" t="s">
        <v>302</v>
      </c>
      <c r="E51" s="23">
        <v>100</v>
      </c>
      <c r="F51" s="24" t="s">
        <v>17</v>
      </c>
      <c r="G51" s="24" t="s">
        <v>732</v>
      </c>
      <c r="H51" s="25">
        <v>3.8899999999999997E-2</v>
      </c>
      <c r="I51" s="24">
        <f>3.89/100*11000000*117/100</f>
        <v>500643.00000000006</v>
      </c>
      <c r="J51" s="22" t="s">
        <v>16</v>
      </c>
      <c r="K51" s="292" t="s">
        <v>311</v>
      </c>
      <c r="L51" s="263"/>
      <c r="M51" s="247" t="s">
        <v>303</v>
      </c>
    </row>
    <row r="52" spans="1:13" ht="27.75" customHeight="1" x14ac:dyDescent="0.25">
      <c r="A52" s="259"/>
      <c r="B52" s="261"/>
      <c r="C52" s="261"/>
      <c r="D52" s="50" t="s">
        <v>304</v>
      </c>
      <c r="E52" s="7">
        <v>90</v>
      </c>
      <c r="F52" s="16" t="s">
        <v>17</v>
      </c>
      <c r="G52" s="16" t="s">
        <v>733</v>
      </c>
      <c r="H52" s="72">
        <v>4.9000000000000002E-2</v>
      </c>
      <c r="I52" s="16">
        <f>4.9/100*11000000*117/100</f>
        <v>630630</v>
      </c>
      <c r="J52" s="50" t="s">
        <v>16</v>
      </c>
      <c r="K52" s="292"/>
      <c r="L52" s="263"/>
      <c r="M52" s="247"/>
    </row>
    <row r="53" spans="1:13" ht="26.4" x14ac:dyDescent="0.25">
      <c r="A53" s="259"/>
      <c r="B53" s="261"/>
      <c r="C53" s="261"/>
      <c r="D53" s="50" t="s">
        <v>305</v>
      </c>
      <c r="E53" s="7">
        <v>80</v>
      </c>
      <c r="F53" s="16" t="s">
        <v>17</v>
      </c>
      <c r="G53" s="16" t="s">
        <v>733</v>
      </c>
      <c r="H53" s="72">
        <v>7.1999999999999995E-2</v>
      </c>
      <c r="I53" s="16">
        <f>7.2/100*11000000*117/100</f>
        <v>926640.00000000012</v>
      </c>
      <c r="J53" s="50" t="s">
        <v>16</v>
      </c>
      <c r="K53" s="292"/>
      <c r="L53" s="263"/>
      <c r="M53" s="247"/>
    </row>
    <row r="54" spans="1:13" ht="13.8" x14ac:dyDescent="0.25">
      <c r="A54" s="260"/>
      <c r="B54" s="248" t="s">
        <v>306</v>
      </c>
      <c r="C54" s="249"/>
      <c r="D54" s="249"/>
      <c r="E54" s="249"/>
      <c r="F54" s="249"/>
      <c r="G54" s="249"/>
      <c r="H54" s="249"/>
      <c r="I54" s="249"/>
      <c r="J54" s="249"/>
      <c r="K54" s="249"/>
      <c r="L54" s="249"/>
      <c r="M54" s="250"/>
    </row>
    <row r="55" spans="1:13" ht="15.6" x14ac:dyDescent="0.25">
      <c r="A55" s="251" t="s">
        <v>307</v>
      </c>
      <c r="B55" s="252"/>
      <c r="C55" s="252"/>
      <c r="D55" s="252"/>
      <c r="E55" s="252"/>
      <c r="F55" s="252"/>
      <c r="G55" s="252"/>
      <c r="H55" s="252"/>
      <c r="I55" s="252"/>
      <c r="J55" s="252"/>
      <c r="K55" s="252"/>
      <c r="L55" s="252"/>
      <c r="M55" s="253"/>
    </row>
    <row r="56" spans="1:13" ht="26.4" x14ac:dyDescent="0.25">
      <c r="A56" s="264">
        <v>12</v>
      </c>
      <c r="B56" s="265" t="s">
        <v>308</v>
      </c>
      <c r="C56" s="265" t="s">
        <v>18</v>
      </c>
      <c r="D56" s="73" t="s">
        <v>302</v>
      </c>
      <c r="E56" s="74">
        <v>100</v>
      </c>
      <c r="F56" s="16" t="s">
        <v>309</v>
      </c>
      <c r="G56" s="16" t="s">
        <v>310</v>
      </c>
      <c r="H56" s="20">
        <v>3.8899999999999997E-2</v>
      </c>
      <c r="I56" s="16">
        <f>3.89/100*10000000*117/100</f>
        <v>455130.00000000006</v>
      </c>
      <c r="J56" s="73" t="s">
        <v>16</v>
      </c>
      <c r="K56" s="271" t="s">
        <v>311</v>
      </c>
      <c r="L56" s="266" t="s">
        <v>48</v>
      </c>
      <c r="M56" s="267" t="s">
        <v>312</v>
      </c>
    </row>
    <row r="57" spans="1:13" ht="26.4" x14ac:dyDescent="0.25">
      <c r="A57" s="259"/>
      <c r="B57" s="261"/>
      <c r="C57" s="261"/>
      <c r="D57" s="22" t="s">
        <v>313</v>
      </c>
      <c r="E57" s="23">
        <v>100</v>
      </c>
      <c r="F57" s="24" t="s">
        <v>309</v>
      </c>
      <c r="G57" s="24" t="s">
        <v>310</v>
      </c>
      <c r="H57" s="25">
        <v>3.8899999999999997E-2</v>
      </c>
      <c r="I57" s="24">
        <f>3.89/100*10000000*117/100</f>
        <v>455130.00000000006</v>
      </c>
      <c r="J57" s="22" t="s">
        <v>16</v>
      </c>
      <c r="K57" s="262"/>
      <c r="L57" s="263"/>
      <c r="M57" s="247"/>
    </row>
    <row r="58" spans="1:13" ht="26.4" x14ac:dyDescent="0.25">
      <c r="A58" s="259"/>
      <c r="B58" s="261"/>
      <c r="C58" s="261"/>
      <c r="D58" s="50" t="s">
        <v>314</v>
      </c>
      <c r="E58" s="7">
        <v>100</v>
      </c>
      <c r="F58" s="8" t="s">
        <v>309</v>
      </c>
      <c r="G58" s="8" t="s">
        <v>310</v>
      </c>
      <c r="H58" s="72">
        <v>3.9E-2</v>
      </c>
      <c r="I58" s="8">
        <f>3.9/100*10000000*117/100</f>
        <v>456300</v>
      </c>
      <c r="J58" s="50" t="s">
        <v>16</v>
      </c>
      <c r="K58" s="262"/>
      <c r="L58" s="263"/>
      <c r="M58" s="247"/>
    </row>
    <row r="59" spans="1:13" ht="26.4" x14ac:dyDescent="0.25">
      <c r="A59" s="259"/>
      <c r="B59" s="268"/>
      <c r="C59" s="268"/>
      <c r="D59" s="50" t="s">
        <v>315</v>
      </c>
      <c r="E59" s="7">
        <v>90</v>
      </c>
      <c r="F59" s="8" t="s">
        <v>309</v>
      </c>
      <c r="G59" s="8" t="s">
        <v>310</v>
      </c>
      <c r="H59" s="72">
        <v>4.4999999999999998E-2</v>
      </c>
      <c r="I59" s="8">
        <f>4.5/100*10000000*117/100</f>
        <v>526500</v>
      </c>
      <c r="J59" s="50" t="s">
        <v>16</v>
      </c>
      <c r="K59" s="272"/>
      <c r="L59" s="269"/>
      <c r="M59" s="270"/>
    </row>
    <row r="60" spans="1:13" ht="13.95" customHeight="1" x14ac:dyDescent="0.25">
      <c r="A60" s="260"/>
      <c r="B60" s="248" t="s">
        <v>316</v>
      </c>
      <c r="C60" s="249"/>
      <c r="D60" s="249"/>
      <c r="E60" s="249"/>
      <c r="F60" s="249"/>
      <c r="G60" s="249"/>
      <c r="H60" s="249"/>
      <c r="I60" s="249"/>
      <c r="J60" s="249"/>
      <c r="K60" s="249"/>
      <c r="L60" s="249"/>
      <c r="M60" s="250"/>
    </row>
    <row r="61" spans="1:13" ht="15.6" x14ac:dyDescent="0.25">
      <c r="A61" s="251" t="s">
        <v>317</v>
      </c>
      <c r="B61" s="252"/>
      <c r="C61" s="252"/>
      <c r="D61" s="252"/>
      <c r="E61" s="252"/>
      <c r="F61" s="252"/>
      <c r="G61" s="252"/>
      <c r="H61" s="252"/>
      <c r="I61" s="252"/>
      <c r="J61" s="252"/>
      <c r="K61" s="252"/>
      <c r="L61" s="252"/>
      <c r="M61" s="253"/>
    </row>
    <row r="62" spans="1:13" ht="26.4" x14ac:dyDescent="0.25">
      <c r="A62" s="264">
        <v>13</v>
      </c>
      <c r="B62" s="265" t="s">
        <v>318</v>
      </c>
      <c r="C62" s="265" t="s">
        <v>18</v>
      </c>
      <c r="D62" s="73" t="s">
        <v>302</v>
      </c>
      <c r="E62" s="74">
        <v>100</v>
      </c>
      <c r="F62" s="16" t="s">
        <v>309</v>
      </c>
      <c r="G62" s="16" t="s">
        <v>319</v>
      </c>
      <c r="H62" s="20">
        <v>3.8899999999999997E-2</v>
      </c>
      <c r="I62" s="16">
        <f>3.89/100*3000000*117/100</f>
        <v>136539.00000000003</v>
      </c>
      <c r="J62" s="73" t="s">
        <v>16</v>
      </c>
      <c r="K62" s="271" t="s">
        <v>311</v>
      </c>
      <c r="L62" s="266" t="s">
        <v>48</v>
      </c>
      <c r="M62" s="267" t="s">
        <v>320</v>
      </c>
    </row>
    <row r="63" spans="1:13" ht="26.4" x14ac:dyDescent="0.25">
      <c r="A63" s="259"/>
      <c r="B63" s="261"/>
      <c r="C63" s="261"/>
      <c r="D63" s="17" t="s">
        <v>313</v>
      </c>
      <c r="E63" s="18">
        <v>100</v>
      </c>
      <c r="F63" s="19" t="s">
        <v>309</v>
      </c>
      <c r="G63" s="19" t="s">
        <v>319</v>
      </c>
      <c r="H63" s="75">
        <v>3.8899999999999997E-2</v>
      </c>
      <c r="I63" s="19">
        <f>3.89/100*3000000*117/100</f>
        <v>136539.00000000003</v>
      </c>
      <c r="J63" s="17" t="s">
        <v>16</v>
      </c>
      <c r="K63" s="262"/>
      <c r="L63" s="263"/>
      <c r="M63" s="247"/>
    </row>
    <row r="64" spans="1:13" ht="26.4" x14ac:dyDescent="0.25">
      <c r="A64" s="259"/>
      <c r="B64" s="261"/>
      <c r="C64" s="261"/>
      <c r="D64" s="50" t="s">
        <v>315</v>
      </c>
      <c r="E64" s="7">
        <v>90</v>
      </c>
      <c r="F64" s="8" t="s">
        <v>309</v>
      </c>
      <c r="G64" s="8" t="s">
        <v>319</v>
      </c>
      <c r="H64" s="72">
        <v>4.4999999999999998E-2</v>
      </c>
      <c r="I64" s="8">
        <f>4.5/100*3000000*117/100</f>
        <v>157950</v>
      </c>
      <c r="J64" s="50" t="s">
        <v>16</v>
      </c>
      <c r="K64" s="262"/>
      <c r="L64" s="263"/>
      <c r="M64" s="247"/>
    </row>
    <row r="65" spans="1:13" ht="26.4" x14ac:dyDescent="0.25">
      <c r="A65" s="259"/>
      <c r="B65" s="268"/>
      <c r="C65" s="268"/>
      <c r="D65" s="50" t="s">
        <v>314</v>
      </c>
      <c r="E65" s="7">
        <v>90</v>
      </c>
      <c r="F65" s="8" t="s">
        <v>309</v>
      </c>
      <c r="G65" s="8" t="s">
        <v>319</v>
      </c>
      <c r="H65" s="72">
        <v>4.4999999999999998E-2</v>
      </c>
      <c r="I65" s="8">
        <f>4.5/100*3000000*117/100</f>
        <v>157950</v>
      </c>
      <c r="J65" s="50" t="s">
        <v>16</v>
      </c>
      <c r="K65" s="272"/>
      <c r="L65" s="269"/>
      <c r="M65" s="270"/>
    </row>
    <row r="66" spans="1:13" ht="24" customHeight="1" x14ac:dyDescent="0.25">
      <c r="A66" s="260"/>
      <c r="B66" s="248" t="s">
        <v>321</v>
      </c>
      <c r="C66" s="249"/>
      <c r="D66" s="249"/>
      <c r="E66" s="249"/>
      <c r="F66" s="249"/>
      <c r="G66" s="249"/>
      <c r="H66" s="249"/>
      <c r="I66" s="249"/>
      <c r="J66" s="249"/>
      <c r="K66" s="249"/>
      <c r="L66" s="249"/>
      <c r="M66" s="250"/>
    </row>
    <row r="67" spans="1:13" ht="15.6" x14ac:dyDescent="0.25">
      <c r="A67" s="251" t="s">
        <v>322</v>
      </c>
      <c r="B67" s="252"/>
      <c r="C67" s="252"/>
      <c r="D67" s="252"/>
      <c r="E67" s="252"/>
      <c r="F67" s="252"/>
      <c r="G67" s="252"/>
      <c r="H67" s="252"/>
      <c r="I67" s="252"/>
      <c r="J67" s="252"/>
      <c r="K67" s="252"/>
      <c r="L67" s="252"/>
      <c r="M67" s="253"/>
    </row>
    <row r="68" spans="1:13" ht="26.4" x14ac:dyDescent="0.25">
      <c r="A68" s="264">
        <v>14</v>
      </c>
      <c r="B68" s="265" t="s">
        <v>323</v>
      </c>
      <c r="C68" s="265" t="s">
        <v>18</v>
      </c>
      <c r="D68" s="22" t="s">
        <v>302</v>
      </c>
      <c r="E68" s="23">
        <v>100</v>
      </c>
      <c r="F68" s="24" t="s">
        <v>309</v>
      </c>
      <c r="G68" s="24" t="s">
        <v>324</v>
      </c>
      <c r="H68" s="25">
        <v>3.8899999999999997E-2</v>
      </c>
      <c r="I68" s="24">
        <f>3.89/100*9000000*117/100</f>
        <v>409617.00000000006</v>
      </c>
      <c r="J68" s="22" t="s">
        <v>16</v>
      </c>
      <c r="K68" s="271" t="s">
        <v>311</v>
      </c>
      <c r="L68" s="266" t="s">
        <v>48</v>
      </c>
      <c r="M68" s="267" t="s">
        <v>325</v>
      </c>
    </row>
    <row r="69" spans="1:13" ht="26.4" x14ac:dyDescent="0.25">
      <c r="A69" s="259"/>
      <c r="B69" s="261"/>
      <c r="C69" s="261"/>
      <c r="D69" s="50" t="s">
        <v>313</v>
      </c>
      <c r="E69" s="7">
        <v>99</v>
      </c>
      <c r="F69" s="8" t="s">
        <v>309</v>
      </c>
      <c r="G69" s="8" t="s">
        <v>324</v>
      </c>
      <c r="H69" s="72">
        <v>3.95E-2</v>
      </c>
      <c r="I69" s="8">
        <f>3.95/100*9000000*117/100</f>
        <v>415935</v>
      </c>
      <c r="J69" s="50" t="s">
        <v>16</v>
      </c>
      <c r="K69" s="262"/>
      <c r="L69" s="263"/>
      <c r="M69" s="247"/>
    </row>
    <row r="70" spans="1:13" ht="26.4" x14ac:dyDescent="0.25">
      <c r="A70" s="259"/>
      <c r="B70" s="261"/>
      <c r="C70" s="261"/>
      <c r="D70" s="50" t="s">
        <v>326</v>
      </c>
      <c r="E70" s="7">
        <v>90</v>
      </c>
      <c r="F70" s="8" t="s">
        <v>309</v>
      </c>
      <c r="G70" s="8" t="s">
        <v>324</v>
      </c>
      <c r="H70" s="72">
        <v>4.4999999999999998E-2</v>
      </c>
      <c r="I70" s="8">
        <f>4.5/100*9000000*117/100</f>
        <v>473850</v>
      </c>
      <c r="J70" s="50" t="s">
        <v>16</v>
      </c>
      <c r="K70" s="262"/>
      <c r="L70" s="263"/>
      <c r="M70" s="247"/>
    </row>
    <row r="71" spans="1:13" ht="26.4" x14ac:dyDescent="0.25">
      <c r="A71" s="259"/>
      <c r="B71" s="268"/>
      <c r="C71" s="268"/>
      <c r="D71" s="50" t="s">
        <v>314</v>
      </c>
      <c r="E71" s="7">
        <v>82</v>
      </c>
      <c r="F71" s="8" t="s">
        <v>309</v>
      </c>
      <c r="G71" s="8" t="s">
        <v>324</v>
      </c>
      <c r="H71" s="72">
        <v>5.1999999999999998E-2</v>
      </c>
      <c r="I71" s="8">
        <f>5.2/100*9000000*117/100</f>
        <v>547560.00000000012</v>
      </c>
      <c r="J71" s="50" t="s">
        <v>16</v>
      </c>
      <c r="K71" s="272"/>
      <c r="L71" s="269"/>
      <c r="M71" s="270"/>
    </row>
    <row r="72" spans="1:13" ht="26.25" customHeight="1" x14ac:dyDescent="0.25">
      <c r="A72" s="260"/>
      <c r="B72" s="248" t="s">
        <v>327</v>
      </c>
      <c r="C72" s="249"/>
      <c r="D72" s="249"/>
      <c r="E72" s="249"/>
      <c r="F72" s="249"/>
      <c r="G72" s="249"/>
      <c r="H72" s="249"/>
      <c r="I72" s="249"/>
      <c r="J72" s="249"/>
      <c r="K72" s="249"/>
      <c r="L72" s="249"/>
      <c r="M72" s="250"/>
    </row>
    <row r="73" spans="1:13" ht="15.6" x14ac:dyDescent="0.25">
      <c r="A73" s="251" t="s">
        <v>328</v>
      </c>
      <c r="B73" s="252"/>
      <c r="C73" s="252"/>
      <c r="D73" s="252"/>
      <c r="E73" s="252"/>
      <c r="F73" s="252"/>
      <c r="G73" s="252"/>
      <c r="H73" s="252"/>
      <c r="I73" s="252"/>
      <c r="J73" s="252"/>
      <c r="K73" s="252"/>
      <c r="L73" s="252"/>
      <c r="M73" s="253"/>
    </row>
    <row r="74" spans="1:13" ht="26.4" x14ac:dyDescent="0.25">
      <c r="A74" s="264">
        <v>15</v>
      </c>
      <c r="B74" s="265" t="s">
        <v>329</v>
      </c>
      <c r="C74" s="265" t="s">
        <v>18</v>
      </c>
      <c r="D74" s="17" t="s">
        <v>302</v>
      </c>
      <c r="E74" s="18">
        <v>100</v>
      </c>
      <c r="F74" s="19" t="s">
        <v>309</v>
      </c>
      <c r="G74" s="19" t="s">
        <v>330</v>
      </c>
      <c r="H74" s="75">
        <v>3.8899999999999997E-2</v>
      </c>
      <c r="I74" s="19">
        <f>3.89/100*2000000*117/100</f>
        <v>91026.000000000015</v>
      </c>
      <c r="J74" s="17" t="s">
        <v>16</v>
      </c>
      <c r="K74" s="271" t="s">
        <v>311</v>
      </c>
      <c r="L74" s="266" t="s">
        <v>48</v>
      </c>
      <c r="M74" s="267" t="s">
        <v>331</v>
      </c>
    </row>
    <row r="75" spans="1:13" ht="26.4" x14ac:dyDescent="0.25">
      <c r="A75" s="259"/>
      <c r="B75" s="261"/>
      <c r="C75" s="261"/>
      <c r="D75" s="50" t="s">
        <v>313</v>
      </c>
      <c r="E75" s="7">
        <v>99</v>
      </c>
      <c r="F75" s="8" t="s">
        <v>309</v>
      </c>
      <c r="G75" s="8" t="s">
        <v>330</v>
      </c>
      <c r="H75" s="72">
        <v>3.95E-2</v>
      </c>
      <c r="I75" s="8">
        <f>3.95/100*2000000*117/100</f>
        <v>92430</v>
      </c>
      <c r="J75" s="50" t="s">
        <v>16</v>
      </c>
      <c r="K75" s="262"/>
      <c r="L75" s="263"/>
      <c r="M75" s="247"/>
    </row>
    <row r="76" spans="1:13" ht="26.4" x14ac:dyDescent="0.25">
      <c r="A76" s="259"/>
      <c r="B76" s="261"/>
      <c r="C76" s="261"/>
      <c r="D76" s="50" t="s">
        <v>326</v>
      </c>
      <c r="E76" s="7">
        <v>91</v>
      </c>
      <c r="F76" s="8" t="s">
        <v>309</v>
      </c>
      <c r="G76" s="8" t="s">
        <v>330</v>
      </c>
      <c r="H76" s="72">
        <v>4.4999999999999998E-2</v>
      </c>
      <c r="I76" s="8">
        <f>4.5/100*2000000*117/100</f>
        <v>105300</v>
      </c>
      <c r="J76" s="50" t="s">
        <v>16</v>
      </c>
      <c r="K76" s="262"/>
      <c r="L76" s="263"/>
      <c r="M76" s="247"/>
    </row>
    <row r="77" spans="1:13" ht="26.4" x14ac:dyDescent="0.25">
      <c r="A77" s="259"/>
      <c r="B77" s="268"/>
      <c r="C77" s="268"/>
      <c r="D77" s="50" t="s">
        <v>314</v>
      </c>
      <c r="E77" s="7">
        <v>83</v>
      </c>
      <c r="F77" s="8" t="s">
        <v>309</v>
      </c>
      <c r="G77" s="8" t="s">
        <v>330</v>
      </c>
      <c r="H77" s="72">
        <v>5.0999999999999997E-2</v>
      </c>
      <c r="I77" s="8">
        <f>5.1/100*2000000*117/100</f>
        <v>119340</v>
      </c>
      <c r="J77" s="50" t="s">
        <v>16</v>
      </c>
      <c r="K77" s="272"/>
      <c r="L77" s="269"/>
      <c r="M77" s="270"/>
    </row>
    <row r="78" spans="1:13" ht="24.75" customHeight="1" x14ac:dyDescent="0.25">
      <c r="A78" s="260"/>
      <c r="B78" s="248" t="s">
        <v>332</v>
      </c>
      <c r="C78" s="249"/>
      <c r="D78" s="249"/>
      <c r="E78" s="249"/>
      <c r="F78" s="249"/>
      <c r="G78" s="249"/>
      <c r="H78" s="249"/>
      <c r="I78" s="249"/>
      <c r="J78" s="249"/>
      <c r="K78" s="249"/>
      <c r="L78" s="249"/>
      <c r="M78" s="250"/>
    </row>
    <row r="79" spans="1:13" ht="15.6" x14ac:dyDescent="0.25">
      <c r="A79" s="251" t="s">
        <v>333</v>
      </c>
      <c r="B79" s="252"/>
      <c r="C79" s="252"/>
      <c r="D79" s="252"/>
      <c r="E79" s="252"/>
      <c r="F79" s="252"/>
      <c r="G79" s="252"/>
      <c r="H79" s="252"/>
      <c r="I79" s="252"/>
      <c r="J79" s="252"/>
      <c r="K79" s="252"/>
      <c r="L79" s="252"/>
      <c r="M79" s="253"/>
    </row>
    <row r="80" spans="1:13" ht="26.4" x14ac:dyDescent="0.25">
      <c r="A80" s="264">
        <v>16</v>
      </c>
      <c r="B80" s="265" t="s">
        <v>334</v>
      </c>
      <c r="C80" s="265" t="s">
        <v>18</v>
      </c>
      <c r="D80" s="50" t="s">
        <v>302</v>
      </c>
      <c r="E80" s="7">
        <v>100</v>
      </c>
      <c r="F80" s="8" t="s">
        <v>309</v>
      </c>
      <c r="G80" s="8" t="s">
        <v>335</v>
      </c>
      <c r="H80" s="72">
        <v>3.8899999999999997E-2</v>
      </c>
      <c r="I80" s="8">
        <f>3.89/100*1700000*117/100</f>
        <v>77372.100000000006</v>
      </c>
      <c r="J80" s="50" t="s">
        <v>16</v>
      </c>
      <c r="K80" s="271" t="s">
        <v>311</v>
      </c>
      <c r="L80" s="266" t="s">
        <v>48</v>
      </c>
      <c r="M80" s="267" t="s">
        <v>336</v>
      </c>
    </row>
    <row r="81" spans="1:13" ht="26.4" x14ac:dyDescent="0.25">
      <c r="A81" s="259"/>
      <c r="B81" s="261"/>
      <c r="C81" s="261"/>
      <c r="D81" s="17" t="s">
        <v>313</v>
      </c>
      <c r="E81" s="18">
        <v>100</v>
      </c>
      <c r="F81" s="19" t="s">
        <v>309</v>
      </c>
      <c r="G81" s="19" t="s">
        <v>335</v>
      </c>
      <c r="H81" s="75">
        <v>3.8899999999999997E-2</v>
      </c>
      <c r="I81" s="19">
        <f>3.89/100*1700000*117/100</f>
        <v>77372.100000000006</v>
      </c>
      <c r="J81" s="17" t="s">
        <v>16</v>
      </c>
      <c r="K81" s="262"/>
      <c r="L81" s="263"/>
      <c r="M81" s="247"/>
    </row>
    <row r="82" spans="1:13" ht="26.4" x14ac:dyDescent="0.25">
      <c r="A82" s="259"/>
      <c r="B82" s="261"/>
      <c r="C82" s="261"/>
      <c r="D82" s="50" t="s">
        <v>314</v>
      </c>
      <c r="E82" s="7">
        <v>100</v>
      </c>
      <c r="F82" s="8" t="s">
        <v>309</v>
      </c>
      <c r="G82" s="8" t="s">
        <v>335</v>
      </c>
      <c r="H82" s="72">
        <v>3.9E-2</v>
      </c>
      <c r="I82" s="8">
        <f>3.9/100*1700000*117/100</f>
        <v>77571</v>
      </c>
      <c r="J82" s="50" t="s">
        <v>16</v>
      </c>
      <c r="K82" s="262"/>
      <c r="L82" s="263"/>
      <c r="M82" s="247"/>
    </row>
    <row r="83" spans="1:13" ht="26.4" x14ac:dyDescent="0.25">
      <c r="A83" s="259"/>
      <c r="B83" s="268"/>
      <c r="C83" s="268"/>
      <c r="D83" s="50" t="s">
        <v>326</v>
      </c>
      <c r="E83" s="7">
        <v>91</v>
      </c>
      <c r="F83" s="8" t="s">
        <v>309</v>
      </c>
      <c r="G83" s="8" t="s">
        <v>335</v>
      </c>
      <c r="H83" s="72">
        <v>4.4999999999999998E-2</v>
      </c>
      <c r="I83" s="8">
        <f>4.5/100*170000*117/100</f>
        <v>8950.5</v>
      </c>
      <c r="J83" s="50" t="s">
        <v>16</v>
      </c>
      <c r="K83" s="272"/>
      <c r="L83" s="269"/>
      <c r="M83" s="270"/>
    </row>
    <row r="84" spans="1:13" ht="27.75" customHeight="1" x14ac:dyDescent="0.25">
      <c r="A84" s="260"/>
      <c r="B84" s="248" t="s">
        <v>337</v>
      </c>
      <c r="C84" s="249"/>
      <c r="D84" s="249"/>
      <c r="E84" s="249"/>
      <c r="F84" s="249"/>
      <c r="G84" s="249"/>
      <c r="H84" s="249"/>
      <c r="I84" s="249"/>
      <c r="J84" s="249"/>
      <c r="K84" s="249"/>
      <c r="L84" s="249"/>
      <c r="M84" s="250"/>
    </row>
    <row r="85" spans="1:13" ht="15.6" x14ac:dyDescent="0.25">
      <c r="A85" s="251" t="s">
        <v>338</v>
      </c>
      <c r="B85" s="252"/>
      <c r="C85" s="252"/>
      <c r="D85" s="252"/>
      <c r="E85" s="252"/>
      <c r="F85" s="252"/>
      <c r="G85" s="252"/>
      <c r="H85" s="252"/>
      <c r="I85" s="252"/>
      <c r="J85" s="252"/>
      <c r="K85" s="252"/>
      <c r="L85" s="252"/>
      <c r="M85" s="253"/>
    </row>
    <row r="86" spans="1:13" ht="26.4" x14ac:dyDescent="0.25">
      <c r="A86" s="264">
        <v>17</v>
      </c>
      <c r="B86" s="265" t="s">
        <v>339</v>
      </c>
      <c r="C86" s="265" t="s">
        <v>18</v>
      </c>
      <c r="D86" s="17" t="s">
        <v>302</v>
      </c>
      <c r="E86" s="18">
        <v>100</v>
      </c>
      <c r="F86" s="19" t="s">
        <v>17</v>
      </c>
      <c r="G86" s="19" t="s">
        <v>340</v>
      </c>
      <c r="H86" s="75">
        <v>3.8899999999999997E-2</v>
      </c>
      <c r="I86" s="19">
        <f>3.89/100*3300000*117/100</f>
        <v>150192.90000000002</v>
      </c>
      <c r="J86" s="17" t="s">
        <v>16</v>
      </c>
      <c r="K86" s="271" t="s">
        <v>311</v>
      </c>
      <c r="L86" s="287" t="s">
        <v>48</v>
      </c>
      <c r="M86" s="267"/>
    </row>
    <row r="87" spans="1:13" ht="26.4" x14ac:dyDescent="0.25">
      <c r="A87" s="259"/>
      <c r="B87" s="261"/>
      <c r="C87" s="261"/>
      <c r="D87" s="50" t="s">
        <v>314</v>
      </c>
      <c r="E87" s="7">
        <v>91</v>
      </c>
      <c r="F87" s="8" t="s">
        <v>17</v>
      </c>
      <c r="G87" s="8" t="s">
        <v>341</v>
      </c>
      <c r="H87" s="72">
        <v>4.4999999999999998E-2</v>
      </c>
      <c r="I87" s="8">
        <f>4.5/100*3300000*117/100</f>
        <v>173745</v>
      </c>
      <c r="J87" s="50" t="s">
        <v>16</v>
      </c>
      <c r="K87" s="262"/>
      <c r="L87" s="287"/>
      <c r="M87" s="247"/>
    </row>
    <row r="88" spans="1:13" ht="26.4" x14ac:dyDescent="0.25">
      <c r="A88" s="259"/>
      <c r="B88" s="261"/>
      <c r="C88" s="261"/>
      <c r="D88" s="50" t="s">
        <v>342</v>
      </c>
      <c r="E88" s="7">
        <v>85</v>
      </c>
      <c r="F88" s="8" t="s">
        <v>17</v>
      </c>
      <c r="G88" s="8" t="s">
        <v>341</v>
      </c>
      <c r="H88" s="72">
        <v>0.05</v>
      </c>
      <c r="I88" s="8">
        <f>5/100*3300000*117/100</f>
        <v>193050</v>
      </c>
      <c r="J88" s="50"/>
      <c r="K88" s="262"/>
      <c r="L88" s="287"/>
      <c r="M88" s="247"/>
    </row>
    <row r="89" spans="1:13" ht="25.5" customHeight="1" x14ac:dyDescent="0.25">
      <c r="A89" s="260"/>
      <c r="B89" s="248" t="s">
        <v>343</v>
      </c>
      <c r="C89" s="249"/>
      <c r="D89" s="249"/>
      <c r="E89" s="249"/>
      <c r="F89" s="249"/>
      <c r="G89" s="249"/>
      <c r="H89" s="249"/>
      <c r="I89" s="249"/>
      <c r="J89" s="249"/>
      <c r="K89" s="249"/>
      <c r="L89" s="249"/>
      <c r="M89" s="250"/>
    </row>
    <row r="90" spans="1:13" ht="15.6" x14ac:dyDescent="0.25">
      <c r="A90" s="251" t="s">
        <v>344</v>
      </c>
      <c r="B90" s="252"/>
      <c r="C90" s="252"/>
      <c r="D90" s="252"/>
      <c r="E90" s="252"/>
      <c r="F90" s="252"/>
      <c r="G90" s="252"/>
      <c r="H90" s="252"/>
      <c r="I90" s="252"/>
      <c r="J90" s="252"/>
      <c r="K90" s="252"/>
      <c r="L90" s="252"/>
      <c r="M90" s="253"/>
    </row>
    <row r="91" spans="1:13" ht="26.4" x14ac:dyDescent="0.25">
      <c r="A91" s="264">
        <v>18</v>
      </c>
      <c r="B91" s="265" t="s">
        <v>345</v>
      </c>
      <c r="C91" s="265" t="s">
        <v>18</v>
      </c>
      <c r="D91" s="17" t="s">
        <v>313</v>
      </c>
      <c r="E91" s="18">
        <v>100</v>
      </c>
      <c r="F91" s="19" t="s">
        <v>17</v>
      </c>
      <c r="G91" s="19" t="s">
        <v>346</v>
      </c>
      <c r="H91" s="75">
        <v>3.8800000000000001E-2</v>
      </c>
      <c r="I91" s="19">
        <f>3.88/100*3500000*117/100</f>
        <v>158886</v>
      </c>
      <c r="J91" s="17" t="s">
        <v>16</v>
      </c>
      <c r="K91" s="271" t="s">
        <v>311</v>
      </c>
      <c r="L91" s="287" t="s">
        <v>48</v>
      </c>
      <c r="M91" s="267" t="s">
        <v>347</v>
      </c>
    </row>
    <row r="92" spans="1:13" ht="26.4" x14ac:dyDescent="0.25">
      <c r="A92" s="259"/>
      <c r="B92" s="261"/>
      <c r="C92" s="261"/>
      <c r="D92" s="50" t="s">
        <v>348</v>
      </c>
      <c r="E92" s="7">
        <v>90</v>
      </c>
      <c r="F92" s="8" t="s">
        <v>17</v>
      </c>
      <c r="G92" s="8" t="s">
        <v>346</v>
      </c>
      <c r="H92" s="72">
        <v>4.4999999999999998E-2</v>
      </c>
      <c r="I92" s="8">
        <f>4.5/100*3500000*117/100</f>
        <v>184275</v>
      </c>
      <c r="J92" s="50" t="s">
        <v>16</v>
      </c>
      <c r="K92" s="262"/>
      <c r="L92" s="287"/>
      <c r="M92" s="247"/>
    </row>
    <row r="93" spans="1:13" ht="26.4" x14ac:dyDescent="0.25">
      <c r="A93" s="259"/>
      <c r="B93" s="261"/>
      <c r="C93" s="261"/>
      <c r="D93" s="50" t="s">
        <v>342</v>
      </c>
      <c r="E93" s="7">
        <v>92</v>
      </c>
      <c r="F93" s="8" t="s">
        <v>17</v>
      </c>
      <c r="G93" s="8" t="s">
        <v>346</v>
      </c>
      <c r="H93" s="72">
        <v>4.3499999999999997E-2</v>
      </c>
      <c r="I93" s="8">
        <f>4.35/100*3500000*117/100</f>
        <v>178132.5</v>
      </c>
      <c r="J93" s="50"/>
      <c r="K93" s="262"/>
      <c r="L93" s="287"/>
      <c r="M93" s="247"/>
    </row>
    <row r="94" spans="1:13" ht="27" customHeight="1" x14ac:dyDescent="0.25">
      <c r="A94" s="260"/>
      <c r="B94" s="248" t="s">
        <v>349</v>
      </c>
      <c r="C94" s="249"/>
      <c r="D94" s="249"/>
      <c r="E94" s="249"/>
      <c r="F94" s="249"/>
      <c r="G94" s="249"/>
      <c r="H94" s="249"/>
      <c r="I94" s="249"/>
      <c r="J94" s="249"/>
      <c r="K94" s="249"/>
      <c r="L94" s="249"/>
      <c r="M94" s="250"/>
    </row>
    <row r="95" spans="1:13" ht="15.6" x14ac:dyDescent="0.25">
      <c r="A95" s="251" t="s">
        <v>350</v>
      </c>
      <c r="B95" s="252"/>
      <c r="C95" s="252"/>
      <c r="D95" s="252"/>
      <c r="E95" s="252"/>
      <c r="F95" s="252"/>
      <c r="G95" s="252"/>
      <c r="H95" s="252"/>
      <c r="I95" s="252"/>
      <c r="J95" s="252"/>
      <c r="K95" s="252"/>
      <c r="L95" s="252"/>
      <c r="M95" s="253"/>
    </row>
    <row r="96" spans="1:13" ht="66" x14ac:dyDescent="0.25">
      <c r="A96" s="259">
        <v>19</v>
      </c>
      <c r="B96" s="261" t="s">
        <v>351</v>
      </c>
      <c r="C96" s="261" t="s">
        <v>352</v>
      </c>
      <c r="D96" s="22" t="s">
        <v>534</v>
      </c>
      <c r="E96" s="23">
        <v>100</v>
      </c>
      <c r="F96" s="24" t="s">
        <v>20</v>
      </c>
      <c r="G96" s="24" t="s">
        <v>20</v>
      </c>
      <c r="H96" s="24">
        <f>35400*117/100</f>
        <v>41418</v>
      </c>
      <c r="I96" s="24">
        <f>35400*117/100</f>
        <v>41418</v>
      </c>
      <c r="J96" s="22" t="s">
        <v>16</v>
      </c>
      <c r="K96" s="262" t="s">
        <v>45</v>
      </c>
      <c r="L96" s="263" t="s">
        <v>48</v>
      </c>
      <c r="M96" s="247">
        <v>1815000571</v>
      </c>
    </row>
    <row r="97" spans="1:13" ht="13.8" x14ac:dyDescent="0.25">
      <c r="A97" s="259"/>
      <c r="B97" s="261"/>
      <c r="C97" s="261"/>
      <c r="D97" s="50" t="s">
        <v>353</v>
      </c>
      <c r="E97" s="7">
        <v>64</v>
      </c>
      <c r="F97" s="8" t="s">
        <v>20</v>
      </c>
      <c r="G97" s="8" t="s">
        <v>20</v>
      </c>
      <c r="H97" s="8">
        <f>62600*117/100</f>
        <v>73242</v>
      </c>
      <c r="I97" s="8">
        <f>62600*117/100</f>
        <v>73242</v>
      </c>
      <c r="J97" s="50"/>
      <c r="K97" s="262"/>
      <c r="L97" s="263"/>
      <c r="M97" s="247"/>
    </row>
    <row r="98" spans="1:13" ht="13.8" x14ac:dyDescent="0.25">
      <c r="A98" s="259"/>
      <c r="B98" s="261"/>
      <c r="C98" s="261"/>
      <c r="D98" s="50" t="s">
        <v>354</v>
      </c>
      <c r="E98" s="7">
        <v>50</v>
      </c>
      <c r="F98" s="8" t="s">
        <v>20</v>
      </c>
      <c r="G98" s="8" t="s">
        <v>20</v>
      </c>
      <c r="H98" s="8">
        <f>66000*117/100</f>
        <v>77220</v>
      </c>
      <c r="I98" s="8">
        <f>66000*117/100</f>
        <v>77220</v>
      </c>
      <c r="J98" s="50" t="s">
        <v>16</v>
      </c>
      <c r="K98" s="262"/>
      <c r="L98" s="263"/>
      <c r="M98" s="247"/>
    </row>
    <row r="99" spans="1:13" ht="26.4" x14ac:dyDescent="0.25">
      <c r="A99" s="259"/>
      <c r="B99" s="261"/>
      <c r="C99" s="261"/>
      <c r="D99" s="50" t="s">
        <v>355</v>
      </c>
      <c r="E99" s="7">
        <v>38</v>
      </c>
      <c r="F99" s="8" t="s">
        <v>20</v>
      </c>
      <c r="G99" s="8" t="s">
        <v>20</v>
      </c>
      <c r="H99" s="8">
        <f>77300*117/100</f>
        <v>90441</v>
      </c>
      <c r="I99" s="8">
        <f>77300*117/100</f>
        <v>90441</v>
      </c>
      <c r="J99" s="50"/>
      <c r="K99" s="262"/>
      <c r="L99" s="263"/>
      <c r="M99" s="247"/>
    </row>
    <row r="100" spans="1:13" ht="13.8" x14ac:dyDescent="0.25">
      <c r="A100" s="260"/>
      <c r="B100" s="248"/>
      <c r="C100" s="249"/>
      <c r="D100" s="249"/>
      <c r="E100" s="249"/>
      <c r="F100" s="249"/>
      <c r="G100" s="249"/>
      <c r="H100" s="249"/>
      <c r="I100" s="249"/>
      <c r="J100" s="249"/>
      <c r="K100" s="249"/>
      <c r="L100" s="249"/>
      <c r="M100" s="250"/>
    </row>
    <row r="101" spans="1:13" ht="15.6" x14ac:dyDescent="0.25">
      <c r="A101" s="251" t="s">
        <v>356</v>
      </c>
      <c r="B101" s="252"/>
      <c r="C101" s="252"/>
      <c r="D101" s="252"/>
      <c r="E101" s="252"/>
      <c r="F101" s="252"/>
      <c r="G101" s="252"/>
      <c r="H101" s="252"/>
      <c r="I101" s="252"/>
      <c r="J101" s="252"/>
      <c r="K101" s="252"/>
      <c r="L101" s="252"/>
      <c r="M101" s="253"/>
    </row>
    <row r="102" spans="1:13" ht="46.8" x14ac:dyDescent="0.25">
      <c r="A102" s="264">
        <v>20</v>
      </c>
      <c r="B102" s="58" t="s">
        <v>357</v>
      </c>
      <c r="C102" s="58" t="s">
        <v>18</v>
      </c>
      <c r="D102" s="64" t="s">
        <v>302</v>
      </c>
      <c r="E102" s="65">
        <v>100</v>
      </c>
      <c r="F102" s="66" t="s">
        <v>17</v>
      </c>
      <c r="G102" s="66" t="s">
        <v>358</v>
      </c>
      <c r="H102" s="66">
        <v>3.8899999999999997E-2</v>
      </c>
      <c r="I102" s="66">
        <f>3.89/100*7200000*117/100</f>
        <v>327693.59999999998</v>
      </c>
      <c r="J102" s="67" t="s">
        <v>16</v>
      </c>
      <c r="K102" s="59" t="s">
        <v>359</v>
      </c>
      <c r="L102" s="52" t="s">
        <v>48</v>
      </c>
      <c r="M102" s="61">
        <v>1623000581</v>
      </c>
    </row>
    <row r="103" spans="1:13" ht="29.25" customHeight="1" x14ac:dyDescent="0.25">
      <c r="A103" s="260"/>
      <c r="B103" s="248" t="s">
        <v>360</v>
      </c>
      <c r="C103" s="249"/>
      <c r="D103" s="249"/>
      <c r="E103" s="249"/>
      <c r="F103" s="249"/>
      <c r="G103" s="249"/>
      <c r="H103" s="249"/>
      <c r="I103" s="249"/>
      <c r="J103" s="249"/>
      <c r="K103" s="249"/>
      <c r="L103" s="249"/>
      <c r="M103" s="250"/>
    </row>
    <row r="104" spans="1:13" ht="15.6" x14ac:dyDescent="0.25">
      <c r="A104" s="251" t="s">
        <v>361</v>
      </c>
      <c r="B104" s="252"/>
      <c r="C104" s="252"/>
      <c r="D104" s="252"/>
      <c r="E104" s="252"/>
      <c r="F104" s="252"/>
      <c r="G104" s="252"/>
      <c r="H104" s="252"/>
      <c r="I104" s="252"/>
      <c r="J104" s="252"/>
      <c r="K104" s="252"/>
      <c r="L104" s="252"/>
      <c r="M104" s="253"/>
    </row>
    <row r="105" spans="1:13" ht="78" x14ac:dyDescent="0.25">
      <c r="A105" s="264">
        <v>21</v>
      </c>
      <c r="B105" s="58" t="s">
        <v>362</v>
      </c>
      <c r="C105" s="58" t="s">
        <v>18</v>
      </c>
      <c r="D105" s="64" t="s">
        <v>248</v>
      </c>
      <c r="E105" s="65">
        <v>100</v>
      </c>
      <c r="F105" s="66" t="s">
        <v>20</v>
      </c>
      <c r="G105" s="66" t="s">
        <v>20</v>
      </c>
      <c r="H105" s="66">
        <f>25739*117/100</f>
        <v>30114.63</v>
      </c>
      <c r="I105" s="66">
        <f>25739*117/100</f>
        <v>30114.63</v>
      </c>
      <c r="J105" s="67" t="s">
        <v>16</v>
      </c>
      <c r="K105" s="59" t="s">
        <v>363</v>
      </c>
      <c r="L105" s="52" t="s">
        <v>48</v>
      </c>
      <c r="M105" s="61" t="s">
        <v>364</v>
      </c>
    </row>
    <row r="106" spans="1:13" ht="29.25" customHeight="1" x14ac:dyDescent="0.25">
      <c r="A106" s="260"/>
      <c r="B106" s="248" t="s">
        <v>365</v>
      </c>
      <c r="C106" s="249"/>
      <c r="D106" s="249"/>
      <c r="E106" s="249"/>
      <c r="F106" s="249"/>
      <c r="G106" s="249"/>
      <c r="H106" s="249"/>
      <c r="I106" s="249"/>
      <c r="J106" s="249"/>
      <c r="K106" s="249"/>
      <c r="L106" s="249"/>
      <c r="M106" s="250"/>
    </row>
    <row r="107" spans="1:13" ht="15.6" x14ac:dyDescent="0.25">
      <c r="A107" s="251" t="s">
        <v>366</v>
      </c>
      <c r="B107" s="252"/>
      <c r="C107" s="252"/>
      <c r="D107" s="252"/>
      <c r="E107" s="252"/>
      <c r="F107" s="252"/>
      <c r="G107" s="252"/>
      <c r="H107" s="252"/>
      <c r="I107" s="252"/>
      <c r="J107" s="252"/>
      <c r="K107" s="252"/>
      <c r="L107" s="252"/>
      <c r="M107" s="253"/>
    </row>
    <row r="108" spans="1:13" ht="79.2" x14ac:dyDescent="0.25">
      <c r="A108" s="264">
        <v>22</v>
      </c>
      <c r="B108" s="58" t="s">
        <v>367</v>
      </c>
      <c r="C108" s="58" t="s">
        <v>368</v>
      </c>
      <c r="D108" s="64" t="s">
        <v>369</v>
      </c>
      <c r="E108" s="65">
        <v>100</v>
      </c>
      <c r="F108" s="66" t="s">
        <v>15</v>
      </c>
      <c r="G108" s="66" t="s">
        <v>370</v>
      </c>
      <c r="H108" s="66">
        <f>220*117/100</f>
        <v>257.39999999999998</v>
      </c>
      <c r="I108" s="66">
        <f>H108*70*12</f>
        <v>216216</v>
      </c>
      <c r="J108" s="67" t="s">
        <v>16</v>
      </c>
      <c r="K108" s="59" t="s">
        <v>244</v>
      </c>
      <c r="L108" s="52" t="s">
        <v>48</v>
      </c>
      <c r="M108" s="61">
        <v>1769000780</v>
      </c>
    </row>
    <row r="109" spans="1:13" ht="29.25" customHeight="1" x14ac:dyDescent="0.25">
      <c r="A109" s="260"/>
      <c r="B109" s="248" t="s">
        <v>371</v>
      </c>
      <c r="C109" s="249"/>
      <c r="D109" s="249"/>
      <c r="E109" s="249"/>
      <c r="F109" s="249"/>
      <c r="G109" s="249"/>
      <c r="H109" s="249"/>
      <c r="I109" s="249"/>
      <c r="J109" s="249"/>
      <c r="K109" s="249"/>
      <c r="L109" s="249"/>
      <c r="M109" s="250"/>
    </row>
    <row r="110" spans="1:13" ht="15.6" x14ac:dyDescent="0.25">
      <c r="A110" s="251" t="s">
        <v>372</v>
      </c>
      <c r="B110" s="252"/>
      <c r="C110" s="252"/>
      <c r="D110" s="252"/>
      <c r="E110" s="252"/>
      <c r="F110" s="252"/>
      <c r="G110" s="252"/>
      <c r="H110" s="252"/>
      <c r="I110" s="252"/>
      <c r="J110" s="252"/>
      <c r="K110" s="252"/>
      <c r="L110" s="252"/>
      <c r="M110" s="253"/>
    </row>
    <row r="111" spans="1:13" ht="52.8" x14ac:dyDescent="0.25">
      <c r="A111" s="264">
        <v>23</v>
      </c>
      <c r="B111" s="58" t="s">
        <v>373</v>
      </c>
      <c r="C111" s="58" t="s">
        <v>374</v>
      </c>
      <c r="D111" s="22" t="s">
        <v>375</v>
      </c>
      <c r="E111" s="23">
        <v>100</v>
      </c>
      <c r="F111" s="24" t="s">
        <v>20</v>
      </c>
      <c r="G111" s="24" t="s">
        <v>20</v>
      </c>
      <c r="H111" s="24">
        <f>7000*117/100</f>
        <v>8190</v>
      </c>
      <c r="I111" s="24">
        <f>H111</f>
        <v>8190</v>
      </c>
      <c r="J111" s="22"/>
      <c r="K111" s="59" t="s">
        <v>376</v>
      </c>
      <c r="L111" s="52" t="s">
        <v>48</v>
      </c>
      <c r="M111" s="61"/>
    </row>
    <row r="112" spans="1:13" ht="29.25" customHeight="1" x14ac:dyDescent="0.25">
      <c r="A112" s="260"/>
      <c r="B112" s="248" t="s">
        <v>377</v>
      </c>
      <c r="C112" s="249"/>
      <c r="D112" s="249"/>
      <c r="E112" s="249"/>
      <c r="F112" s="249"/>
      <c r="G112" s="249"/>
      <c r="H112" s="249"/>
      <c r="I112" s="249"/>
      <c r="J112" s="249"/>
      <c r="K112" s="249"/>
      <c r="L112" s="249"/>
      <c r="M112" s="250"/>
    </row>
    <row r="113" spans="1:13" ht="15.6" x14ac:dyDescent="0.25">
      <c r="A113" s="251" t="s">
        <v>378</v>
      </c>
      <c r="B113" s="252"/>
      <c r="C113" s="252"/>
      <c r="D113" s="252"/>
      <c r="E113" s="252"/>
      <c r="F113" s="252"/>
      <c r="G113" s="252"/>
      <c r="H113" s="252"/>
      <c r="I113" s="252"/>
      <c r="J113" s="252"/>
      <c r="K113" s="252"/>
      <c r="L113" s="252"/>
      <c r="M113" s="253"/>
    </row>
    <row r="114" spans="1:13" ht="66" x14ac:dyDescent="0.25">
      <c r="A114" s="288">
        <v>24</v>
      </c>
      <c r="B114" s="62" t="s">
        <v>379</v>
      </c>
      <c r="C114" s="62" t="s">
        <v>380</v>
      </c>
      <c r="D114" s="22" t="s">
        <v>381</v>
      </c>
      <c r="E114" s="23">
        <v>90</v>
      </c>
      <c r="F114" s="24" t="s">
        <v>15</v>
      </c>
      <c r="G114" s="24" t="s">
        <v>382</v>
      </c>
      <c r="H114" s="24">
        <f>250*117/100</f>
        <v>292.5</v>
      </c>
      <c r="I114" s="24">
        <f>H114*21*4*3</f>
        <v>73710</v>
      </c>
      <c r="J114" s="22" t="s">
        <v>16</v>
      </c>
      <c r="K114" s="59" t="s">
        <v>46</v>
      </c>
      <c r="L114" s="52" t="s">
        <v>48</v>
      </c>
      <c r="M114" s="63" t="s">
        <v>383</v>
      </c>
    </row>
    <row r="115" spans="1:13" ht="13.8" x14ac:dyDescent="0.25">
      <c r="A115" s="289"/>
      <c r="B115" s="248" t="s">
        <v>384</v>
      </c>
      <c r="C115" s="249"/>
      <c r="D115" s="249"/>
      <c r="E115" s="249"/>
      <c r="F115" s="249"/>
      <c r="G115" s="249"/>
      <c r="H115" s="249"/>
      <c r="I115" s="249"/>
      <c r="J115" s="249"/>
      <c r="K115" s="249"/>
      <c r="L115" s="249"/>
      <c r="M115" s="250"/>
    </row>
    <row r="116" spans="1:13" ht="15.6" x14ac:dyDescent="0.25">
      <c r="A116" s="251" t="s">
        <v>385</v>
      </c>
      <c r="B116" s="252"/>
      <c r="C116" s="252"/>
      <c r="D116" s="252"/>
      <c r="E116" s="252"/>
      <c r="F116" s="252"/>
      <c r="G116" s="252"/>
      <c r="H116" s="252"/>
      <c r="I116" s="252"/>
      <c r="J116" s="252"/>
      <c r="K116" s="252"/>
      <c r="L116" s="252"/>
      <c r="M116" s="253"/>
    </row>
    <row r="117" spans="1:13" ht="13.8" x14ac:dyDescent="0.25">
      <c r="A117" s="264">
        <v>25</v>
      </c>
      <c r="B117" s="293" t="s">
        <v>386</v>
      </c>
      <c r="C117" s="293" t="s">
        <v>368</v>
      </c>
      <c r="D117" s="22" t="s">
        <v>387</v>
      </c>
      <c r="E117" s="23">
        <v>100</v>
      </c>
      <c r="F117" s="24" t="s">
        <v>20</v>
      </c>
      <c r="G117" s="24" t="s">
        <v>20</v>
      </c>
      <c r="H117" s="24">
        <f>900*117/100</f>
        <v>1053</v>
      </c>
      <c r="I117" s="24">
        <f>H117</f>
        <v>1053</v>
      </c>
      <c r="J117" s="22"/>
      <c r="K117" s="294" t="s">
        <v>45</v>
      </c>
      <c r="L117" s="266" t="s">
        <v>48</v>
      </c>
      <c r="M117" s="267" t="s">
        <v>388</v>
      </c>
    </row>
    <row r="118" spans="1:13" ht="15.75" customHeight="1" x14ac:dyDescent="0.25">
      <c r="A118" s="259"/>
      <c r="B118" s="293"/>
      <c r="C118" s="293"/>
      <c r="D118" s="73" t="s">
        <v>389</v>
      </c>
      <c r="E118" s="74">
        <v>71</v>
      </c>
      <c r="F118" s="16" t="s">
        <v>20</v>
      </c>
      <c r="G118" s="16" t="s">
        <v>20</v>
      </c>
      <c r="H118" s="16">
        <f>1520*117/100</f>
        <v>1778.4</v>
      </c>
      <c r="I118" s="16">
        <f t="shared" ref="I118:I119" si="1">H118</f>
        <v>1778.4</v>
      </c>
      <c r="J118" s="73"/>
      <c r="K118" s="295"/>
      <c r="L118" s="263"/>
      <c r="M118" s="247"/>
    </row>
    <row r="119" spans="1:13" ht="39.6" x14ac:dyDescent="0.25">
      <c r="A119" s="259"/>
      <c r="B119" s="293"/>
      <c r="C119" s="293"/>
      <c r="D119" s="73" t="s">
        <v>390</v>
      </c>
      <c r="E119" s="74">
        <v>70</v>
      </c>
      <c r="F119" s="16" t="s">
        <v>20</v>
      </c>
      <c r="G119" s="16" t="s">
        <v>20</v>
      </c>
      <c r="H119" s="16">
        <f>1580*117/100</f>
        <v>1848.6</v>
      </c>
      <c r="I119" s="16">
        <f t="shared" si="1"/>
        <v>1848.6</v>
      </c>
      <c r="J119" s="73"/>
      <c r="K119" s="295"/>
      <c r="L119" s="263"/>
      <c r="M119" s="247"/>
    </row>
    <row r="120" spans="1:13" ht="15.75" customHeight="1" x14ac:dyDescent="0.25">
      <c r="A120" s="259"/>
      <c r="B120" s="293"/>
      <c r="C120" s="293"/>
      <c r="D120" s="73" t="s">
        <v>391</v>
      </c>
      <c r="E120" s="74">
        <v>10</v>
      </c>
      <c r="F120" s="16" t="s">
        <v>20</v>
      </c>
      <c r="G120" s="16" t="s">
        <v>20</v>
      </c>
      <c r="H120" s="16">
        <f>155*43*117/100</f>
        <v>7798.05</v>
      </c>
      <c r="I120" s="16">
        <f>H120</f>
        <v>7798.05</v>
      </c>
      <c r="J120" s="73"/>
      <c r="K120" s="296"/>
      <c r="L120" s="269"/>
      <c r="M120" s="270"/>
    </row>
    <row r="121" spans="1:13" ht="13.8" x14ac:dyDescent="0.25">
      <c r="A121" s="260"/>
      <c r="B121" s="248"/>
      <c r="C121" s="249"/>
      <c r="D121" s="249"/>
      <c r="E121" s="249"/>
      <c r="F121" s="249"/>
      <c r="G121" s="249"/>
      <c r="H121" s="249"/>
      <c r="I121" s="249"/>
      <c r="J121" s="249"/>
      <c r="K121" s="249"/>
      <c r="L121" s="249"/>
      <c r="M121" s="250"/>
    </row>
    <row r="122" spans="1:13" ht="15.6" x14ac:dyDescent="0.25">
      <c r="A122" s="251" t="s">
        <v>392</v>
      </c>
      <c r="B122" s="252"/>
      <c r="C122" s="252"/>
      <c r="D122" s="252"/>
      <c r="E122" s="252"/>
      <c r="F122" s="252"/>
      <c r="G122" s="252"/>
      <c r="H122" s="252"/>
      <c r="I122" s="252"/>
      <c r="J122" s="252"/>
      <c r="K122" s="252"/>
      <c r="L122" s="252"/>
      <c r="M122" s="253"/>
    </row>
    <row r="123" spans="1:13" ht="39.6" x14ac:dyDescent="0.25">
      <c r="A123" s="259">
        <v>26</v>
      </c>
      <c r="B123" s="265" t="s">
        <v>393</v>
      </c>
      <c r="C123" s="265" t="s">
        <v>368</v>
      </c>
      <c r="D123" s="22" t="s">
        <v>394</v>
      </c>
      <c r="E123" s="23">
        <v>100</v>
      </c>
      <c r="F123" s="24" t="s">
        <v>15</v>
      </c>
      <c r="G123" s="24" t="s">
        <v>395</v>
      </c>
      <c r="H123" s="24">
        <f>1440/8*117/100</f>
        <v>210.6</v>
      </c>
      <c r="I123" s="24">
        <f>H123*8</f>
        <v>1684.8</v>
      </c>
      <c r="J123" s="22" t="s">
        <v>16</v>
      </c>
      <c r="K123" s="262" t="s">
        <v>45</v>
      </c>
      <c r="L123" s="263" t="s">
        <v>48</v>
      </c>
      <c r="M123" s="247">
        <v>1761000520</v>
      </c>
    </row>
    <row r="124" spans="1:13" ht="26.4" x14ac:dyDescent="0.25">
      <c r="A124" s="259"/>
      <c r="B124" s="261"/>
      <c r="C124" s="261"/>
      <c r="D124" s="50" t="s">
        <v>396</v>
      </c>
      <c r="E124" s="7">
        <v>90</v>
      </c>
      <c r="F124" s="8" t="s">
        <v>15</v>
      </c>
      <c r="G124" s="8" t="s">
        <v>395</v>
      </c>
      <c r="H124" s="8">
        <f>667*117/100</f>
        <v>780.39</v>
      </c>
      <c r="I124" s="8">
        <f>H124*8</f>
        <v>6243.12</v>
      </c>
      <c r="J124" s="50" t="s">
        <v>16</v>
      </c>
      <c r="K124" s="262"/>
      <c r="L124" s="263"/>
      <c r="M124" s="247"/>
    </row>
    <row r="125" spans="1:13" ht="26.4" x14ac:dyDescent="0.25">
      <c r="A125" s="259"/>
      <c r="B125" s="261"/>
      <c r="C125" s="261"/>
      <c r="D125" s="50" t="s">
        <v>397</v>
      </c>
      <c r="E125" s="7">
        <v>80</v>
      </c>
      <c r="F125" s="8" t="s">
        <v>15</v>
      </c>
      <c r="G125" s="8" t="s">
        <v>395</v>
      </c>
      <c r="H125" s="8">
        <f>667*117/100</f>
        <v>780.39</v>
      </c>
      <c r="I125" s="8">
        <f>H125*8</f>
        <v>6243.12</v>
      </c>
      <c r="J125" s="50" t="s">
        <v>16</v>
      </c>
      <c r="K125" s="262"/>
      <c r="L125" s="263"/>
      <c r="M125" s="247"/>
    </row>
    <row r="126" spans="1:13" ht="13.8" x14ac:dyDescent="0.25">
      <c r="A126" s="260"/>
      <c r="B126" s="248" t="s">
        <v>398</v>
      </c>
      <c r="C126" s="249"/>
      <c r="D126" s="249"/>
      <c r="E126" s="249"/>
      <c r="F126" s="249"/>
      <c r="G126" s="249"/>
      <c r="H126" s="249"/>
      <c r="I126" s="249"/>
      <c r="J126" s="249"/>
      <c r="K126" s="249"/>
      <c r="L126" s="249"/>
      <c r="M126" s="250"/>
    </row>
    <row r="127" spans="1:13" ht="15.6" x14ac:dyDescent="0.25">
      <c r="A127" s="251" t="s">
        <v>399</v>
      </c>
      <c r="B127" s="252"/>
      <c r="C127" s="252"/>
      <c r="D127" s="252"/>
      <c r="E127" s="252"/>
      <c r="F127" s="252"/>
      <c r="G127" s="252"/>
      <c r="H127" s="252"/>
      <c r="I127" s="252"/>
      <c r="J127" s="252"/>
      <c r="K127" s="252"/>
      <c r="L127" s="252"/>
      <c r="M127" s="253"/>
    </row>
    <row r="128" spans="1:13" ht="39.6" x14ac:dyDescent="0.25">
      <c r="A128" s="259">
        <v>27</v>
      </c>
      <c r="B128" s="265" t="s">
        <v>400</v>
      </c>
      <c r="C128" s="265" t="s">
        <v>368</v>
      </c>
      <c r="D128" s="22" t="s">
        <v>369</v>
      </c>
      <c r="E128" s="23">
        <v>100</v>
      </c>
      <c r="F128" s="24" t="s">
        <v>20</v>
      </c>
      <c r="G128" s="24" t="s">
        <v>20</v>
      </c>
      <c r="H128" s="24">
        <v>12420</v>
      </c>
      <c r="I128" s="24">
        <f>H128</f>
        <v>12420</v>
      </c>
      <c r="J128" s="22" t="s">
        <v>16</v>
      </c>
      <c r="K128" s="262" t="s">
        <v>45</v>
      </c>
      <c r="L128" s="263" t="s">
        <v>48</v>
      </c>
      <c r="M128" s="247" t="s">
        <v>401</v>
      </c>
    </row>
    <row r="129" spans="1:13" ht="13.8" x14ac:dyDescent="0.25">
      <c r="A129" s="259"/>
      <c r="B129" s="261"/>
      <c r="C129" s="261"/>
      <c r="D129" s="50" t="s">
        <v>402</v>
      </c>
      <c r="E129" s="7">
        <v>90</v>
      </c>
      <c r="F129" s="8" t="s">
        <v>20</v>
      </c>
      <c r="G129" s="8" t="s">
        <v>20</v>
      </c>
      <c r="H129" s="8">
        <f>18460*117/100</f>
        <v>21598.2</v>
      </c>
      <c r="I129" s="8">
        <f>H129</f>
        <v>21598.2</v>
      </c>
      <c r="J129" s="50" t="s">
        <v>16</v>
      </c>
      <c r="K129" s="262"/>
      <c r="L129" s="263"/>
      <c r="M129" s="247"/>
    </row>
    <row r="130" spans="1:13" ht="13.8" x14ac:dyDescent="0.25">
      <c r="A130" s="259"/>
      <c r="B130" s="261"/>
      <c r="C130" s="261"/>
      <c r="D130" s="50" t="s">
        <v>403</v>
      </c>
      <c r="E130" s="7">
        <v>80</v>
      </c>
      <c r="F130" s="8" t="s">
        <v>20</v>
      </c>
      <c r="G130" s="8" t="s">
        <v>20</v>
      </c>
      <c r="H130" s="8">
        <f>21600*117/100</f>
        <v>25272</v>
      </c>
      <c r="I130" s="8">
        <f>H130</f>
        <v>25272</v>
      </c>
      <c r="J130" s="50" t="s">
        <v>16</v>
      </c>
      <c r="K130" s="262"/>
      <c r="L130" s="263"/>
      <c r="M130" s="247"/>
    </row>
    <row r="131" spans="1:13" ht="13.8" x14ac:dyDescent="0.25">
      <c r="A131" s="259"/>
      <c r="B131" s="261"/>
      <c r="C131" s="261"/>
      <c r="D131" s="50" t="s">
        <v>404</v>
      </c>
      <c r="E131" s="7">
        <v>64</v>
      </c>
      <c r="F131" s="8" t="s">
        <v>20</v>
      </c>
      <c r="G131" s="8" t="s">
        <v>20</v>
      </c>
      <c r="H131" s="8">
        <f>27840*117/100</f>
        <v>32572.799999999999</v>
      </c>
      <c r="I131" s="8">
        <f>H131</f>
        <v>32572.799999999999</v>
      </c>
      <c r="J131" s="50" t="s">
        <v>16</v>
      </c>
      <c r="K131" s="262"/>
      <c r="L131" s="263"/>
      <c r="M131" s="247"/>
    </row>
    <row r="132" spans="1:13" ht="13.8" x14ac:dyDescent="0.25">
      <c r="A132" s="260"/>
      <c r="B132" s="248"/>
      <c r="C132" s="249"/>
      <c r="D132" s="249"/>
      <c r="E132" s="249"/>
      <c r="F132" s="249"/>
      <c r="G132" s="249"/>
      <c r="H132" s="249"/>
      <c r="I132" s="249"/>
      <c r="J132" s="249"/>
      <c r="K132" s="249"/>
      <c r="L132" s="249"/>
      <c r="M132" s="250"/>
    </row>
    <row r="133" spans="1:13" ht="15.6" x14ac:dyDescent="0.25">
      <c r="A133" s="251" t="s">
        <v>405</v>
      </c>
      <c r="B133" s="252"/>
      <c r="C133" s="252"/>
      <c r="D133" s="252"/>
      <c r="E133" s="252"/>
      <c r="F133" s="252"/>
      <c r="G133" s="252"/>
      <c r="H133" s="252"/>
      <c r="I133" s="252"/>
      <c r="J133" s="252"/>
      <c r="K133" s="252"/>
      <c r="L133" s="252"/>
      <c r="M133" s="253"/>
    </row>
    <row r="134" spans="1:13" ht="52.8" x14ac:dyDescent="0.25">
      <c r="A134" s="290">
        <v>28</v>
      </c>
      <c r="B134" s="62" t="s">
        <v>406</v>
      </c>
      <c r="C134" s="62" t="s">
        <v>407</v>
      </c>
      <c r="D134" s="22" t="s">
        <v>408</v>
      </c>
      <c r="E134" s="23">
        <v>100</v>
      </c>
      <c r="F134" s="24" t="s">
        <v>409</v>
      </c>
      <c r="G134" s="24" t="s">
        <v>410</v>
      </c>
      <c r="H134" s="24">
        <f>17000*117/100</f>
        <v>19890</v>
      </c>
      <c r="I134" s="24">
        <f>H134*2</f>
        <v>39780</v>
      </c>
      <c r="J134" s="22" t="s">
        <v>16</v>
      </c>
      <c r="K134" s="59" t="s">
        <v>411</v>
      </c>
      <c r="L134" s="52" t="s">
        <v>48</v>
      </c>
      <c r="M134" s="63">
        <v>746750</v>
      </c>
    </row>
    <row r="135" spans="1:13" ht="14.25" customHeight="1" x14ac:dyDescent="0.25">
      <c r="A135" s="289"/>
      <c r="B135" s="248" t="s">
        <v>412</v>
      </c>
      <c r="C135" s="249"/>
      <c r="D135" s="249"/>
      <c r="E135" s="249"/>
      <c r="F135" s="249"/>
      <c r="G135" s="249"/>
      <c r="H135" s="249"/>
      <c r="I135" s="249"/>
      <c r="J135" s="249"/>
      <c r="K135" s="249"/>
      <c r="L135" s="249"/>
      <c r="M135" s="250"/>
    </row>
    <row r="136" spans="1:13" ht="15.6" x14ac:dyDescent="0.25">
      <c r="A136" s="251" t="s">
        <v>413</v>
      </c>
      <c r="B136" s="252"/>
      <c r="C136" s="252"/>
      <c r="D136" s="252"/>
      <c r="E136" s="252"/>
      <c r="F136" s="252"/>
      <c r="G136" s="252"/>
      <c r="H136" s="252"/>
      <c r="I136" s="252"/>
      <c r="J136" s="252"/>
      <c r="K136" s="252"/>
      <c r="L136" s="252"/>
      <c r="M136" s="253"/>
    </row>
    <row r="137" spans="1:13" ht="52.8" x14ac:dyDescent="0.25">
      <c r="A137" s="288">
        <v>29</v>
      </c>
      <c r="B137" s="62" t="s">
        <v>414</v>
      </c>
      <c r="C137" s="62" t="s">
        <v>35</v>
      </c>
      <c r="D137" s="22" t="s">
        <v>415</v>
      </c>
      <c r="E137" s="23">
        <v>100</v>
      </c>
      <c r="F137" s="24" t="s">
        <v>20</v>
      </c>
      <c r="G137" s="24" t="s">
        <v>20</v>
      </c>
      <c r="H137" s="24">
        <f>30000*117/100</f>
        <v>35100</v>
      </c>
      <c r="I137" s="24">
        <f>30000*117/100</f>
        <v>35100</v>
      </c>
      <c r="J137" s="22" t="s">
        <v>16</v>
      </c>
      <c r="K137" s="59" t="s">
        <v>46</v>
      </c>
      <c r="L137" s="52" t="s">
        <v>48</v>
      </c>
      <c r="M137" s="63"/>
    </row>
    <row r="138" spans="1:13" ht="14.25" customHeight="1" x14ac:dyDescent="0.25">
      <c r="A138" s="289"/>
      <c r="B138" s="248" t="s">
        <v>416</v>
      </c>
      <c r="C138" s="249"/>
      <c r="D138" s="249"/>
      <c r="E138" s="249"/>
      <c r="F138" s="249"/>
      <c r="G138" s="249"/>
      <c r="H138" s="249"/>
      <c r="I138" s="249"/>
      <c r="J138" s="249"/>
      <c r="K138" s="249"/>
      <c r="L138" s="249"/>
      <c r="M138" s="250"/>
    </row>
    <row r="139" spans="1:13" ht="15.6" x14ac:dyDescent="0.25">
      <c r="A139" s="251" t="s">
        <v>417</v>
      </c>
      <c r="B139" s="252"/>
      <c r="C139" s="252"/>
      <c r="D139" s="252"/>
      <c r="E139" s="252"/>
      <c r="F139" s="252"/>
      <c r="G139" s="252"/>
      <c r="H139" s="252"/>
      <c r="I139" s="252"/>
      <c r="J139" s="252"/>
      <c r="K139" s="252"/>
      <c r="L139" s="252"/>
      <c r="M139" s="253"/>
    </row>
    <row r="140" spans="1:13" ht="52.8" x14ac:dyDescent="0.25">
      <c r="A140" s="288">
        <v>30</v>
      </c>
      <c r="B140" s="62" t="s">
        <v>418</v>
      </c>
      <c r="C140" s="62" t="s">
        <v>35</v>
      </c>
      <c r="D140" s="22" t="s">
        <v>419</v>
      </c>
      <c r="E140" s="23">
        <v>100</v>
      </c>
      <c r="F140" s="24" t="s">
        <v>20</v>
      </c>
      <c r="G140" s="24" t="s">
        <v>20</v>
      </c>
      <c r="H140" s="24">
        <f>30033*117/100</f>
        <v>35138.61</v>
      </c>
      <c r="I140" s="24">
        <f>30033*117/100</f>
        <v>35138.61</v>
      </c>
      <c r="J140" s="22" t="s">
        <v>16</v>
      </c>
      <c r="K140" s="59" t="s">
        <v>46</v>
      </c>
      <c r="L140" s="52" t="s">
        <v>48</v>
      </c>
    </row>
    <row r="141" spans="1:13" ht="13.8" x14ac:dyDescent="0.25">
      <c r="A141" s="289"/>
      <c r="B141" s="248" t="s">
        <v>420</v>
      </c>
      <c r="C141" s="249"/>
      <c r="D141" s="249"/>
      <c r="E141" s="249"/>
      <c r="F141" s="249"/>
      <c r="G141" s="249"/>
      <c r="H141" s="249"/>
      <c r="I141" s="249"/>
      <c r="J141" s="249"/>
      <c r="K141" s="249"/>
      <c r="L141" s="249"/>
      <c r="M141" s="250"/>
    </row>
    <row r="142" spans="1:13" ht="15.6" x14ac:dyDescent="0.25">
      <c r="A142" s="251" t="s">
        <v>421</v>
      </c>
      <c r="B142" s="252"/>
      <c r="C142" s="252"/>
      <c r="D142" s="252"/>
      <c r="E142" s="252"/>
      <c r="F142" s="252"/>
      <c r="G142" s="252"/>
      <c r="H142" s="252"/>
      <c r="I142" s="252"/>
      <c r="J142" s="252"/>
      <c r="K142" s="252"/>
      <c r="L142" s="252"/>
      <c r="M142" s="253"/>
    </row>
    <row r="143" spans="1:13" s="10" customFormat="1" ht="39.6" x14ac:dyDescent="0.25">
      <c r="A143" s="259">
        <v>31</v>
      </c>
      <c r="B143" s="261" t="s">
        <v>422</v>
      </c>
      <c r="C143" s="261" t="s">
        <v>423</v>
      </c>
      <c r="D143" s="73" t="s">
        <v>302</v>
      </c>
      <c r="E143" s="74">
        <v>100</v>
      </c>
      <c r="F143" s="16" t="s">
        <v>15</v>
      </c>
      <c r="G143" s="16" t="s">
        <v>424</v>
      </c>
      <c r="H143" s="16">
        <f>230*117/100</f>
        <v>269.10000000000002</v>
      </c>
      <c r="I143" s="16">
        <f>H143*50*12</f>
        <v>161460.00000000003</v>
      </c>
      <c r="J143" s="73" t="s">
        <v>16</v>
      </c>
      <c r="K143" s="262" t="s">
        <v>45</v>
      </c>
      <c r="L143" s="263"/>
      <c r="M143" s="247"/>
    </row>
    <row r="144" spans="1:13" s="10" customFormat="1" ht="39.6" x14ac:dyDescent="0.25">
      <c r="A144" s="259"/>
      <c r="B144" s="261"/>
      <c r="C144" s="261"/>
      <c r="D144" s="22" t="s">
        <v>425</v>
      </c>
      <c r="E144" s="23">
        <v>100</v>
      </c>
      <c r="F144" s="24" t="s">
        <v>15</v>
      </c>
      <c r="G144" s="24" t="s">
        <v>424</v>
      </c>
      <c r="H144" s="24">
        <f>230*117/100</f>
        <v>269.10000000000002</v>
      </c>
      <c r="I144" s="24">
        <f t="shared" ref="I144:I146" si="2">H144*50*12</f>
        <v>161460.00000000003</v>
      </c>
      <c r="J144" s="22" t="s">
        <v>16</v>
      </c>
      <c r="K144" s="262"/>
      <c r="L144" s="263"/>
      <c r="M144" s="247"/>
    </row>
    <row r="145" spans="1:13" s="10" customFormat="1" ht="39.6" x14ac:dyDescent="0.25">
      <c r="A145" s="259"/>
      <c r="B145" s="261"/>
      <c r="C145" s="261"/>
      <c r="D145" s="73" t="s">
        <v>313</v>
      </c>
      <c r="E145" s="74">
        <v>85</v>
      </c>
      <c r="F145" s="16" t="s">
        <v>15</v>
      </c>
      <c r="G145" s="16" t="s">
        <v>424</v>
      </c>
      <c r="H145" s="16">
        <f>295*117/100</f>
        <v>345.15</v>
      </c>
      <c r="I145" s="16">
        <f t="shared" si="2"/>
        <v>207090</v>
      </c>
      <c r="J145" s="73" t="s">
        <v>16</v>
      </c>
      <c r="K145" s="262"/>
      <c r="L145" s="263"/>
      <c r="M145" s="247"/>
    </row>
    <row r="146" spans="1:13" ht="39.6" x14ac:dyDescent="0.25">
      <c r="A146" s="259"/>
      <c r="B146" s="261"/>
      <c r="C146" s="261"/>
      <c r="D146" s="50" t="s">
        <v>426</v>
      </c>
      <c r="E146" s="7">
        <v>70</v>
      </c>
      <c r="F146" s="16" t="s">
        <v>15</v>
      </c>
      <c r="G146" s="16" t="s">
        <v>424</v>
      </c>
      <c r="H146" s="16">
        <f>253.8*117/100</f>
        <v>296.94600000000003</v>
      </c>
      <c r="I146" s="16">
        <f t="shared" si="2"/>
        <v>178167.6</v>
      </c>
      <c r="J146" s="50" t="s">
        <v>16</v>
      </c>
      <c r="K146" s="262"/>
      <c r="L146" s="263"/>
      <c r="M146" s="247"/>
    </row>
    <row r="147" spans="1:13" ht="14.25" customHeight="1" x14ac:dyDescent="0.25">
      <c r="A147" s="260"/>
      <c r="B147" s="248"/>
      <c r="C147" s="249"/>
      <c r="D147" s="249"/>
      <c r="E147" s="249"/>
      <c r="F147" s="249"/>
      <c r="G147" s="249"/>
      <c r="H147" s="249"/>
      <c r="I147" s="249"/>
      <c r="J147" s="249"/>
      <c r="K147" s="249"/>
      <c r="L147" s="249"/>
      <c r="M147" s="250"/>
    </row>
    <row r="148" spans="1:13" ht="15.6" x14ac:dyDescent="0.25">
      <c r="A148" s="251" t="s">
        <v>427</v>
      </c>
      <c r="B148" s="252"/>
      <c r="C148" s="252"/>
      <c r="D148" s="252"/>
      <c r="E148" s="252"/>
      <c r="F148" s="252"/>
      <c r="G148" s="252"/>
      <c r="H148" s="252"/>
      <c r="I148" s="252"/>
      <c r="J148" s="252"/>
      <c r="K148" s="252"/>
      <c r="L148" s="252"/>
      <c r="M148" s="253"/>
    </row>
    <row r="149" spans="1:13" ht="52.8" x14ac:dyDescent="0.25">
      <c r="A149" s="288">
        <v>32</v>
      </c>
      <c r="B149" s="62" t="s">
        <v>428</v>
      </c>
      <c r="C149" s="62" t="s">
        <v>429</v>
      </c>
      <c r="D149" s="64" t="s">
        <v>302</v>
      </c>
      <c r="E149" s="65">
        <v>100</v>
      </c>
      <c r="F149" s="66" t="s">
        <v>17</v>
      </c>
      <c r="G149" s="66" t="s">
        <v>430</v>
      </c>
      <c r="H149" s="66">
        <v>4.4999999999999998E-2</v>
      </c>
      <c r="I149" s="66">
        <f>4.5/100*4500000*117/100</f>
        <v>236925</v>
      </c>
      <c r="J149" s="67" t="s">
        <v>16</v>
      </c>
      <c r="K149" s="59" t="s">
        <v>359</v>
      </c>
      <c r="L149" s="52" t="s">
        <v>48</v>
      </c>
      <c r="M149" s="21" t="s">
        <v>431</v>
      </c>
    </row>
    <row r="150" spans="1:13" ht="13.8" x14ac:dyDescent="0.25">
      <c r="A150" s="289"/>
      <c r="B150" s="248" t="s">
        <v>432</v>
      </c>
      <c r="C150" s="249"/>
      <c r="D150" s="249"/>
      <c r="E150" s="249"/>
      <c r="F150" s="249"/>
      <c r="G150" s="249"/>
      <c r="H150" s="249"/>
      <c r="I150" s="249"/>
      <c r="J150" s="249"/>
      <c r="K150" s="249"/>
      <c r="L150" s="249"/>
      <c r="M150" s="250"/>
    </row>
    <row r="151" spans="1:13" ht="15.6" x14ac:dyDescent="0.25">
      <c r="A151" s="251" t="s">
        <v>433</v>
      </c>
      <c r="B151" s="252"/>
      <c r="C151" s="252"/>
      <c r="D151" s="252"/>
      <c r="E151" s="252"/>
      <c r="F151" s="252"/>
      <c r="G151" s="252"/>
      <c r="H151" s="252"/>
      <c r="I151" s="252"/>
      <c r="J151" s="252"/>
      <c r="K151" s="252"/>
      <c r="L151" s="252"/>
      <c r="M151" s="253"/>
    </row>
    <row r="152" spans="1:13" ht="13.8" x14ac:dyDescent="0.25">
      <c r="A152" s="259">
        <v>33</v>
      </c>
      <c r="B152" s="261" t="s">
        <v>36</v>
      </c>
      <c r="C152" s="261" t="s">
        <v>18</v>
      </c>
      <c r="D152" s="22" t="s">
        <v>37</v>
      </c>
      <c r="E152" s="23">
        <v>88</v>
      </c>
      <c r="F152" s="24" t="s">
        <v>20</v>
      </c>
      <c r="G152" s="24" t="s">
        <v>20</v>
      </c>
      <c r="H152" s="24">
        <f>47380*117/100</f>
        <v>55434.6</v>
      </c>
      <c r="I152" s="24">
        <f>47380*117/100</f>
        <v>55434.6</v>
      </c>
      <c r="J152" s="22"/>
      <c r="K152" s="292" t="s">
        <v>434</v>
      </c>
      <c r="L152" s="263"/>
      <c r="M152" s="247" t="s">
        <v>42</v>
      </c>
    </row>
    <row r="153" spans="1:13" ht="13.8" x14ac:dyDescent="0.25">
      <c r="A153" s="259"/>
      <c r="B153" s="261"/>
      <c r="C153" s="261"/>
      <c r="D153" s="50" t="s">
        <v>38</v>
      </c>
      <c r="E153" s="7">
        <v>83</v>
      </c>
      <c r="F153" s="8" t="s">
        <v>20</v>
      </c>
      <c r="G153" s="8" t="s">
        <v>20</v>
      </c>
      <c r="H153" s="8">
        <f>51042*117/100</f>
        <v>59719.14</v>
      </c>
      <c r="I153" s="8">
        <f>51042*117/100</f>
        <v>59719.14</v>
      </c>
      <c r="J153" s="50"/>
      <c r="K153" s="292"/>
      <c r="L153" s="263"/>
      <c r="M153" s="247"/>
    </row>
    <row r="154" spans="1:13" ht="13.8" x14ac:dyDescent="0.25">
      <c r="A154" s="259"/>
      <c r="B154" s="261"/>
      <c r="C154" s="261"/>
      <c r="D154" s="50" t="s">
        <v>39</v>
      </c>
      <c r="E154" s="7">
        <v>78</v>
      </c>
      <c r="F154" s="8" t="s">
        <v>20</v>
      </c>
      <c r="G154" s="8" t="s">
        <v>20</v>
      </c>
      <c r="H154" s="8">
        <f>55246*117/100</f>
        <v>64637.82</v>
      </c>
      <c r="I154" s="8">
        <f>55246*117/100</f>
        <v>64637.82</v>
      </c>
      <c r="J154" s="50"/>
      <c r="K154" s="292"/>
      <c r="L154" s="263"/>
      <c r="M154" s="247"/>
    </row>
    <row r="155" spans="1:13" ht="13.8" x14ac:dyDescent="0.25">
      <c r="A155" s="259"/>
      <c r="B155" s="261"/>
      <c r="C155" s="261"/>
      <c r="D155" s="50" t="s">
        <v>40</v>
      </c>
      <c r="E155" s="7">
        <v>85</v>
      </c>
      <c r="F155" s="8" t="s">
        <v>20</v>
      </c>
      <c r="G155" s="8" t="s">
        <v>20</v>
      </c>
      <c r="H155" s="8">
        <f>60800*117/100</f>
        <v>71136</v>
      </c>
      <c r="I155" s="8">
        <f>60800*117/100</f>
        <v>71136</v>
      </c>
      <c r="J155" s="50"/>
      <c r="K155" s="292"/>
      <c r="L155" s="263"/>
      <c r="M155" s="247"/>
    </row>
    <row r="156" spans="1:13" ht="13.8" x14ac:dyDescent="0.25">
      <c r="A156" s="260"/>
      <c r="B156" s="248"/>
      <c r="C156" s="249"/>
      <c r="D156" s="249"/>
      <c r="E156" s="249"/>
      <c r="F156" s="249"/>
      <c r="G156" s="249"/>
      <c r="H156" s="249"/>
      <c r="I156" s="249"/>
      <c r="J156" s="249"/>
      <c r="K156" s="249"/>
      <c r="L156" s="249"/>
      <c r="M156" s="250"/>
    </row>
    <row r="157" spans="1:13" ht="15.6" x14ac:dyDescent="0.25">
      <c r="A157" s="251" t="s">
        <v>435</v>
      </c>
      <c r="B157" s="252"/>
      <c r="C157" s="252"/>
      <c r="D157" s="252"/>
      <c r="E157" s="252"/>
      <c r="F157" s="252"/>
      <c r="G157" s="252"/>
      <c r="H157" s="252"/>
      <c r="I157" s="252"/>
      <c r="J157" s="252"/>
      <c r="K157" s="252"/>
      <c r="L157" s="252"/>
      <c r="M157" s="253"/>
    </row>
    <row r="158" spans="1:13" ht="14.25" customHeight="1" x14ac:dyDescent="0.25">
      <c r="A158" s="259">
        <v>34</v>
      </c>
      <c r="B158" s="261" t="s">
        <v>41</v>
      </c>
      <c r="C158" s="261" t="s">
        <v>18</v>
      </c>
      <c r="D158" s="22" t="s">
        <v>38</v>
      </c>
      <c r="E158" s="23">
        <v>88</v>
      </c>
      <c r="F158" s="24" t="s">
        <v>20</v>
      </c>
      <c r="G158" s="24" t="s">
        <v>20</v>
      </c>
      <c r="H158" s="24">
        <f>34595*117/100</f>
        <v>40476.15</v>
      </c>
      <c r="I158" s="24">
        <f>34595*117/100</f>
        <v>40476.15</v>
      </c>
      <c r="J158" s="22"/>
      <c r="K158" s="292" t="s">
        <v>434</v>
      </c>
      <c r="L158" s="263"/>
      <c r="M158" s="247">
        <v>25005</v>
      </c>
    </row>
    <row r="159" spans="1:13" ht="14.25" customHeight="1" x14ac:dyDescent="0.25">
      <c r="A159" s="259"/>
      <c r="B159" s="261"/>
      <c r="C159" s="261"/>
      <c r="D159" s="50" t="s">
        <v>37</v>
      </c>
      <c r="E159" s="7">
        <v>84</v>
      </c>
      <c r="F159" s="8" t="s">
        <v>20</v>
      </c>
      <c r="G159" s="8" t="s">
        <v>20</v>
      </c>
      <c r="H159" s="8">
        <f>36850*117/100</f>
        <v>43114.5</v>
      </c>
      <c r="I159" s="8">
        <f>36850*117/100</f>
        <v>43114.5</v>
      </c>
      <c r="J159" s="50"/>
      <c r="K159" s="292"/>
      <c r="L159" s="263"/>
      <c r="M159" s="247"/>
    </row>
    <row r="160" spans="1:13" ht="14.25" customHeight="1" x14ac:dyDescent="0.25">
      <c r="A160" s="259"/>
      <c r="B160" s="261"/>
      <c r="C160" s="261"/>
      <c r="D160" s="50" t="s">
        <v>39</v>
      </c>
      <c r="E160" s="7">
        <v>83</v>
      </c>
      <c r="F160" s="8" t="s">
        <v>20</v>
      </c>
      <c r="G160" s="8" t="s">
        <v>20</v>
      </c>
      <c r="H160" s="8">
        <f>37444*117/100</f>
        <v>43809.48</v>
      </c>
      <c r="I160" s="8">
        <f>37444*117/100</f>
        <v>43809.48</v>
      </c>
      <c r="J160" s="50"/>
      <c r="K160" s="292"/>
      <c r="L160" s="263"/>
      <c r="M160" s="247"/>
    </row>
    <row r="161" spans="1:13" ht="14.25" customHeight="1" x14ac:dyDescent="0.25">
      <c r="A161" s="259"/>
      <c r="B161" s="261"/>
      <c r="C161" s="261"/>
      <c r="D161" s="50" t="s">
        <v>40</v>
      </c>
      <c r="E161" s="7">
        <v>74</v>
      </c>
      <c r="F161" s="8" t="s">
        <v>20</v>
      </c>
      <c r="G161" s="8" t="s">
        <v>20</v>
      </c>
      <c r="H161" s="8">
        <f>43050*117/100</f>
        <v>50368.5</v>
      </c>
      <c r="I161" s="8">
        <f>43050*117/100</f>
        <v>50368.5</v>
      </c>
      <c r="J161" s="50"/>
      <c r="K161" s="292"/>
      <c r="L161" s="263"/>
      <c r="M161" s="247"/>
    </row>
    <row r="162" spans="1:13" ht="13.8" x14ac:dyDescent="0.25">
      <c r="A162" s="260"/>
      <c r="B162" s="248"/>
      <c r="C162" s="249"/>
      <c r="D162" s="249"/>
      <c r="E162" s="249"/>
      <c r="F162" s="249"/>
      <c r="G162" s="249"/>
      <c r="H162" s="249"/>
      <c r="I162" s="249"/>
      <c r="J162" s="249"/>
      <c r="K162" s="249"/>
      <c r="L162" s="249"/>
      <c r="M162" s="250"/>
    </row>
    <row r="163" spans="1:13" ht="15.6" x14ac:dyDescent="0.25">
      <c r="A163" s="251" t="s">
        <v>436</v>
      </c>
      <c r="B163" s="252"/>
      <c r="C163" s="252"/>
      <c r="D163" s="252"/>
      <c r="E163" s="252"/>
      <c r="F163" s="252"/>
      <c r="G163" s="252"/>
      <c r="H163" s="252"/>
      <c r="I163" s="252"/>
      <c r="J163" s="252"/>
      <c r="K163" s="252"/>
      <c r="L163" s="252"/>
      <c r="M163" s="253"/>
    </row>
    <row r="164" spans="1:13" ht="52.8" x14ac:dyDescent="0.25">
      <c r="A164" s="288">
        <v>35</v>
      </c>
      <c r="B164" s="62" t="s">
        <v>437</v>
      </c>
      <c r="C164" s="62" t="s">
        <v>35</v>
      </c>
      <c r="D164" s="22" t="s">
        <v>43</v>
      </c>
      <c r="E164" s="23">
        <v>100</v>
      </c>
      <c r="F164" s="24" t="s">
        <v>15</v>
      </c>
      <c r="G164" s="24" t="s">
        <v>44</v>
      </c>
      <c r="H164" s="24">
        <f>234*117/100</f>
        <v>273.77999999999997</v>
      </c>
      <c r="I164" s="24">
        <f>H164*100*2</f>
        <v>54755.999999999993</v>
      </c>
      <c r="J164" s="22" t="s">
        <v>16</v>
      </c>
      <c r="K164" s="59" t="s">
        <v>46</v>
      </c>
      <c r="L164" s="52" t="s">
        <v>48</v>
      </c>
    </row>
    <row r="165" spans="1:13" ht="13.8" x14ac:dyDescent="0.25">
      <c r="A165" s="289"/>
      <c r="B165" s="248" t="s">
        <v>438</v>
      </c>
      <c r="C165" s="249"/>
      <c r="D165" s="249"/>
      <c r="E165" s="249"/>
      <c r="F165" s="249"/>
      <c r="G165" s="249"/>
      <c r="H165" s="249"/>
      <c r="I165" s="249"/>
      <c r="J165" s="249"/>
      <c r="K165" s="249"/>
      <c r="L165" s="249"/>
      <c r="M165" s="250"/>
    </row>
    <row r="166" spans="1:13" ht="15.6" x14ac:dyDescent="0.25">
      <c r="A166" s="251" t="s">
        <v>439</v>
      </c>
      <c r="B166" s="252"/>
      <c r="C166" s="252"/>
      <c r="D166" s="252"/>
      <c r="E166" s="252"/>
      <c r="F166" s="252"/>
      <c r="G166" s="252"/>
      <c r="H166" s="252"/>
      <c r="I166" s="252"/>
      <c r="J166" s="252"/>
      <c r="K166" s="252"/>
      <c r="L166" s="252"/>
      <c r="M166" s="253"/>
    </row>
    <row r="167" spans="1:13" ht="52.8" x14ac:dyDescent="0.25">
      <c r="A167" s="288">
        <v>36</v>
      </c>
      <c r="B167" s="62" t="s">
        <v>440</v>
      </c>
      <c r="C167" s="62" t="s">
        <v>35</v>
      </c>
      <c r="D167" s="22" t="s">
        <v>441</v>
      </c>
      <c r="E167" s="23">
        <v>100</v>
      </c>
      <c r="F167" s="24" t="s">
        <v>15</v>
      </c>
      <c r="G167" s="24" t="s">
        <v>442</v>
      </c>
      <c r="H167" s="24">
        <v>150</v>
      </c>
      <c r="I167" s="24">
        <f>H167*120*2</f>
        <v>36000</v>
      </c>
      <c r="J167" s="22" t="s">
        <v>16</v>
      </c>
      <c r="K167" s="59" t="s">
        <v>46</v>
      </c>
      <c r="L167" s="52" t="s">
        <v>48</v>
      </c>
    </row>
    <row r="168" spans="1:13" ht="13.8" x14ac:dyDescent="0.25">
      <c r="A168" s="289"/>
      <c r="B168" s="248" t="s">
        <v>443</v>
      </c>
      <c r="C168" s="249"/>
      <c r="D168" s="249"/>
      <c r="E168" s="249"/>
      <c r="F168" s="249"/>
      <c r="G168" s="249"/>
      <c r="H168" s="249"/>
      <c r="I168" s="249"/>
      <c r="J168" s="249"/>
      <c r="K168" s="249"/>
      <c r="L168" s="249"/>
      <c r="M168" s="250"/>
    </row>
    <row r="169" spans="1:13" ht="15.6" x14ac:dyDescent="0.25">
      <c r="A169" s="251" t="s">
        <v>444</v>
      </c>
      <c r="B169" s="252"/>
      <c r="C169" s="252"/>
      <c r="D169" s="252"/>
      <c r="E169" s="252"/>
      <c r="F169" s="252"/>
      <c r="G169" s="252"/>
      <c r="H169" s="252"/>
      <c r="I169" s="252"/>
      <c r="J169" s="252"/>
      <c r="K169" s="252"/>
      <c r="L169" s="252"/>
      <c r="M169" s="253"/>
    </row>
    <row r="170" spans="1:13" ht="26.4" x14ac:dyDescent="0.25">
      <c r="A170" s="264">
        <v>37</v>
      </c>
      <c r="B170" s="265" t="s">
        <v>445</v>
      </c>
      <c r="C170" s="265" t="s">
        <v>446</v>
      </c>
      <c r="D170" s="22" t="s">
        <v>447</v>
      </c>
      <c r="E170" s="23">
        <v>100</v>
      </c>
      <c r="F170" s="24" t="s">
        <v>448</v>
      </c>
      <c r="G170" s="24" t="s">
        <v>449</v>
      </c>
      <c r="H170" s="24" t="s">
        <v>450</v>
      </c>
      <c r="I170" s="24">
        <f>1/100*20000000</f>
        <v>200000</v>
      </c>
      <c r="J170" s="22" t="s">
        <v>16</v>
      </c>
      <c r="K170" s="271" t="s">
        <v>45</v>
      </c>
      <c r="L170" s="266" t="s">
        <v>48</v>
      </c>
      <c r="M170" s="267" t="s">
        <v>451</v>
      </c>
    </row>
    <row r="171" spans="1:13" ht="26.4" x14ac:dyDescent="0.25">
      <c r="A171" s="259"/>
      <c r="B171" s="261"/>
      <c r="C171" s="261"/>
      <c r="D171" s="50" t="s">
        <v>452</v>
      </c>
      <c r="E171" s="7">
        <v>90</v>
      </c>
      <c r="F171" s="8" t="s">
        <v>448</v>
      </c>
      <c r="G171" s="8" t="s">
        <v>449</v>
      </c>
      <c r="H171" s="7" t="s">
        <v>453</v>
      </c>
      <c r="I171" s="8">
        <f>1.5/100*20000000</f>
        <v>300000</v>
      </c>
      <c r="J171" s="50" t="s">
        <v>16</v>
      </c>
      <c r="K171" s="262"/>
      <c r="L171" s="263"/>
      <c r="M171" s="247"/>
    </row>
    <row r="172" spans="1:13" ht="26.4" x14ac:dyDescent="0.25">
      <c r="A172" s="259"/>
      <c r="B172" s="261"/>
      <c r="C172" s="261"/>
      <c r="D172" s="50" t="s">
        <v>454</v>
      </c>
      <c r="E172" s="7">
        <v>80</v>
      </c>
      <c r="F172" s="8" t="s">
        <v>448</v>
      </c>
      <c r="G172" s="8" t="s">
        <v>449</v>
      </c>
      <c r="H172" s="76">
        <v>0.03</v>
      </c>
      <c r="I172" s="8">
        <f>3/100*20000000</f>
        <v>600000</v>
      </c>
      <c r="J172" s="50" t="s">
        <v>16</v>
      </c>
      <c r="K172" s="262"/>
      <c r="L172" s="263"/>
      <c r="M172" s="247"/>
    </row>
    <row r="173" spans="1:13" ht="26.4" x14ac:dyDescent="0.25">
      <c r="A173" s="259"/>
      <c r="B173" s="268"/>
      <c r="C173" s="268"/>
      <c r="D173" s="50" t="s">
        <v>455</v>
      </c>
      <c r="E173" s="7">
        <v>70</v>
      </c>
      <c r="F173" s="8" t="s">
        <v>448</v>
      </c>
      <c r="G173" s="8" t="s">
        <v>449</v>
      </c>
      <c r="H173" s="76">
        <v>0.04</v>
      </c>
      <c r="I173" s="8">
        <f>4/100*20000000</f>
        <v>800000</v>
      </c>
      <c r="J173" s="50" t="s">
        <v>16</v>
      </c>
      <c r="K173" s="272"/>
      <c r="L173" s="269"/>
      <c r="M173" s="270"/>
    </row>
    <row r="174" spans="1:13" ht="13.8" x14ac:dyDescent="0.25">
      <c r="A174" s="260"/>
      <c r="B174" s="248" t="s">
        <v>456</v>
      </c>
      <c r="C174" s="249"/>
      <c r="D174" s="249"/>
      <c r="E174" s="249"/>
      <c r="F174" s="249"/>
      <c r="G174" s="249"/>
      <c r="H174" s="249"/>
      <c r="I174" s="249"/>
      <c r="J174" s="249"/>
      <c r="K174" s="249"/>
      <c r="L174" s="249"/>
      <c r="M174" s="250"/>
    </row>
    <row r="175" spans="1:13" ht="15.6" x14ac:dyDescent="0.25">
      <c r="A175" s="251" t="s">
        <v>457</v>
      </c>
      <c r="B175" s="252"/>
      <c r="C175" s="252"/>
      <c r="D175" s="252"/>
      <c r="E175" s="252"/>
      <c r="F175" s="252"/>
      <c r="G175" s="252"/>
      <c r="H175" s="252"/>
      <c r="I175" s="252"/>
      <c r="J175" s="252"/>
      <c r="K175" s="252"/>
      <c r="L175" s="252"/>
      <c r="M175" s="253"/>
    </row>
    <row r="176" spans="1:13" ht="66" x14ac:dyDescent="0.25">
      <c r="A176" s="288">
        <v>38</v>
      </c>
      <c r="B176" s="62" t="s">
        <v>458</v>
      </c>
      <c r="C176" s="62" t="s">
        <v>258</v>
      </c>
      <c r="D176" s="22" t="s">
        <v>459</v>
      </c>
      <c r="E176" s="23">
        <v>100</v>
      </c>
      <c r="F176" s="24" t="s">
        <v>15</v>
      </c>
      <c r="G176" s="24" t="s">
        <v>460</v>
      </c>
      <c r="H176" s="24">
        <f>280*117/100</f>
        <v>327.60000000000002</v>
      </c>
      <c r="I176" s="24">
        <f>H176*15</f>
        <v>4914</v>
      </c>
      <c r="J176" s="22" t="s">
        <v>16</v>
      </c>
      <c r="K176" s="59" t="s">
        <v>46</v>
      </c>
      <c r="L176" s="52" t="s">
        <v>48</v>
      </c>
    </row>
    <row r="177" spans="1:13" ht="13.8" x14ac:dyDescent="0.25">
      <c r="A177" s="289"/>
      <c r="B177" s="248" t="s">
        <v>443</v>
      </c>
      <c r="C177" s="249"/>
      <c r="D177" s="249"/>
      <c r="E177" s="249"/>
      <c r="F177" s="249"/>
      <c r="G177" s="249"/>
      <c r="H177" s="249"/>
      <c r="I177" s="249"/>
      <c r="J177" s="249"/>
      <c r="K177" s="249"/>
      <c r="L177" s="249"/>
      <c r="M177" s="250"/>
    </row>
  </sheetData>
  <mergeCells count="220">
    <mergeCell ref="A175:M175"/>
    <mergeCell ref="A176:A177"/>
    <mergeCell ref="B177:M177"/>
    <mergeCell ref="A169:M169"/>
    <mergeCell ref="A170:A174"/>
    <mergeCell ref="B170:B173"/>
    <mergeCell ref="C170:C173"/>
    <mergeCell ref="K170:K173"/>
    <mergeCell ref="L170:L173"/>
    <mergeCell ref="M170:M173"/>
    <mergeCell ref="B174:M174"/>
    <mergeCell ref="A163:M163"/>
    <mergeCell ref="A164:A165"/>
    <mergeCell ref="B165:M165"/>
    <mergeCell ref="A166:M166"/>
    <mergeCell ref="A167:A168"/>
    <mergeCell ref="B168:M168"/>
    <mergeCell ref="A157:M157"/>
    <mergeCell ref="A158:A162"/>
    <mergeCell ref="B158:B161"/>
    <mergeCell ref="C158:C161"/>
    <mergeCell ref="K158:K161"/>
    <mergeCell ref="L158:L161"/>
    <mergeCell ref="M158:M161"/>
    <mergeCell ref="B162:M162"/>
    <mergeCell ref="A148:M148"/>
    <mergeCell ref="A149:A150"/>
    <mergeCell ref="B150:M150"/>
    <mergeCell ref="A151:M151"/>
    <mergeCell ref="A152:A156"/>
    <mergeCell ref="B152:B155"/>
    <mergeCell ref="C152:C155"/>
    <mergeCell ref="K152:K155"/>
    <mergeCell ref="L152:L155"/>
    <mergeCell ref="M152:M155"/>
    <mergeCell ref="B156:M156"/>
    <mergeCell ref="A139:M139"/>
    <mergeCell ref="A140:A141"/>
    <mergeCell ref="B141:M141"/>
    <mergeCell ref="A142:M142"/>
    <mergeCell ref="A143:A147"/>
    <mergeCell ref="B143:B146"/>
    <mergeCell ref="C143:C146"/>
    <mergeCell ref="K143:K146"/>
    <mergeCell ref="L143:L146"/>
    <mergeCell ref="M143:M146"/>
    <mergeCell ref="B147:M147"/>
    <mergeCell ref="A133:M133"/>
    <mergeCell ref="A134:A135"/>
    <mergeCell ref="B135:M135"/>
    <mergeCell ref="A136:M136"/>
    <mergeCell ref="A137:A138"/>
    <mergeCell ref="B138:M138"/>
    <mergeCell ref="A127:M127"/>
    <mergeCell ref="A128:A132"/>
    <mergeCell ref="B128:B131"/>
    <mergeCell ref="C128:C131"/>
    <mergeCell ref="K128:K131"/>
    <mergeCell ref="L128:L131"/>
    <mergeCell ref="M128:M131"/>
    <mergeCell ref="B132:M132"/>
    <mergeCell ref="A122:M122"/>
    <mergeCell ref="A123:A126"/>
    <mergeCell ref="B123:B125"/>
    <mergeCell ref="C123:C125"/>
    <mergeCell ref="K123:K125"/>
    <mergeCell ref="L123:L125"/>
    <mergeCell ref="M123:M125"/>
    <mergeCell ref="B126:M126"/>
    <mergeCell ref="A113:M113"/>
    <mergeCell ref="A114:A115"/>
    <mergeCell ref="B115:M115"/>
    <mergeCell ref="A116:M116"/>
    <mergeCell ref="A117:A121"/>
    <mergeCell ref="B117:B120"/>
    <mergeCell ref="C117:C120"/>
    <mergeCell ref="K117:K120"/>
    <mergeCell ref="L117:L120"/>
    <mergeCell ref="M117:M120"/>
    <mergeCell ref="B121:M121"/>
    <mergeCell ref="A107:M107"/>
    <mergeCell ref="A108:A109"/>
    <mergeCell ref="B109:M109"/>
    <mergeCell ref="A110:M110"/>
    <mergeCell ref="A111:A112"/>
    <mergeCell ref="B112:M112"/>
    <mergeCell ref="A101:M101"/>
    <mergeCell ref="A102:A103"/>
    <mergeCell ref="B103:M103"/>
    <mergeCell ref="A104:M104"/>
    <mergeCell ref="A105:A106"/>
    <mergeCell ref="B106:M106"/>
    <mergeCell ref="A95:M95"/>
    <mergeCell ref="A96:A100"/>
    <mergeCell ref="B96:B99"/>
    <mergeCell ref="C96:C99"/>
    <mergeCell ref="K96:K99"/>
    <mergeCell ref="L96:L99"/>
    <mergeCell ref="M96:M99"/>
    <mergeCell ref="B100:M100"/>
    <mergeCell ref="A90:M90"/>
    <mergeCell ref="A91:A94"/>
    <mergeCell ref="B91:B93"/>
    <mergeCell ref="C91:C93"/>
    <mergeCell ref="K91:K93"/>
    <mergeCell ref="L91:L93"/>
    <mergeCell ref="M91:M93"/>
    <mergeCell ref="B94:M94"/>
    <mergeCell ref="A85:M85"/>
    <mergeCell ref="A86:A89"/>
    <mergeCell ref="B86:B88"/>
    <mergeCell ref="C86:C88"/>
    <mergeCell ref="K86:K88"/>
    <mergeCell ref="L86:L88"/>
    <mergeCell ref="M86:M88"/>
    <mergeCell ref="B89:M89"/>
    <mergeCell ref="A79:M79"/>
    <mergeCell ref="A80:A84"/>
    <mergeCell ref="B80:B83"/>
    <mergeCell ref="C80:C83"/>
    <mergeCell ref="K80:K83"/>
    <mergeCell ref="L80:L83"/>
    <mergeCell ref="M80:M83"/>
    <mergeCell ref="B84:M84"/>
    <mergeCell ref="A73:M73"/>
    <mergeCell ref="A74:A78"/>
    <mergeCell ref="B74:B77"/>
    <mergeCell ref="C74:C77"/>
    <mergeCell ref="K74:K77"/>
    <mergeCell ref="L74:L77"/>
    <mergeCell ref="M74:M77"/>
    <mergeCell ref="B78:M78"/>
    <mergeCell ref="A67:M67"/>
    <mergeCell ref="A68:A72"/>
    <mergeCell ref="B68:B71"/>
    <mergeCell ref="C68:C71"/>
    <mergeCell ref="K68:K71"/>
    <mergeCell ref="L68:L71"/>
    <mergeCell ref="M68:M71"/>
    <mergeCell ref="B72:M72"/>
    <mergeCell ref="A61:M61"/>
    <mergeCell ref="A62:A66"/>
    <mergeCell ref="B62:B65"/>
    <mergeCell ref="C62:C65"/>
    <mergeCell ref="K62:K65"/>
    <mergeCell ref="L62:L65"/>
    <mergeCell ref="M62:M65"/>
    <mergeCell ref="B66:M66"/>
    <mergeCell ref="A55:M55"/>
    <mergeCell ref="A56:A60"/>
    <mergeCell ref="B56:B59"/>
    <mergeCell ref="C56:C59"/>
    <mergeCell ref="K56:K59"/>
    <mergeCell ref="L56:L59"/>
    <mergeCell ref="M56:M59"/>
    <mergeCell ref="B60:M60"/>
    <mergeCell ref="A50:M50"/>
    <mergeCell ref="A51:A54"/>
    <mergeCell ref="B51:B53"/>
    <mergeCell ref="C51:C53"/>
    <mergeCell ref="K51:K53"/>
    <mergeCell ref="L51:L53"/>
    <mergeCell ref="M51:M53"/>
    <mergeCell ref="B54:M54"/>
    <mergeCell ref="A44:M44"/>
    <mergeCell ref="A45:A49"/>
    <mergeCell ref="B45:B48"/>
    <mergeCell ref="C45:C48"/>
    <mergeCell ref="K45:K48"/>
    <mergeCell ref="L45:L48"/>
    <mergeCell ref="M45:M48"/>
    <mergeCell ref="B49:M49"/>
    <mergeCell ref="A35:M35"/>
    <mergeCell ref="A36:A37"/>
    <mergeCell ref="B37:M37"/>
    <mergeCell ref="A38:M38"/>
    <mergeCell ref="A39:A43"/>
    <mergeCell ref="B39:B42"/>
    <mergeCell ref="C39:C42"/>
    <mergeCell ref="K39:K42"/>
    <mergeCell ref="L39:L42"/>
    <mergeCell ref="M39:M42"/>
    <mergeCell ref="B43:M43"/>
    <mergeCell ref="A29:M29"/>
    <mergeCell ref="A30:A31"/>
    <mergeCell ref="B31:M31"/>
    <mergeCell ref="A32:M32"/>
    <mergeCell ref="A33:A34"/>
    <mergeCell ref="B34:M34"/>
    <mergeCell ref="A23:M23"/>
    <mergeCell ref="A24:A25"/>
    <mergeCell ref="B25:M25"/>
    <mergeCell ref="A26:M26"/>
    <mergeCell ref="A27:A28"/>
    <mergeCell ref="B28:M28"/>
    <mergeCell ref="A14:M14"/>
    <mergeCell ref="A15:A16"/>
    <mergeCell ref="B16:M16"/>
    <mergeCell ref="A17:M17"/>
    <mergeCell ref="A18:A22"/>
    <mergeCell ref="B18:B21"/>
    <mergeCell ref="C18:C21"/>
    <mergeCell ref="K18:K21"/>
    <mergeCell ref="L18:L21"/>
    <mergeCell ref="M18:M21"/>
    <mergeCell ref="B22:M22"/>
    <mergeCell ref="A7:M7"/>
    <mergeCell ref="A8:A13"/>
    <mergeCell ref="B8:B12"/>
    <mergeCell ref="C8:C12"/>
    <mergeCell ref="K8:K12"/>
    <mergeCell ref="L8:L12"/>
    <mergeCell ref="M8:M12"/>
    <mergeCell ref="B13:M13"/>
    <mergeCell ref="A1:A6"/>
    <mergeCell ref="B1:M1"/>
    <mergeCell ref="B2:M2"/>
    <mergeCell ref="B3:M3"/>
    <mergeCell ref="B4:M4"/>
    <mergeCell ref="B5:M5"/>
  </mergeCells>
  <pageMargins left="0.23622047244094491" right="0.23622047244094491" top="0.55118110236220474" bottom="0.55118110236220474" header="0.31496062992125984" footer="0.31496062992125984"/>
  <pageSetup paperSize="9" scale="79"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2"/>
  <sheetViews>
    <sheetView rightToLeft="1" workbookViewId="0">
      <selection activeCell="B8" sqref="B8:B11"/>
    </sheetView>
  </sheetViews>
  <sheetFormatPr defaultColWidth="8.69921875" defaultRowHeight="15" x14ac:dyDescent="0.25"/>
  <cols>
    <col min="1" max="1" width="4.19921875" customWidth="1"/>
    <col min="2" max="2" width="21.09765625" style="10" bestFit="1" customWidth="1"/>
    <col min="4" max="4" width="7.19921875" customWidth="1"/>
    <col min="5" max="5" width="7.69921875" customWidth="1"/>
    <col min="6" max="6" width="10.19921875" bestFit="1" customWidth="1"/>
    <col min="7" max="7" width="12.09765625" style="11" bestFit="1" customWidth="1"/>
    <col min="8" max="8" width="13.59765625" style="12" bestFit="1" customWidth="1"/>
    <col min="9" max="9" width="14.59765625" style="12" bestFit="1" customWidth="1"/>
    <col min="10" max="10" width="9" customWidth="1"/>
    <col min="11" max="11" width="23.59765625" style="13" customWidth="1"/>
    <col min="12" max="12" width="13.5" style="14" customWidth="1"/>
    <col min="13" max="13" width="16.5" style="15" customWidth="1"/>
  </cols>
  <sheetData>
    <row r="1" spans="1:13" ht="21" x14ac:dyDescent="0.25">
      <c r="A1" s="254"/>
      <c r="B1" s="255" t="s">
        <v>28</v>
      </c>
      <c r="C1" s="255"/>
      <c r="D1" s="255"/>
      <c r="E1" s="255"/>
      <c r="F1" s="255"/>
      <c r="G1" s="255"/>
      <c r="H1" s="255"/>
      <c r="I1" s="255"/>
      <c r="J1" s="255"/>
      <c r="K1" s="255"/>
      <c r="L1" s="255"/>
      <c r="M1" s="255"/>
    </row>
    <row r="2" spans="1:13" ht="13.8" x14ac:dyDescent="0.25">
      <c r="A2" s="254"/>
      <c r="B2" s="256" t="s">
        <v>0</v>
      </c>
      <c r="C2" s="256"/>
      <c r="D2" s="256"/>
      <c r="E2" s="256"/>
      <c r="F2" s="256"/>
      <c r="G2" s="256"/>
      <c r="H2" s="256"/>
      <c r="I2" s="256"/>
      <c r="J2" s="256"/>
      <c r="K2" s="256"/>
      <c r="L2" s="256"/>
      <c r="M2" s="256"/>
    </row>
    <row r="3" spans="1:13" ht="15.6" x14ac:dyDescent="0.25">
      <c r="A3" s="254"/>
      <c r="B3" s="257" t="s">
        <v>1</v>
      </c>
      <c r="C3" s="257"/>
      <c r="D3" s="257"/>
      <c r="E3" s="257"/>
      <c r="F3" s="257"/>
      <c r="G3" s="257"/>
      <c r="H3" s="257"/>
      <c r="I3" s="257"/>
      <c r="J3" s="257"/>
      <c r="K3" s="257"/>
      <c r="L3" s="257"/>
      <c r="M3" s="257"/>
    </row>
    <row r="4" spans="1:13" ht="13.8" x14ac:dyDescent="0.25">
      <c r="A4" s="254"/>
      <c r="B4" s="258" t="s">
        <v>2</v>
      </c>
      <c r="C4" s="258"/>
      <c r="D4" s="258"/>
      <c r="E4" s="258"/>
      <c r="F4" s="258"/>
      <c r="G4" s="258"/>
      <c r="H4" s="258"/>
      <c r="I4" s="258"/>
      <c r="J4" s="258"/>
      <c r="K4" s="258"/>
      <c r="L4" s="258"/>
      <c r="M4" s="258"/>
    </row>
    <row r="5" spans="1:13" ht="13.8" x14ac:dyDescent="0.25">
      <c r="A5" s="254"/>
      <c r="B5" s="258" t="s">
        <v>26</v>
      </c>
      <c r="C5" s="258"/>
      <c r="D5" s="258"/>
      <c r="E5" s="258"/>
      <c r="F5" s="258"/>
      <c r="G5" s="258"/>
      <c r="H5" s="258"/>
      <c r="I5" s="258"/>
      <c r="J5" s="258"/>
      <c r="K5" s="258"/>
      <c r="L5" s="258"/>
      <c r="M5" s="258"/>
    </row>
    <row r="6" spans="1:13" ht="46.8" x14ac:dyDescent="0.25">
      <c r="A6" s="254"/>
      <c r="B6" s="1" t="s">
        <v>3</v>
      </c>
      <c r="C6" s="2" t="s">
        <v>4</v>
      </c>
      <c r="D6" s="3" t="s">
        <v>5</v>
      </c>
      <c r="E6" s="3" t="s">
        <v>6</v>
      </c>
      <c r="F6" s="3" t="s">
        <v>7</v>
      </c>
      <c r="G6" s="3" t="s">
        <v>8</v>
      </c>
      <c r="H6" s="4" t="s">
        <v>9</v>
      </c>
      <c r="I6" s="5" t="s">
        <v>10</v>
      </c>
      <c r="J6" s="3" t="s">
        <v>11</v>
      </c>
      <c r="K6" s="3" t="s">
        <v>12</v>
      </c>
      <c r="L6" s="6" t="s">
        <v>13</v>
      </c>
      <c r="M6" s="3" t="s">
        <v>14</v>
      </c>
    </row>
    <row r="7" spans="1:13" ht="15.6" x14ac:dyDescent="0.25">
      <c r="A7" s="251" t="s">
        <v>21</v>
      </c>
      <c r="B7" s="252"/>
      <c r="C7" s="252"/>
      <c r="D7" s="252"/>
      <c r="E7" s="252"/>
      <c r="F7" s="252"/>
      <c r="G7" s="252"/>
      <c r="H7" s="252"/>
      <c r="I7" s="252"/>
      <c r="J7" s="252"/>
      <c r="K7" s="252"/>
      <c r="L7" s="252"/>
      <c r="M7" s="253"/>
    </row>
    <row r="8" spans="1:13" ht="66" x14ac:dyDescent="0.25">
      <c r="A8" s="264">
        <v>1</v>
      </c>
      <c r="B8" s="265" t="s">
        <v>29</v>
      </c>
      <c r="C8" s="265" t="s">
        <v>30</v>
      </c>
      <c r="D8" s="17" t="s">
        <v>31</v>
      </c>
      <c r="E8" s="18">
        <v>98</v>
      </c>
      <c r="F8" s="19" t="s">
        <v>20</v>
      </c>
      <c r="G8" s="19" t="s">
        <v>20</v>
      </c>
      <c r="H8" s="19">
        <f>190000*117/100</f>
        <v>222300</v>
      </c>
      <c r="I8" s="19">
        <f>H8</f>
        <v>222300</v>
      </c>
      <c r="J8" s="17"/>
      <c r="K8" s="271" t="s">
        <v>27</v>
      </c>
      <c r="L8" s="287"/>
      <c r="M8" s="267"/>
    </row>
    <row r="9" spans="1:13" ht="39.6" x14ac:dyDescent="0.25">
      <c r="A9" s="259"/>
      <c r="B9" s="261"/>
      <c r="C9" s="261"/>
      <c r="D9" s="9" t="s">
        <v>32</v>
      </c>
      <c r="E9" s="7">
        <v>81</v>
      </c>
      <c r="F9" s="8" t="s">
        <v>20</v>
      </c>
      <c r="G9" s="8" t="s">
        <v>20</v>
      </c>
      <c r="H9" s="8">
        <f>240000*117/100</f>
        <v>280800</v>
      </c>
      <c r="I9" s="8">
        <f>H9</f>
        <v>280800</v>
      </c>
      <c r="J9" s="9"/>
      <c r="K9" s="262"/>
      <c r="L9" s="287"/>
      <c r="M9" s="247"/>
    </row>
    <row r="10" spans="1:13" ht="39.6" x14ac:dyDescent="0.25">
      <c r="A10" s="259"/>
      <c r="B10" s="261"/>
      <c r="C10" s="261"/>
      <c r="D10" s="9" t="s">
        <v>33</v>
      </c>
      <c r="E10" s="7">
        <v>75</v>
      </c>
      <c r="F10" s="8" t="s">
        <v>20</v>
      </c>
      <c r="G10" s="8" t="s">
        <v>20</v>
      </c>
      <c r="H10" s="8">
        <f>285000*117/100</f>
        <v>333450</v>
      </c>
      <c r="I10" s="8">
        <f t="shared" ref="I10:I11" si="0">H10</f>
        <v>333450</v>
      </c>
      <c r="J10" s="9"/>
      <c r="K10" s="262"/>
      <c r="L10" s="287"/>
      <c r="M10" s="247"/>
    </row>
    <row r="11" spans="1:13" ht="26.4" x14ac:dyDescent="0.25">
      <c r="A11" s="259"/>
      <c r="B11" s="261"/>
      <c r="C11" s="261"/>
      <c r="D11" s="9" t="s">
        <v>34</v>
      </c>
      <c r="E11" s="7">
        <v>61</v>
      </c>
      <c r="F11" s="8" t="s">
        <v>20</v>
      </c>
      <c r="G11" s="8" t="s">
        <v>20</v>
      </c>
      <c r="H11" s="8">
        <f>420000*117/100</f>
        <v>491400</v>
      </c>
      <c r="I11" s="8">
        <f t="shared" si="0"/>
        <v>491400</v>
      </c>
      <c r="J11" s="9"/>
      <c r="K11" s="262"/>
      <c r="L11" s="287"/>
      <c r="M11" s="247"/>
    </row>
    <row r="12" spans="1:13" ht="13.8" x14ac:dyDescent="0.25">
      <c r="A12" s="260"/>
      <c r="B12" s="248"/>
      <c r="C12" s="249"/>
      <c r="D12" s="249"/>
      <c r="E12" s="249"/>
      <c r="F12" s="249"/>
      <c r="G12" s="249"/>
      <c r="H12" s="249"/>
      <c r="I12" s="249"/>
      <c r="J12" s="249"/>
      <c r="K12" s="249"/>
      <c r="L12" s="249"/>
      <c r="M12" s="250"/>
    </row>
  </sheetData>
  <mergeCells count="14">
    <mergeCell ref="A7:M7"/>
    <mergeCell ref="A8:A12"/>
    <mergeCell ref="B8:B11"/>
    <mergeCell ref="C8:C11"/>
    <mergeCell ref="K8:K11"/>
    <mergeCell ref="L8:L11"/>
    <mergeCell ref="M8:M11"/>
    <mergeCell ref="B12:M12"/>
    <mergeCell ref="A1:A6"/>
    <mergeCell ref="B1:M1"/>
    <mergeCell ref="B2:M2"/>
    <mergeCell ref="B3:M3"/>
    <mergeCell ref="B4:M4"/>
    <mergeCell ref="B5:M5"/>
  </mergeCells>
  <pageMargins left="0.7" right="0.7" top="0.75" bottom="0.75" header="0.3" footer="0.3"/>
  <pageSetup paperSize="9" scale="7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4"/>
  <sheetViews>
    <sheetView rightToLeft="1" view="pageBreakPreview" zoomScale="75" zoomScaleNormal="100" zoomScaleSheetLayoutView="75" workbookViewId="0">
      <pane ySplit="6" topLeftCell="A52" activePane="bottomLeft" state="frozen"/>
      <selection pane="bottomLeft" activeCell="A64" sqref="A64:XFD64"/>
    </sheetView>
  </sheetViews>
  <sheetFormatPr defaultColWidth="8.69921875" defaultRowHeight="15" x14ac:dyDescent="0.25"/>
  <cols>
    <col min="1" max="1" width="4.19921875" customWidth="1"/>
    <col min="2" max="2" width="21.09765625" style="10" bestFit="1" customWidth="1"/>
    <col min="4" max="4" width="10.19921875" customWidth="1"/>
    <col min="5" max="5" width="7.69921875" customWidth="1"/>
    <col min="6" max="6" width="10.19921875" bestFit="1" customWidth="1"/>
    <col min="7" max="7" width="12.09765625" style="11" bestFit="1" customWidth="1"/>
    <col min="8" max="8" width="13.59765625" style="12" bestFit="1" customWidth="1"/>
    <col min="9" max="9" width="14.59765625" style="12" bestFit="1" customWidth="1"/>
    <col min="10" max="10" width="9" customWidth="1"/>
    <col min="11" max="11" width="23.59765625" style="13" customWidth="1"/>
    <col min="12" max="12" width="10.09765625" style="14" customWidth="1"/>
    <col min="13" max="13" width="19.69921875" style="15" customWidth="1"/>
  </cols>
  <sheetData>
    <row r="1" spans="1:13" ht="21" x14ac:dyDescent="0.25">
      <c r="A1" s="254"/>
      <c r="B1" s="255" t="s">
        <v>1123</v>
      </c>
      <c r="C1" s="255"/>
      <c r="D1" s="255"/>
      <c r="E1" s="255"/>
      <c r="F1" s="255"/>
      <c r="G1" s="255"/>
      <c r="H1" s="255"/>
      <c r="I1" s="255"/>
      <c r="J1" s="255"/>
      <c r="K1" s="255"/>
      <c r="L1" s="255"/>
      <c r="M1" s="255"/>
    </row>
    <row r="2" spans="1:13" ht="29.4" customHeight="1" x14ac:dyDescent="0.25">
      <c r="A2" s="254"/>
      <c r="B2" s="256" t="s">
        <v>1125</v>
      </c>
      <c r="C2" s="256"/>
      <c r="D2" s="256"/>
      <c r="E2" s="256"/>
      <c r="F2" s="256"/>
      <c r="G2" s="256"/>
      <c r="H2" s="256"/>
      <c r="I2" s="256"/>
      <c r="J2" s="256"/>
      <c r="K2" s="256"/>
      <c r="L2" s="256"/>
      <c r="M2" s="256"/>
    </row>
    <row r="3" spans="1:13" ht="15.6" x14ac:dyDescent="0.25">
      <c r="A3" s="254"/>
      <c r="B3" s="257" t="s">
        <v>853</v>
      </c>
      <c r="C3" s="257"/>
      <c r="D3" s="257"/>
      <c r="E3" s="257"/>
      <c r="F3" s="257"/>
      <c r="G3" s="257"/>
      <c r="H3" s="257"/>
      <c r="I3" s="257"/>
      <c r="J3" s="257"/>
      <c r="K3" s="257"/>
      <c r="L3" s="257"/>
      <c r="M3" s="257"/>
    </row>
    <row r="4" spans="1:13" ht="13.8" x14ac:dyDescent="0.25">
      <c r="A4" s="254"/>
      <c r="B4" s="258" t="s">
        <v>793</v>
      </c>
      <c r="C4" s="258"/>
      <c r="D4" s="258"/>
      <c r="E4" s="258"/>
      <c r="F4" s="258"/>
      <c r="G4" s="258"/>
      <c r="H4" s="258"/>
      <c r="I4" s="258"/>
      <c r="J4" s="258"/>
      <c r="K4" s="258"/>
      <c r="L4" s="258"/>
      <c r="M4" s="258"/>
    </row>
    <row r="5" spans="1:13" ht="13.8" x14ac:dyDescent="0.25">
      <c r="A5" s="254"/>
      <c r="B5" s="258" t="s">
        <v>792</v>
      </c>
      <c r="C5" s="258"/>
      <c r="D5" s="258"/>
      <c r="E5" s="258"/>
      <c r="F5" s="258"/>
      <c r="G5" s="258"/>
      <c r="H5" s="258"/>
      <c r="I5" s="258"/>
      <c r="J5" s="258"/>
      <c r="K5" s="258"/>
      <c r="L5" s="258"/>
      <c r="M5" s="258"/>
    </row>
    <row r="6" spans="1:13" ht="46.8" x14ac:dyDescent="0.25">
      <c r="A6" s="254"/>
      <c r="B6" s="1" t="s">
        <v>3</v>
      </c>
      <c r="C6" s="2" t="s">
        <v>4</v>
      </c>
      <c r="D6" s="3" t="s">
        <v>5</v>
      </c>
      <c r="E6" s="3" t="s">
        <v>6</v>
      </c>
      <c r="F6" s="3" t="s">
        <v>7</v>
      </c>
      <c r="G6" s="3" t="s">
        <v>8</v>
      </c>
      <c r="H6" s="4" t="s">
        <v>9</v>
      </c>
      <c r="I6" s="5" t="s">
        <v>10</v>
      </c>
      <c r="J6" s="3" t="s">
        <v>11</v>
      </c>
      <c r="K6" s="3" t="s">
        <v>12</v>
      </c>
      <c r="L6" s="6" t="s">
        <v>13</v>
      </c>
      <c r="M6" s="3" t="s">
        <v>14</v>
      </c>
    </row>
    <row r="7" spans="1:13" ht="15.6" x14ac:dyDescent="0.25">
      <c r="A7" s="251" t="s">
        <v>1082</v>
      </c>
      <c r="B7" s="252"/>
      <c r="C7" s="252"/>
      <c r="D7" s="252"/>
      <c r="E7" s="252"/>
      <c r="F7" s="252"/>
      <c r="G7" s="252"/>
      <c r="H7" s="252"/>
      <c r="I7" s="252"/>
      <c r="J7" s="252"/>
      <c r="K7" s="252"/>
      <c r="L7" s="252"/>
      <c r="M7" s="253"/>
    </row>
    <row r="8" spans="1:13" ht="66" x14ac:dyDescent="0.25">
      <c r="A8" s="264">
        <v>1</v>
      </c>
      <c r="B8" s="235" t="s">
        <v>1080</v>
      </c>
      <c r="C8" s="235" t="s">
        <v>540</v>
      </c>
      <c r="D8" s="22" t="s">
        <v>1081</v>
      </c>
      <c r="E8" s="23">
        <v>100</v>
      </c>
      <c r="F8" s="24" t="s">
        <v>20</v>
      </c>
      <c r="G8" s="24" t="s">
        <v>20</v>
      </c>
      <c r="H8" s="24">
        <f>137526</f>
        <v>137526</v>
      </c>
      <c r="I8" s="24">
        <f>H8</f>
        <v>137526</v>
      </c>
      <c r="J8" s="22"/>
      <c r="K8" s="241" t="s">
        <v>985</v>
      </c>
      <c r="L8" s="236" t="s">
        <v>48</v>
      </c>
      <c r="M8" s="145"/>
    </row>
    <row r="9" spans="1:13" ht="13.8" x14ac:dyDescent="0.25">
      <c r="A9" s="260"/>
      <c r="B9" s="248" t="s">
        <v>1089</v>
      </c>
      <c r="C9" s="249"/>
      <c r="D9" s="249"/>
      <c r="E9" s="249"/>
      <c r="F9" s="249"/>
      <c r="G9" s="249"/>
      <c r="H9" s="249"/>
      <c r="I9" s="249"/>
      <c r="J9" s="249"/>
      <c r="K9" s="249"/>
      <c r="L9" s="249"/>
      <c r="M9" s="250"/>
    </row>
    <row r="10" spans="1:13" ht="15.6" x14ac:dyDescent="0.25">
      <c r="A10" s="251" t="s">
        <v>1083</v>
      </c>
      <c r="B10" s="252"/>
      <c r="C10" s="252"/>
      <c r="D10" s="252"/>
      <c r="E10" s="252"/>
      <c r="F10" s="252"/>
      <c r="G10" s="252"/>
      <c r="H10" s="252"/>
      <c r="I10" s="252"/>
      <c r="J10" s="252"/>
      <c r="K10" s="252"/>
      <c r="L10" s="252"/>
      <c r="M10" s="253"/>
    </row>
    <row r="11" spans="1:13" ht="66" x14ac:dyDescent="0.25">
      <c r="A11" s="264">
        <v>2</v>
      </c>
      <c r="B11" s="235" t="s">
        <v>1084</v>
      </c>
      <c r="C11" s="235" t="s">
        <v>540</v>
      </c>
      <c r="D11" s="22" t="s">
        <v>1085</v>
      </c>
      <c r="E11" s="23">
        <v>100</v>
      </c>
      <c r="F11" s="24" t="s">
        <v>20</v>
      </c>
      <c r="G11" s="24" t="s">
        <v>20</v>
      </c>
      <c r="H11" s="24">
        <f>102703</f>
        <v>102703</v>
      </c>
      <c r="I11" s="24">
        <f>H11</f>
        <v>102703</v>
      </c>
      <c r="J11" s="22"/>
      <c r="K11" s="241" t="s">
        <v>985</v>
      </c>
      <c r="L11" s="236" t="s">
        <v>48</v>
      </c>
      <c r="M11" s="145"/>
    </row>
    <row r="12" spans="1:13" ht="13.8" x14ac:dyDescent="0.25">
      <c r="A12" s="260"/>
      <c r="B12" s="248" t="s">
        <v>1089</v>
      </c>
      <c r="C12" s="249"/>
      <c r="D12" s="249"/>
      <c r="E12" s="249"/>
      <c r="F12" s="249"/>
      <c r="G12" s="249"/>
      <c r="H12" s="249"/>
      <c r="I12" s="249"/>
      <c r="J12" s="249"/>
      <c r="K12" s="249"/>
      <c r="L12" s="249"/>
      <c r="M12" s="250"/>
    </row>
    <row r="13" spans="1:13" ht="15.6" x14ac:dyDescent="0.25">
      <c r="A13" s="251" t="s">
        <v>1086</v>
      </c>
      <c r="B13" s="252"/>
      <c r="C13" s="252"/>
      <c r="D13" s="252"/>
      <c r="E13" s="252"/>
      <c r="F13" s="252"/>
      <c r="G13" s="252"/>
      <c r="H13" s="252"/>
      <c r="I13" s="252"/>
      <c r="J13" s="252"/>
      <c r="K13" s="252"/>
      <c r="L13" s="252"/>
      <c r="M13" s="253"/>
    </row>
    <row r="14" spans="1:13" ht="66" x14ac:dyDescent="0.25">
      <c r="A14" s="264">
        <v>3</v>
      </c>
      <c r="B14" s="235" t="s">
        <v>1087</v>
      </c>
      <c r="C14" s="235" t="s">
        <v>540</v>
      </c>
      <c r="D14" s="22" t="s">
        <v>1088</v>
      </c>
      <c r="E14" s="23">
        <v>100</v>
      </c>
      <c r="F14" s="24" t="s">
        <v>20</v>
      </c>
      <c r="G14" s="24" t="s">
        <v>20</v>
      </c>
      <c r="H14" s="24">
        <f>147888</f>
        <v>147888</v>
      </c>
      <c r="I14" s="24">
        <f>H14</f>
        <v>147888</v>
      </c>
      <c r="J14" s="22" t="s">
        <v>16</v>
      </c>
      <c r="K14" s="241" t="s">
        <v>985</v>
      </c>
      <c r="L14" s="236" t="s">
        <v>48</v>
      </c>
      <c r="M14" s="145"/>
    </row>
    <row r="15" spans="1:13" ht="13.8" x14ac:dyDescent="0.25">
      <c r="A15" s="260"/>
      <c r="B15" s="248" t="s">
        <v>1089</v>
      </c>
      <c r="C15" s="249"/>
      <c r="D15" s="249"/>
      <c r="E15" s="249"/>
      <c r="F15" s="249"/>
      <c r="G15" s="249"/>
      <c r="H15" s="249"/>
      <c r="I15" s="249"/>
      <c r="J15" s="249"/>
      <c r="K15" s="249"/>
      <c r="L15" s="249"/>
      <c r="M15" s="250"/>
    </row>
    <row r="16" spans="1:13" ht="15.6" x14ac:dyDescent="0.25">
      <c r="A16" s="251" t="s">
        <v>1090</v>
      </c>
      <c r="B16" s="252"/>
      <c r="C16" s="252"/>
      <c r="D16" s="252"/>
      <c r="E16" s="252"/>
      <c r="F16" s="252"/>
      <c r="G16" s="252"/>
      <c r="H16" s="252"/>
      <c r="I16" s="252"/>
      <c r="J16" s="252"/>
      <c r="K16" s="252"/>
      <c r="L16" s="252"/>
      <c r="M16" s="253"/>
    </row>
    <row r="17" spans="1:13" ht="66" x14ac:dyDescent="0.25">
      <c r="A17" s="264">
        <v>4</v>
      </c>
      <c r="B17" s="238" t="s">
        <v>1091</v>
      </c>
      <c r="C17" s="238" t="s">
        <v>540</v>
      </c>
      <c r="D17" s="22" t="s">
        <v>1124</v>
      </c>
      <c r="E17" s="23">
        <v>100</v>
      </c>
      <c r="F17" s="24" t="s">
        <v>20</v>
      </c>
      <c r="G17" s="24" t="s">
        <v>20</v>
      </c>
      <c r="H17" s="24">
        <f>196560</f>
        <v>196560</v>
      </c>
      <c r="I17" s="24">
        <f>H17</f>
        <v>196560</v>
      </c>
      <c r="J17" s="22" t="s">
        <v>16</v>
      </c>
      <c r="K17" s="241" t="s">
        <v>985</v>
      </c>
      <c r="L17" s="239" t="s">
        <v>48</v>
      </c>
      <c r="M17" s="145"/>
    </row>
    <row r="18" spans="1:13" ht="13.8" x14ac:dyDescent="0.25">
      <c r="A18" s="260"/>
      <c r="B18" s="248" t="s">
        <v>1089</v>
      </c>
      <c r="C18" s="249"/>
      <c r="D18" s="249"/>
      <c r="E18" s="249"/>
      <c r="F18" s="249"/>
      <c r="G18" s="249"/>
      <c r="H18" s="249"/>
      <c r="I18" s="249"/>
      <c r="J18" s="249"/>
      <c r="K18" s="249"/>
      <c r="L18" s="249"/>
      <c r="M18" s="250"/>
    </row>
    <row r="19" spans="1:13" ht="15.6" x14ac:dyDescent="0.25">
      <c r="A19" s="251" t="s">
        <v>1094</v>
      </c>
      <c r="B19" s="252"/>
      <c r="C19" s="252"/>
      <c r="D19" s="252"/>
      <c r="E19" s="252"/>
      <c r="F19" s="252"/>
      <c r="G19" s="252"/>
      <c r="H19" s="252"/>
      <c r="I19" s="252"/>
      <c r="J19" s="252"/>
      <c r="K19" s="252"/>
      <c r="L19" s="252"/>
      <c r="M19" s="253"/>
    </row>
    <row r="20" spans="1:13" ht="66" x14ac:dyDescent="0.25">
      <c r="A20" s="264">
        <v>5</v>
      </c>
      <c r="B20" s="238" t="s">
        <v>1092</v>
      </c>
      <c r="C20" s="238" t="s">
        <v>540</v>
      </c>
      <c r="D20" s="22" t="s">
        <v>1093</v>
      </c>
      <c r="E20" s="23">
        <v>100</v>
      </c>
      <c r="F20" s="24" t="s">
        <v>20</v>
      </c>
      <c r="G20" s="24" t="s">
        <v>20</v>
      </c>
      <c r="H20" s="24">
        <f>1361642</f>
        <v>1361642</v>
      </c>
      <c r="I20" s="24">
        <f>H20</f>
        <v>1361642</v>
      </c>
      <c r="J20" s="22" t="s">
        <v>16</v>
      </c>
      <c r="K20" s="242" t="s">
        <v>985</v>
      </c>
      <c r="L20" s="239" t="s">
        <v>48</v>
      </c>
      <c r="M20" s="145"/>
    </row>
    <row r="21" spans="1:13" ht="13.8" x14ac:dyDescent="0.25">
      <c r="A21" s="260"/>
      <c r="B21" s="248" t="s">
        <v>1089</v>
      </c>
      <c r="C21" s="249"/>
      <c r="D21" s="249"/>
      <c r="E21" s="249"/>
      <c r="F21" s="249"/>
      <c r="G21" s="249"/>
      <c r="H21" s="249"/>
      <c r="I21" s="249"/>
      <c r="J21" s="249"/>
      <c r="K21" s="249"/>
      <c r="L21" s="249"/>
      <c r="M21" s="250"/>
    </row>
    <row r="22" spans="1:13" ht="15.6" x14ac:dyDescent="0.25">
      <c r="A22" s="251" t="s">
        <v>1097</v>
      </c>
      <c r="B22" s="252"/>
      <c r="C22" s="252"/>
      <c r="D22" s="252"/>
      <c r="E22" s="252"/>
      <c r="F22" s="252"/>
      <c r="G22" s="252"/>
      <c r="H22" s="252"/>
      <c r="I22" s="252"/>
      <c r="J22" s="252"/>
      <c r="K22" s="252"/>
      <c r="L22" s="252"/>
      <c r="M22" s="253"/>
    </row>
    <row r="23" spans="1:13" ht="13.8" x14ac:dyDescent="0.25">
      <c r="A23" s="264">
        <v>6</v>
      </c>
      <c r="B23" s="265" t="s">
        <v>1095</v>
      </c>
      <c r="C23" s="273" t="s">
        <v>783</v>
      </c>
      <c r="D23" s="22" t="s">
        <v>248</v>
      </c>
      <c r="E23" s="23">
        <v>100</v>
      </c>
      <c r="F23" s="24" t="s">
        <v>20</v>
      </c>
      <c r="G23" s="24" t="s">
        <v>20</v>
      </c>
      <c r="H23" s="176">
        <f>39224*117/100</f>
        <v>45892.08</v>
      </c>
      <c r="I23" s="24">
        <f>H23</f>
        <v>45892.08</v>
      </c>
      <c r="J23" s="22" t="s">
        <v>16</v>
      </c>
      <c r="K23" s="271" t="s">
        <v>1062</v>
      </c>
      <c r="L23" s="266" t="s">
        <v>48</v>
      </c>
      <c r="M23" s="267" t="s">
        <v>1098</v>
      </c>
    </row>
    <row r="24" spans="1:13" ht="13.8" x14ac:dyDescent="0.25">
      <c r="A24" s="259"/>
      <c r="B24" s="261"/>
      <c r="C24" s="274"/>
      <c r="D24" s="237" t="s">
        <v>785</v>
      </c>
      <c r="E24" s="7">
        <v>84</v>
      </c>
      <c r="F24" s="68" t="s">
        <v>20</v>
      </c>
      <c r="G24" s="68" t="s">
        <v>20</v>
      </c>
      <c r="H24" s="8">
        <f>46000*117/100</f>
        <v>53820</v>
      </c>
      <c r="I24" s="16">
        <f>H24</f>
        <v>53820</v>
      </c>
      <c r="J24" s="237" t="s">
        <v>16</v>
      </c>
      <c r="K24" s="262"/>
      <c r="L24" s="263"/>
      <c r="M24" s="247"/>
    </row>
    <row r="25" spans="1:13" ht="26.4" x14ac:dyDescent="0.25">
      <c r="A25" s="259"/>
      <c r="B25" s="261"/>
      <c r="C25" s="274"/>
      <c r="D25" s="237" t="s">
        <v>1096</v>
      </c>
      <c r="E25" s="7">
        <v>70</v>
      </c>
      <c r="F25" s="68" t="s">
        <v>20</v>
      </c>
      <c r="G25" s="68" t="s">
        <v>20</v>
      </c>
      <c r="H25" s="8">
        <f>56000*117/100</f>
        <v>65520</v>
      </c>
      <c r="I25" s="16">
        <f>H25</f>
        <v>65520</v>
      </c>
      <c r="J25" s="237" t="s">
        <v>16</v>
      </c>
      <c r="K25" s="262"/>
      <c r="L25" s="263"/>
      <c r="M25" s="247"/>
    </row>
    <row r="26" spans="1:13" ht="13.8" x14ac:dyDescent="0.25">
      <c r="A26" s="260"/>
      <c r="B26" s="248"/>
      <c r="C26" s="249"/>
      <c r="D26" s="249"/>
      <c r="E26" s="249"/>
      <c r="F26" s="249"/>
      <c r="G26" s="249"/>
      <c r="H26" s="249"/>
      <c r="I26" s="249"/>
      <c r="J26" s="249"/>
      <c r="K26" s="249"/>
      <c r="L26" s="249"/>
      <c r="M26" s="250"/>
    </row>
    <row r="27" spans="1:13" ht="15.6" x14ac:dyDescent="0.25">
      <c r="A27" s="251" t="s">
        <v>1100</v>
      </c>
      <c r="B27" s="252"/>
      <c r="C27" s="252"/>
      <c r="D27" s="252"/>
      <c r="E27" s="252"/>
      <c r="F27" s="252"/>
      <c r="G27" s="252"/>
      <c r="H27" s="252"/>
      <c r="I27" s="252"/>
      <c r="J27" s="252"/>
      <c r="K27" s="252"/>
      <c r="L27" s="252"/>
      <c r="M27" s="253"/>
    </row>
    <row r="28" spans="1:13" ht="26.4" x14ac:dyDescent="0.25">
      <c r="A28" s="264">
        <v>7</v>
      </c>
      <c r="B28" s="265" t="s">
        <v>1099</v>
      </c>
      <c r="C28" s="265" t="s">
        <v>840</v>
      </c>
      <c r="D28" s="22" t="s">
        <v>923</v>
      </c>
      <c r="E28" s="18">
        <v>94</v>
      </c>
      <c r="F28" s="19" t="s">
        <v>20</v>
      </c>
      <c r="G28" s="24" t="s">
        <v>20</v>
      </c>
      <c r="H28" s="24">
        <f>33930</f>
        <v>33930</v>
      </c>
      <c r="I28" s="24">
        <f>H28</f>
        <v>33930</v>
      </c>
      <c r="J28" s="17" t="s">
        <v>16</v>
      </c>
      <c r="K28" s="271" t="s">
        <v>1062</v>
      </c>
      <c r="L28" s="266" t="s">
        <v>48</v>
      </c>
      <c r="M28" s="267" t="s">
        <v>952</v>
      </c>
    </row>
    <row r="29" spans="1:13" ht="13.8" x14ac:dyDescent="0.25">
      <c r="A29" s="259"/>
      <c r="B29" s="261"/>
      <c r="C29" s="261"/>
      <c r="D29" s="73" t="s">
        <v>925</v>
      </c>
      <c r="E29" s="74">
        <v>90</v>
      </c>
      <c r="F29" s="16" t="s">
        <v>20</v>
      </c>
      <c r="G29" s="16" t="s">
        <v>20</v>
      </c>
      <c r="H29" s="16">
        <f>36270</f>
        <v>36270</v>
      </c>
      <c r="I29" s="16">
        <f>H29</f>
        <v>36270</v>
      </c>
      <c r="J29" s="73" t="s">
        <v>16</v>
      </c>
      <c r="K29" s="262"/>
      <c r="L29" s="263"/>
      <c r="M29" s="247"/>
    </row>
    <row r="30" spans="1:13" ht="26.4" x14ac:dyDescent="0.25">
      <c r="A30" s="259"/>
      <c r="B30" s="261"/>
      <c r="C30" s="261"/>
      <c r="D30" s="80" t="s">
        <v>924</v>
      </c>
      <c r="E30" s="81">
        <v>87</v>
      </c>
      <c r="F30" s="16" t="s">
        <v>20</v>
      </c>
      <c r="G30" s="16" t="s">
        <v>20</v>
      </c>
      <c r="H30" s="16">
        <f>38493</f>
        <v>38493</v>
      </c>
      <c r="I30" s="16">
        <f t="shared" ref="I30:I32" si="0">H30</f>
        <v>38493</v>
      </c>
      <c r="J30" s="240" t="s">
        <v>16</v>
      </c>
      <c r="K30" s="262"/>
      <c r="L30" s="263"/>
      <c r="M30" s="247"/>
    </row>
    <row r="31" spans="1:13" ht="13.8" x14ac:dyDescent="0.25">
      <c r="A31" s="259"/>
      <c r="B31" s="261"/>
      <c r="C31" s="261"/>
      <c r="D31" s="80" t="s">
        <v>1111</v>
      </c>
      <c r="E31" s="81">
        <v>71</v>
      </c>
      <c r="F31" s="16" t="s">
        <v>20</v>
      </c>
      <c r="G31" s="16" t="s">
        <v>20</v>
      </c>
      <c r="H31" s="16">
        <f>53030</f>
        <v>53030</v>
      </c>
      <c r="I31" s="16">
        <f t="shared" ref="I31" si="1">H31</f>
        <v>53030</v>
      </c>
      <c r="J31" s="240" t="s">
        <v>16</v>
      </c>
      <c r="K31" s="262"/>
      <c r="L31" s="263"/>
      <c r="M31" s="247"/>
    </row>
    <row r="32" spans="1:13" ht="14.25" customHeight="1" x14ac:dyDescent="0.25">
      <c r="A32" s="259"/>
      <c r="B32" s="268"/>
      <c r="C32" s="268"/>
      <c r="D32" s="80" t="s">
        <v>1112</v>
      </c>
      <c r="E32" s="81">
        <v>61</v>
      </c>
      <c r="F32" s="16" t="s">
        <v>20</v>
      </c>
      <c r="G32" s="16" t="s">
        <v>20</v>
      </c>
      <c r="H32" s="16">
        <f>70960</f>
        <v>70960</v>
      </c>
      <c r="I32" s="16">
        <f t="shared" si="0"/>
        <v>70960</v>
      </c>
      <c r="J32" s="240" t="s">
        <v>16</v>
      </c>
      <c r="K32" s="272"/>
      <c r="L32" s="269"/>
      <c r="M32" s="270"/>
    </row>
    <row r="33" spans="1:13" ht="14.25" customHeight="1" x14ac:dyDescent="0.25">
      <c r="A33" s="260"/>
      <c r="B33" s="248"/>
      <c r="C33" s="249"/>
      <c r="D33" s="249"/>
      <c r="E33" s="249"/>
      <c r="F33" s="249"/>
      <c r="G33" s="249"/>
      <c r="H33" s="249"/>
      <c r="I33" s="249"/>
      <c r="J33" s="249"/>
      <c r="K33" s="249"/>
      <c r="L33" s="249"/>
      <c r="M33" s="250"/>
    </row>
    <row r="34" spans="1:13" ht="15.6" x14ac:dyDescent="0.25">
      <c r="A34" s="251" t="s">
        <v>1102</v>
      </c>
      <c r="B34" s="252"/>
      <c r="C34" s="252"/>
      <c r="D34" s="252"/>
      <c r="E34" s="252"/>
      <c r="F34" s="252"/>
      <c r="G34" s="252"/>
      <c r="H34" s="252"/>
      <c r="I34" s="252"/>
      <c r="J34" s="252"/>
      <c r="K34" s="252"/>
      <c r="L34" s="252"/>
      <c r="M34" s="253"/>
    </row>
    <row r="35" spans="1:13" ht="39.6" x14ac:dyDescent="0.25">
      <c r="A35" s="264">
        <v>8</v>
      </c>
      <c r="B35" s="265" t="s">
        <v>1011</v>
      </c>
      <c r="C35" s="265" t="s">
        <v>783</v>
      </c>
      <c r="D35" s="22" t="s">
        <v>885</v>
      </c>
      <c r="E35" s="18">
        <v>100</v>
      </c>
      <c r="F35" s="19" t="s">
        <v>15</v>
      </c>
      <c r="G35" s="24" t="s">
        <v>1015</v>
      </c>
      <c r="H35" s="24">
        <f>192*117/100</f>
        <v>224.64</v>
      </c>
      <c r="I35" s="24">
        <f>H35*50*12</f>
        <v>134784</v>
      </c>
      <c r="J35" s="17" t="s">
        <v>16</v>
      </c>
      <c r="K35" s="271" t="s">
        <v>1062</v>
      </c>
      <c r="L35" s="266" t="s">
        <v>48</v>
      </c>
      <c r="M35" s="267" t="s">
        <v>1119</v>
      </c>
    </row>
    <row r="36" spans="1:13" ht="22.8" x14ac:dyDescent="0.25">
      <c r="A36" s="259"/>
      <c r="B36" s="261"/>
      <c r="C36" s="261"/>
      <c r="D36" s="73" t="s">
        <v>212</v>
      </c>
      <c r="E36" s="74">
        <v>97</v>
      </c>
      <c r="F36" s="16" t="s">
        <v>15</v>
      </c>
      <c r="G36" s="203" t="s">
        <v>1015</v>
      </c>
      <c r="H36" s="16">
        <f>200*117/100</f>
        <v>234</v>
      </c>
      <c r="I36" s="16">
        <f>H36*50*12</f>
        <v>140400</v>
      </c>
      <c r="J36" s="73" t="s">
        <v>16</v>
      </c>
      <c r="K36" s="262"/>
      <c r="L36" s="263"/>
      <c r="M36" s="247"/>
    </row>
    <row r="37" spans="1:13" ht="22.8" x14ac:dyDescent="0.25">
      <c r="A37" s="259"/>
      <c r="B37" s="261"/>
      <c r="C37" s="261"/>
      <c r="D37" s="80" t="s">
        <v>1012</v>
      </c>
      <c r="E37" s="81">
        <v>96</v>
      </c>
      <c r="F37" s="8" t="s">
        <v>15</v>
      </c>
      <c r="G37" s="203" t="s">
        <v>1015</v>
      </c>
      <c r="H37" s="16">
        <f>205*117/100</f>
        <v>239.85</v>
      </c>
      <c r="I37" s="16">
        <f t="shared" ref="I37:I39" si="2">H37*50*12</f>
        <v>143910</v>
      </c>
      <c r="J37" s="240" t="s">
        <v>16</v>
      </c>
      <c r="K37" s="262"/>
      <c r="L37" s="263"/>
      <c r="M37" s="247"/>
    </row>
    <row r="38" spans="1:13" ht="22.8" x14ac:dyDescent="0.25">
      <c r="A38" s="259"/>
      <c r="B38" s="261"/>
      <c r="C38" s="261"/>
      <c r="D38" s="80" t="s">
        <v>1013</v>
      </c>
      <c r="E38" s="81">
        <v>88</v>
      </c>
      <c r="F38" s="8" t="s">
        <v>15</v>
      </c>
      <c r="G38" s="203" t="s">
        <v>1015</v>
      </c>
      <c r="H38" s="16">
        <f>230*117/100</f>
        <v>269.10000000000002</v>
      </c>
      <c r="I38" s="16">
        <f t="shared" si="2"/>
        <v>161460.00000000003</v>
      </c>
      <c r="J38" s="240" t="s">
        <v>16</v>
      </c>
      <c r="K38" s="262"/>
      <c r="L38" s="263"/>
      <c r="M38" s="247"/>
    </row>
    <row r="39" spans="1:13" ht="22.8" x14ac:dyDescent="0.25">
      <c r="A39" s="259"/>
      <c r="B39" s="268"/>
      <c r="C39" s="268"/>
      <c r="D39" s="80" t="s">
        <v>1014</v>
      </c>
      <c r="E39" s="81">
        <v>86</v>
      </c>
      <c r="F39" s="8" t="s">
        <v>15</v>
      </c>
      <c r="G39" s="203" t="s">
        <v>1015</v>
      </c>
      <c r="H39" s="16">
        <f>240*117/100</f>
        <v>280.8</v>
      </c>
      <c r="I39" s="16">
        <f t="shared" si="2"/>
        <v>168480</v>
      </c>
      <c r="J39" s="240" t="s">
        <v>16</v>
      </c>
      <c r="K39" s="272"/>
      <c r="L39" s="269"/>
      <c r="M39" s="270"/>
    </row>
    <row r="40" spans="1:13" ht="13.8" x14ac:dyDescent="0.25">
      <c r="A40" s="260"/>
      <c r="B40" s="248" t="s">
        <v>1101</v>
      </c>
      <c r="C40" s="249"/>
      <c r="D40" s="249"/>
      <c r="E40" s="249"/>
      <c r="F40" s="249"/>
      <c r="G40" s="249"/>
      <c r="H40" s="249"/>
      <c r="I40" s="249"/>
      <c r="J40" s="249"/>
      <c r="K40" s="249"/>
      <c r="L40" s="249"/>
      <c r="M40" s="250"/>
    </row>
    <row r="41" spans="1:13" ht="15.6" x14ac:dyDescent="0.25">
      <c r="A41" s="251" t="s">
        <v>1106</v>
      </c>
      <c r="B41" s="252"/>
      <c r="C41" s="252"/>
      <c r="D41" s="252"/>
      <c r="E41" s="252"/>
      <c r="F41" s="252"/>
      <c r="G41" s="252"/>
      <c r="H41" s="252"/>
      <c r="I41" s="252"/>
      <c r="J41" s="252"/>
      <c r="K41" s="252"/>
      <c r="L41" s="252"/>
      <c r="M41" s="253"/>
    </row>
    <row r="42" spans="1:13" ht="26.4" x14ac:dyDescent="0.25">
      <c r="A42" s="264">
        <v>9</v>
      </c>
      <c r="B42" s="265" t="s">
        <v>1055</v>
      </c>
      <c r="C42" s="265" t="s">
        <v>81</v>
      </c>
      <c r="D42" s="22" t="s">
        <v>1056</v>
      </c>
      <c r="E42" s="23">
        <v>100</v>
      </c>
      <c r="F42" s="24" t="s">
        <v>17</v>
      </c>
      <c r="G42" s="24" t="s">
        <v>1019</v>
      </c>
      <c r="H42" s="115">
        <v>0.03</v>
      </c>
      <c r="I42" s="24">
        <f>H42*10000000*117/100</f>
        <v>351000</v>
      </c>
      <c r="J42" s="22" t="s">
        <v>16</v>
      </c>
      <c r="K42" s="262" t="s">
        <v>1062</v>
      </c>
      <c r="L42" s="266" t="s">
        <v>48</v>
      </c>
      <c r="M42" s="267"/>
    </row>
    <row r="43" spans="1:13" ht="26.4" x14ac:dyDescent="0.25">
      <c r="A43" s="259"/>
      <c r="B43" s="261"/>
      <c r="C43" s="261"/>
      <c r="D43" s="73" t="s">
        <v>1057</v>
      </c>
      <c r="E43" s="74">
        <v>94</v>
      </c>
      <c r="F43" s="8" t="s">
        <v>17</v>
      </c>
      <c r="G43" s="16" t="s">
        <v>1019</v>
      </c>
      <c r="H43" s="72">
        <v>3.27E-2</v>
      </c>
      <c r="I43" s="8">
        <f>H43*10000000*117/100</f>
        <v>382590</v>
      </c>
      <c r="J43" s="73" t="s">
        <v>16</v>
      </c>
      <c r="K43" s="262"/>
      <c r="L43" s="263"/>
      <c r="M43" s="247"/>
    </row>
    <row r="44" spans="1:13" ht="26.4" x14ac:dyDescent="0.25">
      <c r="A44" s="259"/>
      <c r="B44" s="261"/>
      <c r="C44" s="261"/>
      <c r="D44" s="73" t="s">
        <v>1041</v>
      </c>
      <c r="E44" s="74">
        <v>93</v>
      </c>
      <c r="F44" s="8" t="s">
        <v>17</v>
      </c>
      <c r="G44" s="16" t="s">
        <v>1019</v>
      </c>
      <c r="H44" s="72">
        <v>3.3500000000000002E-2</v>
      </c>
      <c r="I44" s="8">
        <f>H44*10000000*117/100</f>
        <v>391950</v>
      </c>
      <c r="J44" s="73" t="s">
        <v>16</v>
      </c>
      <c r="K44" s="262"/>
      <c r="L44" s="263"/>
      <c r="M44" s="247"/>
    </row>
    <row r="45" spans="1:13" ht="26.4" x14ac:dyDescent="0.25">
      <c r="A45" s="259"/>
      <c r="B45" s="268"/>
      <c r="C45" s="268"/>
      <c r="D45" s="143" t="s">
        <v>1018</v>
      </c>
      <c r="E45" s="74">
        <v>90</v>
      </c>
      <c r="F45" s="8" t="s">
        <v>17</v>
      </c>
      <c r="G45" s="16" t="s">
        <v>1019</v>
      </c>
      <c r="H45" s="72">
        <v>3.5000000000000003E-2</v>
      </c>
      <c r="I45" s="8">
        <f>H45*10000000*117/100</f>
        <v>409500.00000000006</v>
      </c>
      <c r="J45" s="73" t="s">
        <v>16</v>
      </c>
      <c r="K45" s="262"/>
      <c r="L45" s="269"/>
      <c r="M45" s="270"/>
    </row>
    <row r="46" spans="1:13" ht="24.75" customHeight="1" x14ac:dyDescent="0.25">
      <c r="A46" s="260"/>
      <c r="B46" s="248" t="s">
        <v>1122</v>
      </c>
      <c r="C46" s="249"/>
      <c r="D46" s="249"/>
      <c r="E46" s="249"/>
      <c r="F46" s="249"/>
      <c r="G46" s="249"/>
      <c r="H46" s="249"/>
      <c r="I46" s="249"/>
      <c r="J46" s="249"/>
      <c r="K46" s="249"/>
      <c r="L46" s="249"/>
      <c r="M46" s="250"/>
    </row>
    <row r="47" spans="1:13" ht="15.6" x14ac:dyDescent="0.25">
      <c r="A47" s="251" t="s">
        <v>1107</v>
      </c>
      <c r="B47" s="252"/>
      <c r="C47" s="252"/>
      <c r="D47" s="252"/>
      <c r="E47" s="252"/>
      <c r="F47" s="252"/>
      <c r="G47" s="252"/>
      <c r="H47" s="252"/>
      <c r="I47" s="252"/>
      <c r="J47" s="252"/>
      <c r="K47" s="252"/>
      <c r="L47" s="252"/>
      <c r="M47" s="253"/>
    </row>
    <row r="48" spans="1:13" ht="26.4" x14ac:dyDescent="0.25">
      <c r="A48" s="264">
        <v>10</v>
      </c>
      <c r="B48" s="265" t="s">
        <v>1103</v>
      </c>
      <c r="C48" s="265" t="s">
        <v>1104</v>
      </c>
      <c r="D48" s="22" t="s">
        <v>1105</v>
      </c>
      <c r="E48" s="23">
        <v>100</v>
      </c>
      <c r="F48" s="24" t="s">
        <v>1121</v>
      </c>
      <c r="G48" s="24" t="s">
        <v>1120</v>
      </c>
      <c r="H48" s="24">
        <f>10750</f>
        <v>10750</v>
      </c>
      <c r="I48" s="24">
        <f>H48*12</f>
        <v>129000</v>
      </c>
      <c r="J48" s="22" t="s">
        <v>16</v>
      </c>
      <c r="K48" s="262" t="s">
        <v>1062</v>
      </c>
      <c r="L48" s="266" t="s">
        <v>48</v>
      </c>
      <c r="M48" s="267"/>
    </row>
    <row r="49" spans="1:13" ht="26.4" x14ac:dyDescent="0.25">
      <c r="A49" s="259"/>
      <c r="B49" s="261"/>
      <c r="C49" s="261"/>
      <c r="D49" s="73" t="s">
        <v>147</v>
      </c>
      <c r="E49" s="74">
        <v>89</v>
      </c>
      <c r="F49" s="16" t="s">
        <v>1121</v>
      </c>
      <c r="G49" s="16" t="s">
        <v>1120</v>
      </c>
      <c r="H49" s="16">
        <f>11583</f>
        <v>11583</v>
      </c>
      <c r="I49" s="16">
        <f>H49*12</f>
        <v>138996</v>
      </c>
      <c r="J49" s="73" t="s">
        <v>16</v>
      </c>
      <c r="K49" s="262"/>
      <c r="L49" s="263"/>
      <c r="M49" s="247"/>
    </row>
    <row r="50" spans="1:13" ht="26.4" x14ac:dyDescent="0.25">
      <c r="A50" s="259"/>
      <c r="B50" s="261"/>
      <c r="C50" s="261"/>
      <c r="D50" s="73" t="s">
        <v>145</v>
      </c>
      <c r="E50" s="74">
        <v>72</v>
      </c>
      <c r="F50" s="16" t="s">
        <v>1121</v>
      </c>
      <c r="G50" s="16" t="s">
        <v>1120</v>
      </c>
      <c r="H50" s="16">
        <f>14040</f>
        <v>14040</v>
      </c>
      <c r="I50" s="16">
        <f>H50*12</f>
        <v>168480</v>
      </c>
      <c r="J50" s="73" t="s">
        <v>16</v>
      </c>
      <c r="K50" s="262"/>
      <c r="L50" s="263"/>
      <c r="M50" s="247"/>
    </row>
    <row r="51" spans="1:13" ht="13.8" x14ac:dyDescent="0.25">
      <c r="A51" s="260"/>
      <c r="B51" s="248"/>
      <c r="C51" s="249"/>
      <c r="D51" s="249"/>
      <c r="E51" s="249"/>
      <c r="F51" s="249"/>
      <c r="G51" s="249"/>
      <c r="H51" s="249"/>
      <c r="I51" s="249"/>
      <c r="J51" s="249"/>
      <c r="K51" s="249"/>
      <c r="L51" s="249"/>
      <c r="M51" s="250"/>
    </row>
    <row r="52" spans="1:13" ht="15.6" x14ac:dyDescent="0.25">
      <c r="A52" s="251" t="s">
        <v>1108</v>
      </c>
      <c r="B52" s="252"/>
      <c r="C52" s="252"/>
      <c r="D52" s="252"/>
      <c r="E52" s="252"/>
      <c r="F52" s="252"/>
      <c r="G52" s="252"/>
      <c r="H52" s="252"/>
      <c r="I52" s="252"/>
      <c r="J52" s="252"/>
      <c r="K52" s="252"/>
      <c r="L52" s="252"/>
      <c r="M52" s="253"/>
    </row>
    <row r="53" spans="1:13" ht="52.8" x14ac:dyDescent="0.25">
      <c r="A53" s="264">
        <v>11</v>
      </c>
      <c r="B53" s="238" t="s">
        <v>1127</v>
      </c>
      <c r="C53" s="238" t="s">
        <v>1109</v>
      </c>
      <c r="D53" s="22" t="s">
        <v>1110</v>
      </c>
      <c r="E53" s="23">
        <v>100</v>
      </c>
      <c r="F53" s="24" t="s">
        <v>15</v>
      </c>
      <c r="G53" s="24" t="s">
        <v>269</v>
      </c>
      <c r="H53" s="24">
        <f>289*117/100</f>
        <v>338.13</v>
      </c>
      <c r="I53" s="24">
        <f>H53*100</f>
        <v>33813</v>
      </c>
      <c r="J53" s="22" t="s">
        <v>16</v>
      </c>
      <c r="K53" s="241" t="s">
        <v>985</v>
      </c>
      <c r="L53" s="239" t="s">
        <v>48</v>
      </c>
      <c r="M53" s="145"/>
    </row>
    <row r="54" spans="1:13" ht="13.8" x14ac:dyDescent="0.25">
      <c r="A54" s="260"/>
      <c r="B54" s="248"/>
      <c r="C54" s="249"/>
      <c r="D54" s="249"/>
      <c r="E54" s="249"/>
      <c r="F54" s="249"/>
      <c r="G54" s="249"/>
      <c r="H54" s="249"/>
      <c r="I54" s="249"/>
      <c r="J54" s="249"/>
      <c r="K54" s="249"/>
      <c r="L54" s="249"/>
      <c r="M54" s="250"/>
    </row>
    <row r="55" spans="1:13" ht="15.6" x14ac:dyDescent="0.25">
      <c r="A55" s="251" t="s">
        <v>1113</v>
      </c>
      <c r="B55" s="252"/>
      <c r="C55" s="252"/>
      <c r="D55" s="252"/>
      <c r="E55" s="252"/>
      <c r="F55" s="252"/>
      <c r="G55" s="252"/>
      <c r="H55" s="252"/>
      <c r="I55" s="252"/>
      <c r="J55" s="252"/>
      <c r="K55" s="252"/>
      <c r="L55" s="252"/>
      <c r="M55" s="253"/>
    </row>
    <row r="56" spans="1:13" ht="18" customHeight="1" x14ac:dyDescent="0.25">
      <c r="A56" s="264">
        <v>12</v>
      </c>
      <c r="B56" s="265" t="s">
        <v>1114</v>
      </c>
      <c r="C56" s="265" t="s">
        <v>1115</v>
      </c>
      <c r="D56" s="22" t="s">
        <v>1116</v>
      </c>
      <c r="E56" s="23">
        <v>100</v>
      </c>
      <c r="F56" s="24" t="s">
        <v>20</v>
      </c>
      <c r="G56" s="24" t="s">
        <v>20</v>
      </c>
      <c r="H56" s="24">
        <f>120000*117/100</f>
        <v>140400</v>
      </c>
      <c r="I56" s="24">
        <f t="shared" ref="I56:I58" si="3">H56</f>
        <v>140400</v>
      </c>
      <c r="J56" s="22" t="s">
        <v>16</v>
      </c>
      <c r="K56" s="262" t="s">
        <v>1062</v>
      </c>
      <c r="L56" s="266" t="s">
        <v>48</v>
      </c>
      <c r="M56" s="267" t="s">
        <v>1118</v>
      </c>
    </row>
    <row r="57" spans="1:13" ht="19.5" customHeight="1" x14ac:dyDescent="0.25">
      <c r="A57" s="259"/>
      <c r="B57" s="261"/>
      <c r="C57" s="261"/>
      <c r="D57" s="73" t="s">
        <v>107</v>
      </c>
      <c r="E57" s="74">
        <v>83</v>
      </c>
      <c r="F57" s="16" t="s">
        <v>20</v>
      </c>
      <c r="G57" s="16" t="s">
        <v>20</v>
      </c>
      <c r="H57" s="16">
        <f>160000*117/100</f>
        <v>187200</v>
      </c>
      <c r="I57" s="16">
        <f t="shared" si="3"/>
        <v>187200</v>
      </c>
      <c r="J57" s="73"/>
      <c r="K57" s="262"/>
      <c r="L57" s="263"/>
      <c r="M57" s="247"/>
    </row>
    <row r="58" spans="1:13" ht="13.8" x14ac:dyDescent="0.25">
      <c r="A58" s="259"/>
      <c r="B58" s="261"/>
      <c r="C58" s="261"/>
      <c r="D58" s="73" t="s">
        <v>1117</v>
      </c>
      <c r="E58" s="74">
        <v>54</v>
      </c>
      <c r="F58" s="16" t="s">
        <v>20</v>
      </c>
      <c r="G58" s="16" t="s">
        <v>20</v>
      </c>
      <c r="H58" s="16">
        <f>360000*117/100</f>
        <v>421200</v>
      </c>
      <c r="I58" s="16">
        <f t="shared" si="3"/>
        <v>421200</v>
      </c>
      <c r="J58" s="73"/>
      <c r="K58" s="262"/>
      <c r="L58" s="263"/>
      <c r="M58" s="247"/>
    </row>
    <row r="59" spans="1:13" ht="13.8" x14ac:dyDescent="0.25">
      <c r="A59" s="260"/>
      <c r="B59" s="248" t="s">
        <v>1126</v>
      </c>
      <c r="C59" s="249"/>
      <c r="D59" s="249"/>
      <c r="E59" s="249"/>
      <c r="F59" s="249"/>
      <c r="G59" s="249"/>
      <c r="H59" s="249"/>
      <c r="I59" s="249"/>
      <c r="J59" s="249"/>
      <c r="K59" s="249"/>
      <c r="L59" s="249"/>
      <c r="M59" s="250"/>
    </row>
    <row r="60" spans="1:13" ht="15.6" x14ac:dyDescent="0.25">
      <c r="A60" s="251" t="s">
        <v>1128</v>
      </c>
      <c r="B60" s="252"/>
      <c r="C60" s="252"/>
      <c r="D60" s="252"/>
      <c r="E60" s="252"/>
      <c r="F60" s="252"/>
      <c r="G60" s="252"/>
      <c r="H60" s="252"/>
      <c r="I60" s="252"/>
      <c r="J60" s="252"/>
      <c r="K60" s="252"/>
      <c r="L60" s="252"/>
      <c r="M60" s="253"/>
    </row>
    <row r="61" spans="1:13" ht="66" x14ac:dyDescent="0.25">
      <c r="A61" s="264">
        <v>13</v>
      </c>
      <c r="B61" s="243" t="s">
        <v>1129</v>
      </c>
      <c r="C61" s="243" t="s">
        <v>540</v>
      </c>
      <c r="D61" s="22" t="s">
        <v>1130</v>
      </c>
      <c r="E61" s="23">
        <v>100</v>
      </c>
      <c r="F61" s="24" t="s">
        <v>20</v>
      </c>
      <c r="G61" s="24" t="s">
        <v>20</v>
      </c>
      <c r="H61" s="24">
        <f>66924</f>
        <v>66924</v>
      </c>
      <c r="I61" s="24">
        <f>H61</f>
        <v>66924</v>
      </c>
      <c r="J61" s="22" t="s">
        <v>16</v>
      </c>
      <c r="K61" s="245" t="s">
        <v>985</v>
      </c>
      <c r="L61" s="244" t="s">
        <v>48</v>
      </c>
      <c r="M61" s="145"/>
    </row>
    <row r="62" spans="1:13" ht="13.8" x14ac:dyDescent="0.25">
      <c r="A62" s="260"/>
      <c r="B62" s="248" t="s">
        <v>1089</v>
      </c>
      <c r="C62" s="249"/>
      <c r="D62" s="249"/>
      <c r="E62" s="249"/>
      <c r="F62" s="249"/>
      <c r="G62" s="249"/>
      <c r="H62" s="249"/>
      <c r="I62" s="249"/>
      <c r="J62" s="249"/>
      <c r="K62" s="249"/>
      <c r="L62" s="249"/>
      <c r="M62" s="250"/>
    </row>
    <row r="64" spans="1:13" x14ac:dyDescent="0.25">
      <c r="B64" s="234"/>
    </row>
  </sheetData>
  <mergeCells count="75">
    <mergeCell ref="B26:M26"/>
    <mergeCell ref="A10:M10"/>
    <mergeCell ref="A11:A12"/>
    <mergeCell ref="B12:M12"/>
    <mergeCell ref="A13:M13"/>
    <mergeCell ref="A14:A15"/>
    <mergeCell ref="B15:M15"/>
    <mergeCell ref="A7:M7"/>
    <mergeCell ref="A8:A9"/>
    <mergeCell ref="B9:M9"/>
    <mergeCell ref="A22:M22"/>
    <mergeCell ref="A23:A26"/>
    <mergeCell ref="B23:B25"/>
    <mergeCell ref="C23:C25"/>
    <mergeCell ref="K23:K25"/>
    <mergeCell ref="L23:L25"/>
    <mergeCell ref="M23:M25"/>
    <mergeCell ref="A16:M16"/>
    <mergeCell ref="A17:A18"/>
    <mergeCell ref="B18:M18"/>
    <mergeCell ref="A19:M19"/>
    <mergeCell ref="A20:A21"/>
    <mergeCell ref="B21:M21"/>
    <mergeCell ref="A1:A6"/>
    <mergeCell ref="B1:M1"/>
    <mergeCell ref="B2:M2"/>
    <mergeCell ref="B3:M3"/>
    <mergeCell ref="B4:M4"/>
    <mergeCell ref="B5:M5"/>
    <mergeCell ref="A27:M27"/>
    <mergeCell ref="A28:A33"/>
    <mergeCell ref="B28:B32"/>
    <mergeCell ref="C28:C32"/>
    <mergeCell ref="K28:K32"/>
    <mergeCell ref="L28:L32"/>
    <mergeCell ref="M28:M32"/>
    <mergeCell ref="B33:M33"/>
    <mergeCell ref="B40:M40"/>
    <mergeCell ref="A34:M34"/>
    <mergeCell ref="A35:A40"/>
    <mergeCell ref="B35:B39"/>
    <mergeCell ref="C35:C39"/>
    <mergeCell ref="K35:K39"/>
    <mergeCell ref="L35:L39"/>
    <mergeCell ref="M35:M39"/>
    <mergeCell ref="A41:M41"/>
    <mergeCell ref="A42:A46"/>
    <mergeCell ref="B42:B45"/>
    <mergeCell ref="C42:C45"/>
    <mergeCell ref="K42:K45"/>
    <mergeCell ref="L42:L45"/>
    <mergeCell ref="M42:M45"/>
    <mergeCell ref="B46:M46"/>
    <mergeCell ref="A47:M47"/>
    <mergeCell ref="A48:A51"/>
    <mergeCell ref="B48:B50"/>
    <mergeCell ref="C48:C50"/>
    <mergeCell ref="K48:K50"/>
    <mergeCell ref="L48:L50"/>
    <mergeCell ref="M48:M50"/>
    <mergeCell ref="B51:M51"/>
    <mergeCell ref="A60:M60"/>
    <mergeCell ref="A61:A62"/>
    <mergeCell ref="B62:M62"/>
    <mergeCell ref="A52:M52"/>
    <mergeCell ref="A53:A54"/>
    <mergeCell ref="B54:M54"/>
    <mergeCell ref="A55:M55"/>
    <mergeCell ref="A56:A59"/>
    <mergeCell ref="B56:B58"/>
    <mergeCell ref="C56:C58"/>
    <mergeCell ref="K56:K58"/>
    <mergeCell ref="L56:L58"/>
    <mergeCell ref="M56:M58"/>
    <mergeCell ref="B59:M59"/>
  </mergeCells>
  <pageMargins left="0.23622047244094491" right="0.23622047244094491" top="0.55118110236220474" bottom="0.55118110236220474" header="0.31496062992125984" footer="0.31496062992125984"/>
  <pageSetup paperSize="9" scale="79" fitToHeight="0" orientation="landscape" r:id="rId1"/>
  <rowBreaks count="2" manualBreakCount="2">
    <brk id="26" max="16383" man="1"/>
    <brk id="5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8"/>
  <sheetViews>
    <sheetView rightToLeft="1" zoomScaleNormal="100" zoomScaleSheetLayoutView="75" workbookViewId="0">
      <pane ySplit="6" topLeftCell="A13" activePane="bottomLeft" state="frozen"/>
      <selection pane="bottomLeft" activeCell="B8" sqref="B8"/>
    </sheetView>
  </sheetViews>
  <sheetFormatPr defaultColWidth="8.69921875" defaultRowHeight="15" x14ac:dyDescent="0.25"/>
  <cols>
    <col min="1" max="1" width="4.19921875" customWidth="1"/>
    <col min="2" max="2" width="21.09765625" style="10" bestFit="1" customWidth="1"/>
    <col min="4" max="4" width="10.19921875" customWidth="1"/>
    <col min="5" max="5" width="7.69921875" customWidth="1"/>
    <col min="6" max="6" width="10.19921875" bestFit="1" customWidth="1"/>
    <col min="7" max="7" width="12.09765625" style="11" bestFit="1" customWidth="1"/>
    <col min="8" max="8" width="13.59765625" style="12" bestFit="1" customWidth="1"/>
    <col min="9" max="9" width="14.59765625" style="12" bestFit="1" customWidth="1"/>
    <col min="10" max="10" width="9" customWidth="1"/>
    <col min="11" max="11" width="23.59765625" style="13" customWidth="1"/>
    <col min="12" max="12" width="10.09765625" style="14" customWidth="1"/>
    <col min="13" max="13" width="19.69921875" style="15" customWidth="1"/>
  </cols>
  <sheetData>
    <row r="1" spans="1:13" ht="21" x14ac:dyDescent="0.25">
      <c r="A1" s="254"/>
      <c r="B1" s="255" t="s">
        <v>1079</v>
      </c>
      <c r="C1" s="255"/>
      <c r="D1" s="255"/>
      <c r="E1" s="255"/>
      <c r="F1" s="255"/>
      <c r="G1" s="255"/>
      <c r="H1" s="255"/>
      <c r="I1" s="255"/>
      <c r="J1" s="255"/>
      <c r="K1" s="255"/>
      <c r="L1" s="255"/>
      <c r="M1" s="255"/>
    </row>
    <row r="2" spans="1:13" ht="29.4" customHeight="1" x14ac:dyDescent="0.25">
      <c r="A2" s="254"/>
      <c r="B2" s="256" t="s">
        <v>663</v>
      </c>
      <c r="C2" s="256"/>
      <c r="D2" s="256"/>
      <c r="E2" s="256"/>
      <c r="F2" s="256"/>
      <c r="G2" s="256"/>
      <c r="H2" s="256"/>
      <c r="I2" s="256"/>
      <c r="J2" s="256"/>
      <c r="K2" s="256"/>
      <c r="L2" s="256"/>
      <c r="M2" s="256"/>
    </row>
    <row r="3" spans="1:13" ht="15.6" x14ac:dyDescent="0.25">
      <c r="A3" s="254"/>
      <c r="B3" s="257" t="s">
        <v>853</v>
      </c>
      <c r="C3" s="257"/>
      <c r="D3" s="257"/>
      <c r="E3" s="257"/>
      <c r="F3" s="257"/>
      <c r="G3" s="257"/>
      <c r="H3" s="257"/>
      <c r="I3" s="257"/>
      <c r="J3" s="257"/>
      <c r="K3" s="257"/>
      <c r="L3" s="257"/>
      <c r="M3" s="257"/>
    </row>
    <row r="4" spans="1:13" ht="13.8" x14ac:dyDescent="0.25">
      <c r="A4" s="254"/>
      <c r="B4" s="258" t="s">
        <v>793</v>
      </c>
      <c r="C4" s="258"/>
      <c r="D4" s="258"/>
      <c r="E4" s="258"/>
      <c r="F4" s="258"/>
      <c r="G4" s="258"/>
      <c r="H4" s="258"/>
      <c r="I4" s="258"/>
      <c r="J4" s="258"/>
      <c r="K4" s="258"/>
      <c r="L4" s="258"/>
      <c r="M4" s="258"/>
    </row>
    <row r="5" spans="1:13" ht="13.8" x14ac:dyDescent="0.25">
      <c r="A5" s="254"/>
      <c r="B5" s="258" t="s">
        <v>792</v>
      </c>
      <c r="C5" s="258"/>
      <c r="D5" s="258"/>
      <c r="E5" s="258"/>
      <c r="F5" s="258"/>
      <c r="G5" s="258"/>
      <c r="H5" s="258"/>
      <c r="I5" s="258"/>
      <c r="J5" s="258"/>
      <c r="K5" s="258"/>
      <c r="L5" s="258"/>
      <c r="M5" s="258"/>
    </row>
    <row r="6" spans="1:13" ht="46.8" x14ac:dyDescent="0.25">
      <c r="A6" s="254"/>
      <c r="B6" s="1" t="s">
        <v>3</v>
      </c>
      <c r="C6" s="2" t="s">
        <v>4</v>
      </c>
      <c r="D6" s="3" t="s">
        <v>5</v>
      </c>
      <c r="E6" s="3" t="s">
        <v>6</v>
      </c>
      <c r="F6" s="3" t="s">
        <v>7</v>
      </c>
      <c r="G6" s="3" t="s">
        <v>8</v>
      </c>
      <c r="H6" s="4" t="s">
        <v>9</v>
      </c>
      <c r="I6" s="5" t="s">
        <v>10</v>
      </c>
      <c r="J6" s="3" t="s">
        <v>11</v>
      </c>
      <c r="K6" s="3" t="s">
        <v>12</v>
      </c>
      <c r="L6" s="6" t="s">
        <v>13</v>
      </c>
      <c r="M6" s="3" t="s">
        <v>14</v>
      </c>
    </row>
    <row r="7" spans="1:13" ht="15.6" x14ac:dyDescent="0.25">
      <c r="A7" s="251" t="s">
        <v>1067</v>
      </c>
      <c r="B7" s="252"/>
      <c r="C7" s="252"/>
      <c r="D7" s="252"/>
      <c r="E7" s="252"/>
      <c r="F7" s="252"/>
      <c r="G7" s="252"/>
      <c r="H7" s="252"/>
      <c r="I7" s="252"/>
      <c r="J7" s="252"/>
      <c r="K7" s="252"/>
      <c r="L7" s="252"/>
      <c r="M7" s="253"/>
    </row>
    <row r="8" spans="1:13" ht="31.2" x14ac:dyDescent="0.25">
      <c r="A8" s="264">
        <v>1</v>
      </c>
      <c r="B8" s="230" t="s">
        <v>1068</v>
      </c>
      <c r="C8" s="232" t="s">
        <v>739</v>
      </c>
      <c r="D8" s="22" t="s">
        <v>669</v>
      </c>
      <c r="E8" s="23">
        <v>100</v>
      </c>
      <c r="F8" s="24" t="s">
        <v>642</v>
      </c>
      <c r="G8" s="24" t="s">
        <v>1069</v>
      </c>
      <c r="H8" s="24">
        <f>1000*117/100</f>
        <v>1170</v>
      </c>
      <c r="I8" s="24">
        <f>H8*6</f>
        <v>7020</v>
      </c>
      <c r="J8" s="22" t="s">
        <v>16</v>
      </c>
      <c r="K8" s="242" t="s">
        <v>985</v>
      </c>
      <c r="L8" s="231" t="s">
        <v>48</v>
      </c>
      <c r="M8" s="145"/>
    </row>
    <row r="9" spans="1:13" ht="13.8" x14ac:dyDescent="0.25">
      <c r="A9" s="260"/>
      <c r="B9" s="248" t="s">
        <v>1070</v>
      </c>
      <c r="C9" s="249"/>
      <c r="D9" s="249"/>
      <c r="E9" s="249"/>
      <c r="F9" s="249"/>
      <c r="G9" s="249"/>
      <c r="H9" s="249"/>
      <c r="I9" s="249"/>
      <c r="J9" s="249"/>
      <c r="K9" s="249"/>
      <c r="L9" s="249"/>
      <c r="M9" s="250"/>
    </row>
    <row r="10" spans="1:13" ht="15.6" x14ac:dyDescent="0.25">
      <c r="A10" s="251" t="s">
        <v>1071</v>
      </c>
      <c r="B10" s="252"/>
      <c r="C10" s="252"/>
      <c r="D10" s="252"/>
      <c r="E10" s="252"/>
      <c r="F10" s="252"/>
      <c r="G10" s="252"/>
      <c r="H10" s="252"/>
      <c r="I10" s="252"/>
      <c r="J10" s="252"/>
      <c r="K10" s="252"/>
      <c r="L10" s="252"/>
      <c r="M10" s="253"/>
    </row>
    <row r="11" spans="1:13" ht="39.6" x14ac:dyDescent="0.25">
      <c r="A11" s="264">
        <v>2</v>
      </c>
      <c r="B11" s="265" t="s">
        <v>1072</v>
      </c>
      <c r="C11" s="273" t="s">
        <v>739</v>
      </c>
      <c r="D11" s="22" t="s">
        <v>1073</v>
      </c>
      <c r="E11" s="23">
        <v>75</v>
      </c>
      <c r="F11" s="24" t="s">
        <v>409</v>
      </c>
      <c r="G11" s="24" t="s">
        <v>1074</v>
      </c>
      <c r="H11" s="176">
        <f>14000*117/100</f>
        <v>16380</v>
      </c>
      <c r="I11" s="24">
        <f>H11*4</f>
        <v>65520</v>
      </c>
      <c r="J11" s="22"/>
      <c r="K11" s="271" t="s">
        <v>1062</v>
      </c>
      <c r="L11" s="266" t="s">
        <v>48</v>
      </c>
      <c r="M11" s="267"/>
    </row>
    <row r="12" spans="1:13" ht="39.6" x14ac:dyDescent="0.25">
      <c r="A12" s="259"/>
      <c r="B12" s="261"/>
      <c r="C12" s="274"/>
      <c r="D12" s="233" t="s">
        <v>1075</v>
      </c>
      <c r="E12" s="7">
        <v>71</v>
      </c>
      <c r="F12" s="68" t="s">
        <v>409</v>
      </c>
      <c r="G12" s="68" t="s">
        <v>1074</v>
      </c>
      <c r="H12" s="8">
        <f>12000*117/100</f>
        <v>14040</v>
      </c>
      <c r="I12" s="16">
        <f>H12*4</f>
        <v>56160</v>
      </c>
      <c r="J12" s="233"/>
      <c r="K12" s="262"/>
      <c r="L12" s="263"/>
      <c r="M12" s="247"/>
    </row>
    <row r="13" spans="1:13" ht="39.6" x14ac:dyDescent="0.25">
      <c r="A13" s="259"/>
      <c r="B13" s="261"/>
      <c r="C13" s="274"/>
      <c r="D13" s="233" t="s">
        <v>1076</v>
      </c>
      <c r="E13" s="7">
        <v>70</v>
      </c>
      <c r="F13" s="68" t="s">
        <v>409</v>
      </c>
      <c r="G13" s="68" t="s">
        <v>1074</v>
      </c>
      <c r="H13" s="8">
        <f>9000*117/100</f>
        <v>10530</v>
      </c>
      <c r="I13" s="16">
        <f>H13*4</f>
        <v>42120</v>
      </c>
      <c r="J13" s="233"/>
      <c r="K13" s="262"/>
      <c r="L13" s="263"/>
      <c r="M13" s="247"/>
    </row>
    <row r="14" spans="1:13" ht="39.6" x14ac:dyDescent="0.25">
      <c r="A14" s="259"/>
      <c r="B14" s="261"/>
      <c r="C14" s="274"/>
      <c r="D14" s="233" t="s">
        <v>1077</v>
      </c>
      <c r="E14" s="7">
        <v>63</v>
      </c>
      <c r="F14" s="68" t="s">
        <v>409</v>
      </c>
      <c r="G14" s="68" t="s">
        <v>1074</v>
      </c>
      <c r="H14" s="8">
        <f>14000*117/100</f>
        <v>16380</v>
      </c>
      <c r="I14" s="16">
        <f t="shared" ref="I14" si="0">H14*4</f>
        <v>65520</v>
      </c>
      <c r="J14" s="233"/>
      <c r="K14" s="262"/>
      <c r="L14" s="263"/>
      <c r="M14" s="247"/>
    </row>
    <row r="15" spans="1:13" ht="39.6" x14ac:dyDescent="0.25">
      <c r="A15" s="259"/>
      <c r="B15" s="261"/>
      <c r="C15" s="274"/>
      <c r="D15" s="143" t="s">
        <v>1078</v>
      </c>
      <c r="E15" s="74">
        <v>63</v>
      </c>
      <c r="F15" s="68" t="s">
        <v>409</v>
      </c>
      <c r="G15" s="68" t="s">
        <v>1074</v>
      </c>
      <c r="H15" s="16">
        <f>14000*117/100</f>
        <v>16380</v>
      </c>
      <c r="I15" s="16">
        <f>H15*4</f>
        <v>65520</v>
      </c>
      <c r="J15" s="73"/>
      <c r="K15" s="262"/>
      <c r="L15" s="263"/>
      <c r="M15" s="247"/>
    </row>
    <row r="16" spans="1:13" ht="13.8" x14ac:dyDescent="0.25">
      <c r="A16" s="260"/>
      <c r="B16" s="248"/>
      <c r="C16" s="249"/>
      <c r="D16" s="249"/>
      <c r="E16" s="249"/>
      <c r="F16" s="249"/>
      <c r="G16" s="249"/>
      <c r="H16" s="249"/>
      <c r="I16" s="249"/>
      <c r="J16" s="249"/>
      <c r="K16" s="249"/>
      <c r="L16" s="249"/>
      <c r="M16" s="250"/>
    </row>
    <row r="18" spans="2:2" x14ac:dyDescent="0.25">
      <c r="B18" s="234"/>
    </row>
  </sheetData>
  <mergeCells count="17">
    <mergeCell ref="B16:M16"/>
    <mergeCell ref="A11:A16"/>
    <mergeCell ref="B11:B15"/>
    <mergeCell ref="A7:M7"/>
    <mergeCell ref="A8:A9"/>
    <mergeCell ref="B9:M9"/>
    <mergeCell ref="A10:M10"/>
    <mergeCell ref="C11:C15"/>
    <mergeCell ref="K11:K15"/>
    <mergeCell ref="L11:L15"/>
    <mergeCell ref="M11:M15"/>
    <mergeCell ref="A1:A6"/>
    <mergeCell ref="B1:M1"/>
    <mergeCell ref="B2:M2"/>
    <mergeCell ref="B3:M3"/>
    <mergeCell ref="B4:M4"/>
    <mergeCell ref="B5:M5"/>
  </mergeCells>
  <pageMargins left="0.23622047244094491" right="0.23622047244094491" top="0.55118110236220474" bottom="0.55118110236220474" header="0.31496062992125984" footer="0.31496062992125984"/>
  <pageSetup paperSize="9" scale="7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01"/>
  <sheetViews>
    <sheetView rightToLeft="1" zoomScaleNormal="100" zoomScaleSheetLayoutView="75" workbookViewId="0">
      <pane ySplit="6" topLeftCell="A28" activePane="bottomLeft" state="frozen"/>
      <selection pane="bottomLeft" activeCell="D11" sqref="D11"/>
    </sheetView>
  </sheetViews>
  <sheetFormatPr defaultColWidth="8.69921875" defaultRowHeight="15" x14ac:dyDescent="0.25"/>
  <cols>
    <col min="1" max="1" width="4.19921875" customWidth="1"/>
    <col min="2" max="2" width="21.09765625" style="10" bestFit="1" customWidth="1"/>
    <col min="4" max="4" width="10.19921875" customWidth="1"/>
    <col min="5" max="5" width="7.69921875" customWidth="1"/>
    <col min="6" max="6" width="10.19921875" bestFit="1" customWidth="1"/>
    <col min="7" max="7" width="12.09765625" style="11" bestFit="1" customWidth="1"/>
    <col min="8" max="8" width="13.59765625" style="12" bestFit="1" customWidth="1"/>
    <col min="9" max="9" width="14.59765625" style="12" bestFit="1" customWidth="1"/>
    <col min="10" max="10" width="9" customWidth="1"/>
    <col min="11" max="11" width="23.59765625" style="13" customWidth="1"/>
    <col min="12" max="12" width="10.09765625" style="14" customWidth="1"/>
    <col min="13" max="13" width="19.69921875" style="15" customWidth="1"/>
  </cols>
  <sheetData>
    <row r="1" spans="1:13" ht="21" x14ac:dyDescent="0.25">
      <c r="A1" s="254"/>
      <c r="B1" s="255" t="s">
        <v>1060</v>
      </c>
      <c r="C1" s="255"/>
      <c r="D1" s="255"/>
      <c r="E1" s="255"/>
      <c r="F1" s="255"/>
      <c r="G1" s="255"/>
      <c r="H1" s="255"/>
      <c r="I1" s="255"/>
      <c r="J1" s="255"/>
      <c r="K1" s="255"/>
      <c r="L1" s="255"/>
      <c r="M1" s="255"/>
    </row>
    <row r="2" spans="1:13" ht="29.4" customHeight="1" x14ac:dyDescent="0.25">
      <c r="A2" s="254"/>
      <c r="B2" s="256" t="s">
        <v>663</v>
      </c>
      <c r="C2" s="256"/>
      <c r="D2" s="256"/>
      <c r="E2" s="256"/>
      <c r="F2" s="256"/>
      <c r="G2" s="256"/>
      <c r="H2" s="256"/>
      <c r="I2" s="256"/>
      <c r="J2" s="256"/>
      <c r="K2" s="256"/>
      <c r="L2" s="256"/>
      <c r="M2" s="256"/>
    </row>
    <row r="3" spans="1:13" ht="15.6" x14ac:dyDescent="0.25">
      <c r="A3" s="254"/>
      <c r="B3" s="257"/>
      <c r="C3" s="257"/>
      <c r="D3" s="257"/>
      <c r="E3" s="257"/>
      <c r="F3" s="257"/>
      <c r="G3" s="257"/>
      <c r="H3" s="257"/>
      <c r="I3" s="257"/>
      <c r="J3" s="257"/>
      <c r="K3" s="257"/>
      <c r="L3" s="257"/>
      <c r="M3" s="257"/>
    </row>
    <row r="4" spans="1:13" ht="13.8" x14ac:dyDescent="0.25">
      <c r="A4" s="254"/>
      <c r="B4" s="258" t="s">
        <v>793</v>
      </c>
      <c r="C4" s="258"/>
      <c r="D4" s="258"/>
      <c r="E4" s="258"/>
      <c r="F4" s="258"/>
      <c r="G4" s="258"/>
      <c r="H4" s="258"/>
      <c r="I4" s="258"/>
      <c r="J4" s="258"/>
      <c r="K4" s="258"/>
      <c r="L4" s="258"/>
      <c r="M4" s="258"/>
    </row>
    <row r="5" spans="1:13" ht="13.8" x14ac:dyDescent="0.25">
      <c r="A5" s="254"/>
      <c r="B5" s="258" t="s">
        <v>792</v>
      </c>
      <c r="C5" s="258"/>
      <c r="D5" s="258"/>
      <c r="E5" s="258"/>
      <c r="F5" s="258"/>
      <c r="G5" s="258"/>
      <c r="H5" s="258"/>
      <c r="I5" s="258"/>
      <c r="J5" s="258"/>
      <c r="K5" s="258"/>
      <c r="L5" s="258"/>
      <c r="M5" s="258"/>
    </row>
    <row r="6" spans="1:13" ht="46.8" x14ac:dyDescent="0.25">
      <c r="A6" s="254"/>
      <c r="B6" s="1" t="s">
        <v>3</v>
      </c>
      <c r="C6" s="2" t="s">
        <v>4</v>
      </c>
      <c r="D6" s="3" t="s">
        <v>5</v>
      </c>
      <c r="E6" s="3" t="s">
        <v>6</v>
      </c>
      <c r="F6" s="3" t="s">
        <v>7</v>
      </c>
      <c r="G6" s="3" t="s">
        <v>8</v>
      </c>
      <c r="H6" s="4" t="s">
        <v>9</v>
      </c>
      <c r="I6" s="5" t="s">
        <v>10</v>
      </c>
      <c r="J6" s="3" t="s">
        <v>11</v>
      </c>
      <c r="K6" s="3" t="s">
        <v>12</v>
      </c>
      <c r="L6" s="6" t="s">
        <v>13</v>
      </c>
      <c r="M6" s="3" t="s">
        <v>14</v>
      </c>
    </row>
    <row r="7" spans="1:13" ht="15.6" x14ac:dyDescent="0.25">
      <c r="A7" s="251" t="s">
        <v>993</v>
      </c>
      <c r="B7" s="252"/>
      <c r="C7" s="252"/>
      <c r="D7" s="252"/>
      <c r="E7" s="252"/>
      <c r="F7" s="252"/>
      <c r="G7" s="252"/>
      <c r="H7" s="252"/>
      <c r="I7" s="252"/>
      <c r="J7" s="252"/>
      <c r="K7" s="252"/>
      <c r="L7" s="252"/>
      <c r="M7" s="253"/>
    </row>
    <row r="8" spans="1:13" ht="93.6" x14ac:dyDescent="0.25">
      <c r="A8" s="264">
        <v>1</v>
      </c>
      <c r="B8" s="217" t="s">
        <v>991</v>
      </c>
      <c r="C8" s="217" t="s">
        <v>540</v>
      </c>
      <c r="D8" s="116" t="s">
        <v>992</v>
      </c>
      <c r="E8" s="128">
        <v>100</v>
      </c>
      <c r="F8" s="129" t="s">
        <v>20</v>
      </c>
      <c r="G8" s="129" t="s">
        <v>20</v>
      </c>
      <c r="H8" s="130">
        <f>439082*1.17</f>
        <v>513725.93999999994</v>
      </c>
      <c r="I8" s="129">
        <f>439082*1.17</f>
        <v>513725.93999999994</v>
      </c>
      <c r="J8" s="116" t="s">
        <v>16</v>
      </c>
      <c r="K8" s="218" t="s">
        <v>1059</v>
      </c>
      <c r="L8" s="222" t="s">
        <v>48</v>
      </c>
      <c r="M8" s="220" t="s">
        <v>996</v>
      </c>
    </row>
    <row r="9" spans="1:13" ht="30" customHeight="1" x14ac:dyDescent="0.25">
      <c r="A9" s="260"/>
      <c r="B9" s="248" t="s">
        <v>1049</v>
      </c>
      <c r="C9" s="249"/>
      <c r="D9" s="249"/>
      <c r="E9" s="249"/>
      <c r="F9" s="249"/>
      <c r="G9" s="249"/>
      <c r="H9" s="249"/>
      <c r="I9" s="249"/>
      <c r="J9" s="249"/>
      <c r="K9" s="249"/>
      <c r="L9" s="249"/>
      <c r="M9" s="250"/>
    </row>
    <row r="10" spans="1:13" ht="15.6" x14ac:dyDescent="0.25">
      <c r="A10" s="251" t="s">
        <v>994</v>
      </c>
      <c r="B10" s="252"/>
      <c r="C10" s="252"/>
      <c r="D10" s="252"/>
      <c r="E10" s="252"/>
      <c r="F10" s="252"/>
      <c r="G10" s="252"/>
      <c r="H10" s="252"/>
      <c r="I10" s="252"/>
      <c r="J10" s="252"/>
      <c r="K10" s="252"/>
      <c r="L10" s="252"/>
      <c r="M10" s="253"/>
    </row>
    <row r="11" spans="1:13" ht="39.6" x14ac:dyDescent="0.25">
      <c r="A11" s="264">
        <v>2</v>
      </c>
      <c r="B11" s="217" t="s">
        <v>995</v>
      </c>
      <c r="C11" s="221" t="s">
        <v>540</v>
      </c>
      <c r="D11" s="22" t="s">
        <v>686</v>
      </c>
      <c r="E11" s="23">
        <v>100</v>
      </c>
      <c r="F11" s="24" t="s">
        <v>15</v>
      </c>
      <c r="G11" s="24" t="s">
        <v>687</v>
      </c>
      <c r="H11" s="24">
        <f>220*117/100</f>
        <v>257.39999999999998</v>
      </c>
      <c r="I11" s="24">
        <f>H11*150</f>
        <v>38610</v>
      </c>
      <c r="J11" s="22" t="s">
        <v>16</v>
      </c>
      <c r="K11" s="218" t="s">
        <v>985</v>
      </c>
      <c r="L11" s="219" t="s">
        <v>48</v>
      </c>
      <c r="M11" s="145" t="s">
        <v>735</v>
      </c>
    </row>
    <row r="12" spans="1:13" ht="24" customHeight="1" x14ac:dyDescent="0.25">
      <c r="A12" s="260"/>
      <c r="B12" s="248" t="s">
        <v>997</v>
      </c>
      <c r="C12" s="249"/>
      <c r="D12" s="249"/>
      <c r="E12" s="249"/>
      <c r="F12" s="249"/>
      <c r="G12" s="249"/>
      <c r="H12" s="249"/>
      <c r="I12" s="249"/>
      <c r="J12" s="249"/>
      <c r="K12" s="249"/>
      <c r="L12" s="249"/>
      <c r="M12" s="250"/>
    </row>
    <row r="13" spans="1:13" ht="15.6" x14ac:dyDescent="0.25">
      <c r="A13" s="251" t="s">
        <v>998</v>
      </c>
      <c r="B13" s="252"/>
      <c r="C13" s="252"/>
      <c r="D13" s="252"/>
      <c r="E13" s="252"/>
      <c r="F13" s="252"/>
      <c r="G13" s="252"/>
      <c r="H13" s="252"/>
      <c r="I13" s="252"/>
      <c r="J13" s="252"/>
      <c r="K13" s="252"/>
      <c r="L13" s="252"/>
      <c r="M13" s="253"/>
    </row>
    <row r="14" spans="1:13" ht="13.8" x14ac:dyDescent="0.25">
      <c r="A14" s="264">
        <v>3</v>
      </c>
      <c r="B14" s="265" t="s">
        <v>999</v>
      </c>
      <c r="C14" s="273" t="s">
        <v>783</v>
      </c>
      <c r="D14" s="22" t="s">
        <v>38</v>
      </c>
      <c r="E14" s="23">
        <v>100</v>
      </c>
      <c r="F14" s="24" t="s">
        <v>20</v>
      </c>
      <c r="G14" s="24" t="s">
        <v>20</v>
      </c>
      <c r="H14" s="176">
        <f>38520*117/100</f>
        <v>45068.4</v>
      </c>
      <c r="I14" s="24">
        <f>H14</f>
        <v>45068.4</v>
      </c>
      <c r="J14" s="22" t="s">
        <v>16</v>
      </c>
      <c r="K14" s="271" t="s">
        <v>1061</v>
      </c>
      <c r="L14" s="266" t="s">
        <v>48</v>
      </c>
      <c r="M14" s="267" t="s">
        <v>1001</v>
      </c>
    </row>
    <row r="15" spans="1:13" ht="26.4" x14ac:dyDescent="0.25">
      <c r="A15" s="259"/>
      <c r="B15" s="261"/>
      <c r="C15" s="274"/>
      <c r="D15" s="223" t="s">
        <v>1002</v>
      </c>
      <c r="E15" s="7">
        <v>80</v>
      </c>
      <c r="F15" s="16" t="s">
        <v>20</v>
      </c>
      <c r="G15" s="8" t="s">
        <v>20</v>
      </c>
      <c r="H15" s="8">
        <f>54250*117/100</f>
        <v>63472.5</v>
      </c>
      <c r="I15" s="16">
        <f>H15</f>
        <v>63472.5</v>
      </c>
      <c r="J15" s="223" t="s">
        <v>16</v>
      </c>
      <c r="K15" s="262"/>
      <c r="L15" s="263"/>
      <c r="M15" s="247"/>
    </row>
    <row r="16" spans="1:13" ht="57.75" customHeight="1" x14ac:dyDescent="0.25">
      <c r="A16" s="259"/>
      <c r="B16" s="261"/>
      <c r="C16" s="274"/>
      <c r="D16" s="143" t="s">
        <v>39</v>
      </c>
      <c r="E16" s="74">
        <v>69</v>
      </c>
      <c r="F16" s="16" t="s">
        <v>20</v>
      </c>
      <c r="G16" s="16" t="s">
        <v>20</v>
      </c>
      <c r="H16" s="16">
        <f>68610*117/100</f>
        <v>80273.7</v>
      </c>
      <c r="I16" s="16">
        <f t="shared" ref="I16" si="0">H16</f>
        <v>80273.7</v>
      </c>
      <c r="J16" s="73" t="s">
        <v>16</v>
      </c>
      <c r="K16" s="262"/>
      <c r="L16" s="263"/>
      <c r="M16" s="247"/>
    </row>
    <row r="17" spans="1:13" ht="14.25" customHeight="1" x14ac:dyDescent="0.25">
      <c r="A17" s="260"/>
      <c r="B17" s="248" t="s">
        <v>1000</v>
      </c>
      <c r="C17" s="249"/>
      <c r="D17" s="249"/>
      <c r="E17" s="249"/>
      <c r="F17" s="249"/>
      <c r="G17" s="249"/>
      <c r="H17" s="249"/>
      <c r="I17" s="249"/>
      <c r="J17" s="249"/>
      <c r="K17" s="249"/>
      <c r="L17" s="249"/>
      <c r="M17" s="250"/>
    </row>
    <row r="18" spans="1:13" ht="15.6" x14ac:dyDescent="0.25">
      <c r="A18" s="251" t="s">
        <v>1003</v>
      </c>
      <c r="B18" s="252"/>
      <c r="C18" s="252"/>
      <c r="D18" s="252"/>
      <c r="E18" s="252"/>
      <c r="F18" s="252"/>
      <c r="G18" s="252"/>
      <c r="H18" s="252"/>
      <c r="I18" s="252"/>
      <c r="J18" s="252"/>
      <c r="K18" s="252"/>
      <c r="L18" s="252"/>
      <c r="M18" s="253"/>
    </row>
    <row r="19" spans="1:13" ht="25.5" customHeight="1" x14ac:dyDescent="0.25">
      <c r="A19" s="264">
        <v>4</v>
      </c>
      <c r="B19" s="265" t="s">
        <v>895</v>
      </c>
      <c r="C19" s="265" t="s">
        <v>783</v>
      </c>
      <c r="D19" s="22" t="s">
        <v>113</v>
      </c>
      <c r="E19" s="23">
        <v>88</v>
      </c>
      <c r="F19" s="24" t="s">
        <v>20</v>
      </c>
      <c r="G19" s="24" t="s">
        <v>20</v>
      </c>
      <c r="H19" s="176">
        <f>12000*117/100</f>
        <v>14040</v>
      </c>
      <c r="I19" s="24">
        <f>H19</f>
        <v>14040</v>
      </c>
      <c r="J19" s="22" t="s">
        <v>16</v>
      </c>
      <c r="K19" s="271" t="s">
        <v>1061</v>
      </c>
      <c r="L19" s="266" t="s">
        <v>48</v>
      </c>
      <c r="M19" s="267">
        <v>2250052950</v>
      </c>
    </row>
    <row r="20" spans="1:13" ht="30" customHeight="1" x14ac:dyDescent="0.25">
      <c r="A20" s="259"/>
      <c r="B20" s="261"/>
      <c r="C20" s="261"/>
      <c r="D20" s="73" t="s">
        <v>896</v>
      </c>
      <c r="E20" s="74">
        <v>42</v>
      </c>
      <c r="F20" s="8" t="s">
        <v>20</v>
      </c>
      <c r="G20" s="16" t="s">
        <v>20</v>
      </c>
      <c r="H20" s="16">
        <f>34800*117/100</f>
        <v>40716</v>
      </c>
      <c r="I20" s="16">
        <f t="shared" ref="I20:I21" si="1">H20</f>
        <v>40716</v>
      </c>
      <c r="J20" s="73" t="s">
        <v>16</v>
      </c>
      <c r="K20" s="262"/>
      <c r="L20" s="263"/>
      <c r="M20" s="247"/>
    </row>
    <row r="21" spans="1:13" ht="41.25" customHeight="1" x14ac:dyDescent="0.25">
      <c r="A21" s="259"/>
      <c r="B21" s="268"/>
      <c r="C21" s="268"/>
      <c r="D21" s="143" t="s">
        <v>602</v>
      </c>
      <c r="E21" s="7">
        <v>26</v>
      </c>
      <c r="F21" s="8" t="s">
        <v>20</v>
      </c>
      <c r="G21" s="16" t="s">
        <v>20</v>
      </c>
      <c r="H21" s="16">
        <f>100000*117/100</f>
        <v>117000</v>
      </c>
      <c r="I21" s="16">
        <f t="shared" si="1"/>
        <v>117000</v>
      </c>
      <c r="J21" s="223" t="s">
        <v>16</v>
      </c>
      <c r="K21" s="262"/>
      <c r="L21" s="269"/>
      <c r="M21" s="270"/>
    </row>
    <row r="22" spans="1:13" ht="25.5" customHeight="1" x14ac:dyDescent="0.25">
      <c r="A22" s="260"/>
      <c r="B22" s="248" t="s">
        <v>1050</v>
      </c>
      <c r="C22" s="249"/>
      <c r="D22" s="249"/>
      <c r="E22" s="249"/>
      <c r="F22" s="249"/>
      <c r="G22" s="249"/>
      <c r="H22" s="249"/>
      <c r="I22" s="249"/>
      <c r="J22" s="249"/>
      <c r="K22" s="249"/>
      <c r="L22" s="249"/>
      <c r="M22" s="250"/>
    </row>
    <row r="23" spans="1:13" ht="15.6" x14ac:dyDescent="0.25">
      <c r="A23" s="251" t="s">
        <v>1004</v>
      </c>
      <c r="B23" s="252"/>
      <c r="C23" s="252"/>
      <c r="D23" s="252"/>
      <c r="E23" s="252"/>
      <c r="F23" s="252"/>
      <c r="G23" s="252"/>
      <c r="H23" s="252"/>
      <c r="I23" s="252"/>
      <c r="J23" s="252"/>
      <c r="K23" s="252"/>
      <c r="L23" s="252"/>
      <c r="M23" s="253"/>
    </row>
    <row r="24" spans="1:13" ht="27.75" customHeight="1" x14ac:dyDescent="0.25">
      <c r="A24" s="264">
        <v>5</v>
      </c>
      <c r="B24" s="265" t="s">
        <v>979</v>
      </c>
      <c r="C24" s="265" t="s">
        <v>783</v>
      </c>
      <c r="D24" s="22" t="s">
        <v>113</v>
      </c>
      <c r="E24" s="23">
        <v>88</v>
      </c>
      <c r="F24" s="24" t="s">
        <v>20</v>
      </c>
      <c r="G24" s="24" t="s">
        <v>20</v>
      </c>
      <c r="H24" s="176">
        <f>7000*117/100</f>
        <v>8190</v>
      </c>
      <c r="I24" s="24">
        <f>H24</f>
        <v>8190</v>
      </c>
      <c r="J24" s="22" t="s">
        <v>16</v>
      </c>
      <c r="K24" s="271" t="s">
        <v>1061</v>
      </c>
      <c r="L24" s="266" t="s">
        <v>48</v>
      </c>
      <c r="M24" s="267">
        <v>2250052950</v>
      </c>
    </row>
    <row r="25" spans="1:13" ht="33" customHeight="1" x14ac:dyDescent="0.25">
      <c r="A25" s="259"/>
      <c r="B25" s="261"/>
      <c r="C25" s="261"/>
      <c r="D25" s="73" t="s">
        <v>896</v>
      </c>
      <c r="E25" s="74">
        <v>72</v>
      </c>
      <c r="F25" s="8" t="s">
        <v>20</v>
      </c>
      <c r="G25" s="16" t="s">
        <v>20</v>
      </c>
      <c r="H25" s="16">
        <f>8800*117/100</f>
        <v>10296</v>
      </c>
      <c r="I25" s="16">
        <f t="shared" ref="I25:I26" si="2">H25</f>
        <v>10296</v>
      </c>
      <c r="J25" s="73" t="s">
        <v>16</v>
      </c>
      <c r="K25" s="262"/>
      <c r="L25" s="263"/>
      <c r="M25" s="247"/>
    </row>
    <row r="26" spans="1:13" ht="35.25" customHeight="1" x14ac:dyDescent="0.25">
      <c r="A26" s="259"/>
      <c r="B26" s="268"/>
      <c r="C26" s="268"/>
      <c r="D26" s="143" t="s">
        <v>602</v>
      </c>
      <c r="E26" s="7">
        <v>21</v>
      </c>
      <c r="F26" s="8" t="s">
        <v>20</v>
      </c>
      <c r="G26" s="16" t="s">
        <v>20</v>
      </c>
      <c r="H26" s="16">
        <f>140000*117/100</f>
        <v>163800</v>
      </c>
      <c r="I26" s="16">
        <f t="shared" si="2"/>
        <v>163800</v>
      </c>
      <c r="J26" s="223" t="s">
        <v>16</v>
      </c>
      <c r="K26" s="262"/>
      <c r="L26" s="269"/>
      <c r="M26" s="270"/>
    </row>
    <row r="27" spans="1:13" ht="27" customHeight="1" x14ac:dyDescent="0.25">
      <c r="A27" s="260"/>
      <c r="B27" s="248" t="s">
        <v>1051</v>
      </c>
      <c r="C27" s="249"/>
      <c r="D27" s="249"/>
      <c r="E27" s="249"/>
      <c r="F27" s="249"/>
      <c r="G27" s="249"/>
      <c r="H27" s="249"/>
      <c r="I27" s="249"/>
      <c r="J27" s="249"/>
      <c r="K27" s="249"/>
      <c r="L27" s="249"/>
      <c r="M27" s="250"/>
    </row>
    <row r="28" spans="1:13" ht="15.6" x14ac:dyDescent="0.25">
      <c r="A28" s="251" t="s">
        <v>1005</v>
      </c>
      <c r="B28" s="252"/>
      <c r="C28" s="252"/>
      <c r="D28" s="252"/>
      <c r="E28" s="252"/>
      <c r="F28" s="252"/>
      <c r="G28" s="252"/>
      <c r="H28" s="252"/>
      <c r="I28" s="252"/>
      <c r="J28" s="252"/>
      <c r="K28" s="252"/>
      <c r="L28" s="252"/>
      <c r="M28" s="253"/>
    </row>
    <row r="29" spans="1:13" ht="20.25" customHeight="1" x14ac:dyDescent="0.25">
      <c r="A29" s="264">
        <v>6</v>
      </c>
      <c r="B29" s="265" t="s">
        <v>900</v>
      </c>
      <c r="C29" s="265" t="s">
        <v>783</v>
      </c>
      <c r="D29" s="22" t="s">
        <v>113</v>
      </c>
      <c r="E29" s="23">
        <v>88</v>
      </c>
      <c r="F29" s="24" t="s">
        <v>20</v>
      </c>
      <c r="G29" s="24" t="s">
        <v>20</v>
      </c>
      <c r="H29" s="176">
        <f>18000*117/100</f>
        <v>21060</v>
      </c>
      <c r="I29" s="24">
        <f>H29</f>
        <v>21060</v>
      </c>
      <c r="J29" s="22" t="s">
        <v>16</v>
      </c>
      <c r="K29" s="271" t="s">
        <v>1061</v>
      </c>
      <c r="L29" s="266" t="s">
        <v>48</v>
      </c>
      <c r="M29" s="267" t="s">
        <v>898</v>
      </c>
    </row>
    <row r="30" spans="1:13" ht="28.5" customHeight="1" x14ac:dyDescent="0.25">
      <c r="A30" s="259"/>
      <c r="B30" s="261"/>
      <c r="C30" s="261"/>
      <c r="D30" s="73" t="s">
        <v>896</v>
      </c>
      <c r="E30" s="74">
        <v>73</v>
      </c>
      <c r="F30" s="8" t="s">
        <v>20</v>
      </c>
      <c r="G30" s="16" t="s">
        <v>20</v>
      </c>
      <c r="H30" s="16">
        <f>22800*117/100</f>
        <v>26676</v>
      </c>
      <c r="I30" s="16">
        <f t="shared" ref="I30:I31" si="3">H30</f>
        <v>26676</v>
      </c>
      <c r="J30" s="73" t="s">
        <v>16</v>
      </c>
      <c r="K30" s="262"/>
      <c r="L30" s="263"/>
      <c r="M30" s="247"/>
    </row>
    <row r="31" spans="1:13" ht="43.5" customHeight="1" x14ac:dyDescent="0.25">
      <c r="A31" s="259"/>
      <c r="B31" s="268"/>
      <c r="C31" s="268"/>
      <c r="D31" s="143" t="s">
        <v>602</v>
      </c>
      <c r="E31" s="7">
        <v>28</v>
      </c>
      <c r="F31" s="8" t="s">
        <v>20</v>
      </c>
      <c r="G31" s="16" t="s">
        <v>20</v>
      </c>
      <c r="H31" s="16">
        <f>120000*117/100</f>
        <v>140400</v>
      </c>
      <c r="I31" s="16">
        <f t="shared" si="3"/>
        <v>140400</v>
      </c>
      <c r="J31" s="223" t="s">
        <v>16</v>
      </c>
      <c r="K31" s="262"/>
      <c r="L31" s="269"/>
      <c r="M31" s="270"/>
    </row>
    <row r="32" spans="1:13" ht="24.75" customHeight="1" x14ac:dyDescent="0.25">
      <c r="A32" s="260"/>
      <c r="B32" s="248" t="s">
        <v>1052</v>
      </c>
      <c r="C32" s="249"/>
      <c r="D32" s="249"/>
      <c r="E32" s="249"/>
      <c r="F32" s="249"/>
      <c r="G32" s="249"/>
      <c r="H32" s="249"/>
      <c r="I32" s="249"/>
      <c r="J32" s="249"/>
      <c r="K32" s="249"/>
      <c r="L32" s="249"/>
      <c r="M32" s="250"/>
    </row>
    <row r="33" spans="1:13" ht="15.6" x14ac:dyDescent="0.25">
      <c r="A33" s="251" t="s">
        <v>1006</v>
      </c>
      <c r="B33" s="252"/>
      <c r="C33" s="252"/>
      <c r="D33" s="252"/>
      <c r="E33" s="252"/>
      <c r="F33" s="252"/>
      <c r="G33" s="252"/>
      <c r="H33" s="252"/>
      <c r="I33" s="252"/>
      <c r="J33" s="252"/>
      <c r="K33" s="252"/>
      <c r="L33" s="252"/>
      <c r="M33" s="253"/>
    </row>
    <row r="34" spans="1:13" ht="33" customHeight="1" x14ac:dyDescent="0.25">
      <c r="A34" s="264">
        <v>7</v>
      </c>
      <c r="B34" s="265" t="s">
        <v>1024</v>
      </c>
      <c r="C34" s="265" t="s">
        <v>783</v>
      </c>
      <c r="D34" s="22" t="s">
        <v>896</v>
      </c>
      <c r="E34" s="23">
        <v>88</v>
      </c>
      <c r="F34" s="19" t="s">
        <v>20</v>
      </c>
      <c r="G34" s="24" t="s">
        <v>20</v>
      </c>
      <c r="H34" s="24">
        <f>7900*117/100</f>
        <v>9243</v>
      </c>
      <c r="I34" s="24">
        <f>H34</f>
        <v>9243</v>
      </c>
      <c r="J34" s="22" t="s">
        <v>16</v>
      </c>
      <c r="K34" s="271" t="s">
        <v>1061</v>
      </c>
      <c r="L34" s="266" t="s">
        <v>48</v>
      </c>
      <c r="M34" s="267" t="s">
        <v>1025</v>
      </c>
    </row>
    <row r="35" spans="1:13" ht="24" customHeight="1" x14ac:dyDescent="0.25">
      <c r="A35" s="259"/>
      <c r="B35" s="261"/>
      <c r="C35" s="261"/>
      <c r="D35" s="73" t="s">
        <v>113</v>
      </c>
      <c r="E35" s="74">
        <v>64</v>
      </c>
      <c r="F35" s="16" t="s">
        <v>20</v>
      </c>
      <c r="G35" s="16" t="s">
        <v>20</v>
      </c>
      <c r="H35" s="172">
        <f>12000*117/100</f>
        <v>14040</v>
      </c>
      <c r="I35" s="16">
        <f>H35</f>
        <v>14040</v>
      </c>
      <c r="J35" s="73" t="s">
        <v>16</v>
      </c>
      <c r="K35" s="262"/>
      <c r="L35" s="263"/>
      <c r="M35" s="247"/>
    </row>
    <row r="36" spans="1:13" ht="34.5" customHeight="1" x14ac:dyDescent="0.25">
      <c r="A36" s="259"/>
      <c r="B36" s="268"/>
      <c r="C36" s="268"/>
      <c r="D36" s="143" t="s">
        <v>602</v>
      </c>
      <c r="E36" s="7">
        <v>23</v>
      </c>
      <c r="F36" s="8" t="s">
        <v>20</v>
      </c>
      <c r="G36" s="16" t="s">
        <v>20</v>
      </c>
      <c r="H36" s="16">
        <f>110000*117/100</f>
        <v>128700</v>
      </c>
      <c r="I36" s="16">
        <f t="shared" ref="I36" si="4">H36</f>
        <v>128700</v>
      </c>
      <c r="J36" s="228" t="s">
        <v>16</v>
      </c>
      <c r="K36" s="262"/>
      <c r="L36" s="269"/>
      <c r="M36" s="270"/>
    </row>
    <row r="37" spans="1:13" ht="24.75" customHeight="1" x14ac:dyDescent="0.25">
      <c r="A37" s="260"/>
      <c r="B37" s="248" t="s">
        <v>1052</v>
      </c>
      <c r="C37" s="249"/>
      <c r="D37" s="249"/>
      <c r="E37" s="249"/>
      <c r="F37" s="249"/>
      <c r="G37" s="249"/>
      <c r="H37" s="249"/>
      <c r="I37" s="249"/>
      <c r="J37" s="249"/>
      <c r="K37" s="249"/>
      <c r="L37" s="249"/>
      <c r="M37" s="250"/>
    </row>
    <row r="38" spans="1:13" ht="15.6" x14ac:dyDescent="0.25">
      <c r="A38" s="251" t="s">
        <v>1007</v>
      </c>
      <c r="B38" s="252"/>
      <c r="C38" s="252"/>
      <c r="D38" s="252"/>
      <c r="E38" s="252"/>
      <c r="F38" s="252"/>
      <c r="G38" s="252"/>
      <c r="H38" s="252"/>
      <c r="I38" s="252"/>
      <c r="J38" s="252"/>
      <c r="K38" s="252"/>
      <c r="L38" s="252"/>
      <c r="M38" s="253"/>
    </row>
    <row r="39" spans="1:13" ht="25.5" customHeight="1" x14ac:dyDescent="0.25">
      <c r="A39" s="264">
        <v>8</v>
      </c>
      <c r="B39" s="265" t="s">
        <v>933</v>
      </c>
      <c r="C39" s="265" t="s">
        <v>934</v>
      </c>
      <c r="D39" s="17" t="s">
        <v>1008</v>
      </c>
      <c r="E39" s="18">
        <v>100</v>
      </c>
      <c r="F39" s="19" t="s">
        <v>15</v>
      </c>
      <c r="G39" s="206" t="s">
        <v>936</v>
      </c>
      <c r="H39" s="24">
        <f>150</f>
        <v>150</v>
      </c>
      <c r="I39" s="24">
        <f>H39*12*4*10</f>
        <v>72000</v>
      </c>
      <c r="J39" s="17" t="s">
        <v>16</v>
      </c>
      <c r="K39" s="271" t="s">
        <v>1062</v>
      </c>
      <c r="L39" s="266" t="s">
        <v>48</v>
      </c>
      <c r="M39" s="267">
        <v>1812200750</v>
      </c>
    </row>
    <row r="40" spans="1:13" ht="22.8" x14ac:dyDescent="0.25">
      <c r="A40" s="259"/>
      <c r="B40" s="261"/>
      <c r="C40" s="261"/>
      <c r="D40" s="73" t="s">
        <v>937</v>
      </c>
      <c r="E40" s="74">
        <v>96</v>
      </c>
      <c r="F40" s="16" t="s">
        <v>15</v>
      </c>
      <c r="G40" s="203" t="s">
        <v>936</v>
      </c>
      <c r="H40" s="16">
        <f>160</f>
        <v>160</v>
      </c>
      <c r="I40" s="16">
        <f t="shared" ref="I40:I42" si="5">H40*12*4*10</f>
        <v>76800</v>
      </c>
      <c r="J40" s="73" t="s">
        <v>16</v>
      </c>
      <c r="K40" s="262"/>
      <c r="L40" s="263"/>
      <c r="M40" s="247"/>
    </row>
    <row r="41" spans="1:13" ht="22.8" x14ac:dyDescent="0.25">
      <c r="A41" s="259"/>
      <c r="B41" s="261"/>
      <c r="C41" s="261"/>
      <c r="D41" s="80" t="s">
        <v>938</v>
      </c>
      <c r="E41" s="81">
        <v>96</v>
      </c>
      <c r="F41" s="8" t="s">
        <v>15</v>
      </c>
      <c r="G41" s="203" t="s">
        <v>936</v>
      </c>
      <c r="H41" s="16">
        <f>160</f>
        <v>160</v>
      </c>
      <c r="I41" s="16">
        <f t="shared" si="5"/>
        <v>76800</v>
      </c>
      <c r="J41" s="223" t="s">
        <v>16</v>
      </c>
      <c r="K41" s="262"/>
      <c r="L41" s="263"/>
      <c r="M41" s="247"/>
    </row>
    <row r="42" spans="1:13" ht="22.8" x14ac:dyDescent="0.25">
      <c r="A42" s="259"/>
      <c r="B42" s="268"/>
      <c r="C42" s="268"/>
      <c r="D42" s="80" t="s">
        <v>939</v>
      </c>
      <c r="E42" s="81">
        <v>94</v>
      </c>
      <c r="F42" s="8" t="s">
        <v>15</v>
      </c>
      <c r="G42" s="203" t="s">
        <v>936</v>
      </c>
      <c r="H42" s="16">
        <f>150</f>
        <v>150</v>
      </c>
      <c r="I42" s="16">
        <f t="shared" si="5"/>
        <v>72000</v>
      </c>
      <c r="J42" s="223" t="s">
        <v>16</v>
      </c>
      <c r="K42" s="272"/>
      <c r="L42" s="269"/>
      <c r="M42" s="270"/>
    </row>
    <row r="43" spans="1:13" ht="14.25" customHeight="1" x14ac:dyDescent="0.25">
      <c r="A43" s="260"/>
      <c r="B43" s="248"/>
      <c r="C43" s="249"/>
      <c r="D43" s="249"/>
      <c r="E43" s="249"/>
      <c r="F43" s="249"/>
      <c r="G43" s="249"/>
      <c r="H43" s="249"/>
      <c r="I43" s="249"/>
      <c r="J43" s="249"/>
      <c r="K43" s="249"/>
      <c r="L43" s="249"/>
      <c r="M43" s="250"/>
    </row>
    <row r="44" spans="1:13" ht="15.6" x14ac:dyDescent="0.25">
      <c r="A44" s="251" t="s">
        <v>1010</v>
      </c>
      <c r="B44" s="252"/>
      <c r="C44" s="252"/>
      <c r="D44" s="252"/>
      <c r="E44" s="252"/>
      <c r="F44" s="252"/>
      <c r="G44" s="252"/>
      <c r="H44" s="252"/>
      <c r="I44" s="252"/>
      <c r="J44" s="252"/>
      <c r="K44" s="252"/>
      <c r="L44" s="252"/>
      <c r="M44" s="253"/>
    </row>
    <row r="45" spans="1:13" ht="25.5" customHeight="1" x14ac:dyDescent="0.25">
      <c r="A45" s="264">
        <v>9</v>
      </c>
      <c r="B45" s="265" t="s">
        <v>941</v>
      </c>
      <c r="C45" s="265" t="s">
        <v>934</v>
      </c>
      <c r="D45" s="17" t="s">
        <v>1009</v>
      </c>
      <c r="E45" s="18">
        <v>100</v>
      </c>
      <c r="F45" s="19" t="s">
        <v>15</v>
      </c>
      <c r="G45" s="206" t="s">
        <v>936</v>
      </c>
      <c r="H45" s="24">
        <f>150</f>
        <v>150</v>
      </c>
      <c r="I45" s="24">
        <f>H45*12*4*10</f>
        <v>72000</v>
      </c>
      <c r="J45" s="17" t="s">
        <v>16</v>
      </c>
      <c r="K45" s="271" t="s">
        <v>1062</v>
      </c>
      <c r="L45" s="266" t="s">
        <v>48</v>
      </c>
      <c r="M45" s="267">
        <v>1812200750</v>
      </c>
    </row>
    <row r="46" spans="1:13" ht="22.8" x14ac:dyDescent="0.25">
      <c r="A46" s="259"/>
      <c r="B46" s="261"/>
      <c r="C46" s="261"/>
      <c r="D46" s="73" t="s">
        <v>943</v>
      </c>
      <c r="E46" s="74">
        <v>94</v>
      </c>
      <c r="F46" s="16" t="s">
        <v>15</v>
      </c>
      <c r="G46" s="203" t="s">
        <v>936</v>
      </c>
      <c r="H46" s="16">
        <f>150</f>
        <v>150</v>
      </c>
      <c r="I46" s="16">
        <f t="shared" ref="I46:I48" si="6">H46*12*4*10</f>
        <v>72000</v>
      </c>
      <c r="J46" s="73" t="s">
        <v>16</v>
      </c>
      <c r="K46" s="262"/>
      <c r="L46" s="263"/>
      <c r="M46" s="247"/>
    </row>
    <row r="47" spans="1:13" ht="22.8" x14ac:dyDescent="0.25">
      <c r="A47" s="259"/>
      <c r="B47" s="261"/>
      <c r="C47" s="261"/>
      <c r="D47" s="80" t="s">
        <v>944</v>
      </c>
      <c r="E47" s="81">
        <v>83</v>
      </c>
      <c r="F47" s="8" t="s">
        <v>15</v>
      </c>
      <c r="G47" s="203" t="s">
        <v>936</v>
      </c>
      <c r="H47" s="16">
        <f>200</f>
        <v>200</v>
      </c>
      <c r="I47" s="16">
        <f t="shared" si="6"/>
        <v>96000</v>
      </c>
      <c r="J47" s="223" t="s">
        <v>16</v>
      </c>
      <c r="K47" s="262"/>
      <c r="L47" s="263"/>
      <c r="M47" s="247"/>
    </row>
    <row r="48" spans="1:13" ht="22.8" x14ac:dyDescent="0.25">
      <c r="A48" s="259"/>
      <c r="B48" s="268"/>
      <c r="C48" s="268"/>
      <c r="D48" s="80" t="s">
        <v>945</v>
      </c>
      <c r="E48" s="81">
        <v>83</v>
      </c>
      <c r="F48" s="8" t="s">
        <v>15</v>
      </c>
      <c r="G48" s="203" t="s">
        <v>936</v>
      </c>
      <c r="H48" s="16">
        <f>200</f>
        <v>200</v>
      </c>
      <c r="I48" s="16">
        <f t="shared" si="6"/>
        <v>96000</v>
      </c>
      <c r="J48" s="223" t="s">
        <v>16</v>
      </c>
      <c r="K48" s="272"/>
      <c r="L48" s="269"/>
      <c r="M48" s="270"/>
    </row>
    <row r="49" spans="1:13" ht="14.25" customHeight="1" x14ac:dyDescent="0.25">
      <c r="A49" s="260"/>
      <c r="B49" s="248"/>
      <c r="C49" s="249"/>
      <c r="D49" s="249"/>
      <c r="E49" s="249"/>
      <c r="F49" s="249"/>
      <c r="G49" s="249"/>
      <c r="H49" s="249"/>
      <c r="I49" s="249"/>
      <c r="J49" s="249"/>
      <c r="K49" s="249"/>
      <c r="L49" s="249"/>
      <c r="M49" s="250"/>
    </row>
    <row r="50" spans="1:13" ht="15.6" x14ac:dyDescent="0.25">
      <c r="A50" s="251" t="s">
        <v>1016</v>
      </c>
      <c r="B50" s="252"/>
      <c r="C50" s="252"/>
      <c r="D50" s="252"/>
      <c r="E50" s="252"/>
      <c r="F50" s="252"/>
      <c r="G50" s="252"/>
      <c r="H50" s="252"/>
      <c r="I50" s="252"/>
      <c r="J50" s="252"/>
      <c r="K50" s="252"/>
      <c r="L50" s="252"/>
      <c r="M50" s="253"/>
    </row>
    <row r="51" spans="1:13" ht="39.6" x14ac:dyDescent="0.25">
      <c r="A51" s="264">
        <v>10</v>
      </c>
      <c r="B51" s="265" t="s">
        <v>1011</v>
      </c>
      <c r="C51" s="265" t="s">
        <v>783</v>
      </c>
      <c r="D51" s="116" t="s">
        <v>885</v>
      </c>
      <c r="E51" s="128">
        <v>100</v>
      </c>
      <c r="F51" s="129" t="s">
        <v>15</v>
      </c>
      <c r="G51" s="129" t="s">
        <v>1015</v>
      </c>
      <c r="H51" s="130">
        <f>192*117/100</f>
        <v>224.64</v>
      </c>
      <c r="I51" s="129">
        <f>H51*50*12</f>
        <v>134784</v>
      </c>
      <c r="J51" s="116" t="s">
        <v>16</v>
      </c>
      <c r="K51" s="271" t="s">
        <v>1063</v>
      </c>
      <c r="L51" s="266" t="s">
        <v>48</v>
      </c>
      <c r="M51" s="267" t="s">
        <v>1020</v>
      </c>
    </row>
    <row r="52" spans="1:13" ht="22.8" x14ac:dyDescent="0.25">
      <c r="A52" s="259"/>
      <c r="B52" s="261"/>
      <c r="C52" s="261"/>
      <c r="D52" s="73" t="s">
        <v>212</v>
      </c>
      <c r="E52" s="74">
        <v>97</v>
      </c>
      <c r="F52" s="16" t="s">
        <v>15</v>
      </c>
      <c r="G52" s="203" t="s">
        <v>1015</v>
      </c>
      <c r="H52" s="16">
        <f>200*117/100</f>
        <v>234</v>
      </c>
      <c r="I52" s="16">
        <f>H52*50*12</f>
        <v>140400</v>
      </c>
      <c r="J52" s="73" t="s">
        <v>16</v>
      </c>
      <c r="K52" s="262"/>
      <c r="L52" s="263"/>
      <c r="M52" s="247"/>
    </row>
    <row r="53" spans="1:13" ht="22.8" x14ac:dyDescent="0.25">
      <c r="A53" s="259"/>
      <c r="B53" s="261"/>
      <c r="C53" s="261"/>
      <c r="D53" s="80" t="s">
        <v>1012</v>
      </c>
      <c r="E53" s="81">
        <v>96</v>
      </c>
      <c r="F53" s="8" t="s">
        <v>15</v>
      </c>
      <c r="G53" s="203" t="s">
        <v>1015</v>
      </c>
      <c r="H53" s="16">
        <f>205*117/100</f>
        <v>239.85</v>
      </c>
      <c r="I53" s="16">
        <f t="shared" ref="I53:I55" si="7">H53*50*12</f>
        <v>143910</v>
      </c>
      <c r="J53" s="223" t="s">
        <v>16</v>
      </c>
      <c r="K53" s="262"/>
      <c r="L53" s="263"/>
      <c r="M53" s="247"/>
    </row>
    <row r="54" spans="1:13" ht="22.8" x14ac:dyDescent="0.25">
      <c r="A54" s="259"/>
      <c r="B54" s="261"/>
      <c r="C54" s="261"/>
      <c r="D54" s="80" t="s">
        <v>1013</v>
      </c>
      <c r="E54" s="81">
        <v>88</v>
      </c>
      <c r="F54" s="8" t="s">
        <v>15</v>
      </c>
      <c r="G54" s="203" t="s">
        <v>1015</v>
      </c>
      <c r="H54" s="16">
        <f>230*117/100</f>
        <v>269.10000000000002</v>
      </c>
      <c r="I54" s="16">
        <f t="shared" si="7"/>
        <v>161460.00000000003</v>
      </c>
      <c r="J54" s="223" t="s">
        <v>16</v>
      </c>
      <c r="K54" s="262"/>
      <c r="L54" s="263"/>
      <c r="M54" s="247"/>
    </row>
    <row r="55" spans="1:13" ht="22.8" x14ac:dyDescent="0.25">
      <c r="A55" s="259"/>
      <c r="B55" s="268"/>
      <c r="C55" s="268"/>
      <c r="D55" s="80" t="s">
        <v>1014</v>
      </c>
      <c r="E55" s="81">
        <v>86</v>
      </c>
      <c r="F55" s="8" t="s">
        <v>15</v>
      </c>
      <c r="G55" s="203" t="s">
        <v>1015</v>
      </c>
      <c r="H55" s="16">
        <f>240*117/100</f>
        <v>280.8</v>
      </c>
      <c r="I55" s="16">
        <f t="shared" si="7"/>
        <v>168480</v>
      </c>
      <c r="J55" s="223" t="s">
        <v>16</v>
      </c>
      <c r="K55" s="272"/>
      <c r="L55" s="269"/>
      <c r="M55" s="270"/>
    </row>
    <row r="56" spans="1:13" ht="13.8" x14ac:dyDescent="0.25">
      <c r="A56" s="260"/>
      <c r="B56" s="248"/>
      <c r="C56" s="249"/>
      <c r="D56" s="249"/>
      <c r="E56" s="249"/>
      <c r="F56" s="249"/>
      <c r="G56" s="249"/>
      <c r="H56" s="249"/>
      <c r="I56" s="249"/>
      <c r="J56" s="249"/>
      <c r="K56" s="249"/>
      <c r="L56" s="249"/>
      <c r="M56" s="250"/>
    </row>
    <row r="57" spans="1:13" ht="15.6" x14ac:dyDescent="0.25">
      <c r="A57" s="251" t="s">
        <v>1026</v>
      </c>
      <c r="B57" s="252"/>
      <c r="C57" s="252"/>
      <c r="D57" s="252"/>
      <c r="E57" s="252"/>
      <c r="F57" s="252"/>
      <c r="G57" s="252"/>
      <c r="H57" s="252"/>
      <c r="I57" s="252"/>
      <c r="J57" s="252"/>
      <c r="K57" s="252"/>
      <c r="L57" s="252"/>
      <c r="M57" s="253"/>
    </row>
    <row r="58" spans="1:13" ht="26.4" x14ac:dyDescent="0.25">
      <c r="A58" s="259">
        <v>11</v>
      </c>
      <c r="B58" s="261" t="s">
        <v>1017</v>
      </c>
      <c r="C58" s="261" t="s">
        <v>81</v>
      </c>
      <c r="D58" s="116" t="s">
        <v>1018</v>
      </c>
      <c r="E58" s="128">
        <v>100</v>
      </c>
      <c r="F58" s="129" t="s">
        <v>17</v>
      </c>
      <c r="G58" s="129" t="s">
        <v>1019</v>
      </c>
      <c r="H58" s="130">
        <v>3.5000000000000003E-2</v>
      </c>
      <c r="I58" s="129">
        <f>H58*10000000*117/100</f>
        <v>409500.00000000006</v>
      </c>
      <c r="J58" s="116" t="s">
        <v>16</v>
      </c>
      <c r="K58" s="262" t="s">
        <v>1066</v>
      </c>
      <c r="L58" s="263" t="s">
        <v>48</v>
      </c>
      <c r="M58" s="247">
        <v>224003</v>
      </c>
    </row>
    <row r="59" spans="1:13" ht="26.4" x14ac:dyDescent="0.25">
      <c r="A59" s="259"/>
      <c r="B59" s="261"/>
      <c r="C59" s="261"/>
      <c r="D59" s="73" t="s">
        <v>1021</v>
      </c>
      <c r="E59" s="74">
        <v>88</v>
      </c>
      <c r="F59" s="8" t="s">
        <v>17</v>
      </c>
      <c r="G59" s="16" t="s">
        <v>1019</v>
      </c>
      <c r="H59" s="72">
        <v>4.2000000000000003E-2</v>
      </c>
      <c r="I59" s="8">
        <f>H59*10000000*117/100</f>
        <v>491400</v>
      </c>
      <c r="J59" s="73" t="s">
        <v>16</v>
      </c>
      <c r="K59" s="262"/>
      <c r="L59" s="263"/>
      <c r="M59" s="247"/>
    </row>
    <row r="60" spans="1:13" ht="26.4" x14ac:dyDescent="0.25">
      <c r="A60" s="259"/>
      <c r="B60" s="261"/>
      <c r="C60" s="261"/>
      <c r="D60" s="73" t="s">
        <v>1022</v>
      </c>
      <c r="E60" s="74">
        <v>72</v>
      </c>
      <c r="F60" s="8" t="s">
        <v>17</v>
      </c>
      <c r="G60" s="16" t="s">
        <v>1019</v>
      </c>
      <c r="H60" s="72">
        <v>5.8000000000000003E-2</v>
      </c>
      <c r="I60" s="8">
        <f>H60*10000000*117/100</f>
        <v>678600</v>
      </c>
      <c r="J60" s="73" t="s">
        <v>16</v>
      </c>
      <c r="K60" s="262"/>
      <c r="L60" s="263"/>
      <c r="M60" s="247"/>
    </row>
    <row r="61" spans="1:13" ht="26.4" x14ac:dyDescent="0.25">
      <c r="A61" s="259"/>
      <c r="B61" s="261"/>
      <c r="C61" s="261"/>
      <c r="D61" s="73" t="s">
        <v>313</v>
      </c>
      <c r="E61" s="74">
        <v>70</v>
      </c>
      <c r="F61" s="8" t="s">
        <v>17</v>
      </c>
      <c r="G61" s="16" t="s">
        <v>1019</v>
      </c>
      <c r="H61" s="72">
        <v>0.06</v>
      </c>
      <c r="I61" s="8">
        <f>H61*10000000*117/100</f>
        <v>702000</v>
      </c>
      <c r="J61" s="73"/>
      <c r="K61" s="262"/>
      <c r="L61" s="263"/>
      <c r="M61" s="247"/>
    </row>
    <row r="62" spans="1:13" ht="13.8" x14ac:dyDescent="0.25">
      <c r="A62" s="260"/>
      <c r="B62" s="248" t="s">
        <v>1023</v>
      </c>
      <c r="C62" s="249"/>
      <c r="D62" s="249"/>
      <c r="E62" s="249"/>
      <c r="F62" s="249"/>
      <c r="G62" s="249"/>
      <c r="H62" s="249"/>
      <c r="I62" s="249"/>
      <c r="J62" s="249"/>
      <c r="K62" s="249"/>
      <c r="L62" s="249"/>
      <c r="M62" s="250"/>
    </row>
    <row r="63" spans="1:13" ht="15.6" x14ac:dyDescent="0.25">
      <c r="A63" s="251" t="s">
        <v>1027</v>
      </c>
      <c r="B63" s="252"/>
      <c r="C63" s="252"/>
      <c r="D63" s="252"/>
      <c r="E63" s="252"/>
      <c r="F63" s="252"/>
      <c r="G63" s="252"/>
      <c r="H63" s="252"/>
      <c r="I63" s="252"/>
      <c r="J63" s="252"/>
      <c r="K63" s="252"/>
      <c r="L63" s="252"/>
      <c r="M63" s="253"/>
    </row>
    <row r="64" spans="1:13" ht="13.8" x14ac:dyDescent="0.25">
      <c r="A64" s="264">
        <v>12</v>
      </c>
      <c r="B64" s="265" t="s">
        <v>960</v>
      </c>
      <c r="C64" s="265" t="s">
        <v>783</v>
      </c>
      <c r="D64" s="22" t="s">
        <v>961</v>
      </c>
      <c r="E64" s="23">
        <v>100</v>
      </c>
      <c r="F64" s="19" t="s">
        <v>20</v>
      </c>
      <c r="G64" s="24" t="s">
        <v>20</v>
      </c>
      <c r="H64" s="24">
        <f>9982*117/100</f>
        <v>11678.94</v>
      </c>
      <c r="I64" s="24">
        <f>H64</f>
        <v>11678.94</v>
      </c>
      <c r="J64" s="22" t="s">
        <v>16</v>
      </c>
      <c r="K64" s="271" t="s">
        <v>1062</v>
      </c>
      <c r="L64" s="266" t="s">
        <v>48</v>
      </c>
      <c r="M64" s="267" t="s">
        <v>1030</v>
      </c>
    </row>
    <row r="65" spans="1:13" ht="14.25" customHeight="1" x14ac:dyDescent="0.25">
      <c r="A65" s="259"/>
      <c r="B65" s="261"/>
      <c r="C65" s="261"/>
      <c r="D65" s="73" t="s">
        <v>1028</v>
      </c>
      <c r="E65" s="74">
        <v>79</v>
      </c>
      <c r="F65" s="16" t="s">
        <v>20</v>
      </c>
      <c r="G65" s="16" t="s">
        <v>20</v>
      </c>
      <c r="H65" s="172">
        <f>14400*117/100</f>
        <v>16848</v>
      </c>
      <c r="I65" s="16">
        <f>H65</f>
        <v>16848</v>
      </c>
      <c r="J65" s="73" t="s">
        <v>16</v>
      </c>
      <c r="K65" s="262"/>
      <c r="L65" s="263"/>
      <c r="M65" s="247"/>
    </row>
    <row r="66" spans="1:13" ht="14.25" customHeight="1" x14ac:dyDescent="0.25">
      <c r="A66" s="259"/>
      <c r="B66" s="261"/>
      <c r="C66" s="261"/>
      <c r="D66" s="73" t="s">
        <v>963</v>
      </c>
      <c r="E66" s="74">
        <v>74</v>
      </c>
      <c r="F66" s="16" t="s">
        <v>20</v>
      </c>
      <c r="G66" s="16" t="s">
        <v>20</v>
      </c>
      <c r="H66" s="172">
        <f>15850*117/100</f>
        <v>18544.5</v>
      </c>
      <c r="I66" s="16">
        <f>H66</f>
        <v>18544.5</v>
      </c>
      <c r="J66" s="73" t="s">
        <v>16</v>
      </c>
      <c r="K66" s="262"/>
      <c r="L66" s="263"/>
      <c r="M66" s="247"/>
    </row>
    <row r="67" spans="1:13" ht="14.25" customHeight="1" x14ac:dyDescent="0.25">
      <c r="A67" s="259"/>
      <c r="B67" s="268"/>
      <c r="C67" s="268"/>
      <c r="D67" s="143" t="s">
        <v>1029</v>
      </c>
      <c r="E67" s="7">
        <v>46</v>
      </c>
      <c r="F67" s="8" t="s">
        <v>20</v>
      </c>
      <c r="G67" s="16" t="s">
        <v>20</v>
      </c>
      <c r="H67" s="16">
        <f>42400*117/100</f>
        <v>49608</v>
      </c>
      <c r="I67" s="16">
        <f t="shared" ref="I67" si="8">H67</f>
        <v>49608</v>
      </c>
      <c r="J67" s="228" t="s">
        <v>16</v>
      </c>
      <c r="K67" s="272"/>
      <c r="L67" s="269"/>
      <c r="M67" s="270"/>
    </row>
    <row r="68" spans="1:13" ht="13.8" x14ac:dyDescent="0.25">
      <c r="A68" s="260"/>
      <c r="B68" s="248" t="s">
        <v>1034</v>
      </c>
      <c r="C68" s="249"/>
      <c r="D68" s="249"/>
      <c r="E68" s="249"/>
      <c r="F68" s="249"/>
      <c r="G68" s="249"/>
      <c r="H68" s="249"/>
      <c r="I68" s="249"/>
      <c r="J68" s="249"/>
      <c r="K68" s="249"/>
      <c r="L68" s="249"/>
      <c r="M68" s="250"/>
    </row>
    <row r="69" spans="1:13" ht="15.6" x14ac:dyDescent="0.25">
      <c r="A69" s="251" t="s">
        <v>1031</v>
      </c>
      <c r="B69" s="252"/>
      <c r="C69" s="252"/>
      <c r="D69" s="252"/>
      <c r="E69" s="252"/>
      <c r="F69" s="252"/>
      <c r="G69" s="252"/>
      <c r="H69" s="252"/>
      <c r="I69" s="252"/>
      <c r="J69" s="252"/>
      <c r="K69" s="252"/>
      <c r="L69" s="252"/>
      <c r="M69" s="253"/>
    </row>
    <row r="70" spans="1:13" ht="13.8" x14ac:dyDescent="0.25">
      <c r="A70" s="264">
        <v>13</v>
      </c>
      <c r="B70" s="265" t="s">
        <v>1032</v>
      </c>
      <c r="C70" s="265" t="s">
        <v>783</v>
      </c>
      <c r="D70" s="22" t="s">
        <v>963</v>
      </c>
      <c r="E70" s="23">
        <v>100</v>
      </c>
      <c r="F70" s="24" t="s">
        <v>20</v>
      </c>
      <c r="G70" s="24" t="s">
        <v>20</v>
      </c>
      <c r="H70" s="176">
        <f>17850*117/100</f>
        <v>20884.5</v>
      </c>
      <c r="I70" s="24">
        <f>H70</f>
        <v>20884.5</v>
      </c>
      <c r="J70" s="22" t="s">
        <v>16</v>
      </c>
      <c r="K70" s="271" t="s">
        <v>1062</v>
      </c>
      <c r="L70" s="266" t="s">
        <v>48</v>
      </c>
      <c r="M70" s="267" t="s">
        <v>1033</v>
      </c>
    </row>
    <row r="71" spans="1:13" ht="13.8" x14ac:dyDescent="0.25">
      <c r="A71" s="259"/>
      <c r="B71" s="261"/>
      <c r="C71" s="261"/>
      <c r="D71" s="73" t="s">
        <v>961</v>
      </c>
      <c r="E71" s="74">
        <v>68</v>
      </c>
      <c r="F71" s="8" t="s">
        <v>20</v>
      </c>
      <c r="G71" s="16" t="s">
        <v>20</v>
      </c>
      <c r="H71" s="16">
        <f>33126*117/100</f>
        <v>38757.42</v>
      </c>
      <c r="I71" s="16">
        <f>H71</f>
        <v>38757.42</v>
      </c>
      <c r="J71" s="73" t="s">
        <v>16</v>
      </c>
      <c r="K71" s="262"/>
      <c r="L71" s="263"/>
      <c r="M71" s="247"/>
    </row>
    <row r="72" spans="1:13" ht="13.8" x14ac:dyDescent="0.25">
      <c r="A72" s="259"/>
      <c r="B72" s="261"/>
      <c r="C72" s="261"/>
      <c r="D72" s="73" t="s">
        <v>1028</v>
      </c>
      <c r="E72" s="74">
        <v>64</v>
      </c>
      <c r="F72" s="16" t="s">
        <v>20</v>
      </c>
      <c r="G72" s="16" t="s">
        <v>20</v>
      </c>
      <c r="H72" s="172">
        <f>36600*117/100</f>
        <v>42822</v>
      </c>
      <c r="I72" s="16">
        <f>H72</f>
        <v>42822</v>
      </c>
      <c r="J72" s="73" t="s">
        <v>16</v>
      </c>
      <c r="K72" s="262"/>
      <c r="L72" s="263"/>
      <c r="M72" s="247"/>
    </row>
    <row r="73" spans="1:13" ht="26.4" x14ac:dyDescent="0.25">
      <c r="A73" s="259"/>
      <c r="B73" s="268"/>
      <c r="C73" s="268"/>
      <c r="D73" s="143" t="s">
        <v>1029</v>
      </c>
      <c r="E73" s="7">
        <v>46</v>
      </c>
      <c r="F73" s="8" t="s">
        <v>20</v>
      </c>
      <c r="G73" s="16" t="s">
        <v>20</v>
      </c>
      <c r="H73" s="16">
        <f>83400*117/100</f>
        <v>97578</v>
      </c>
      <c r="I73" s="16">
        <f t="shared" ref="I73" si="9">H73</f>
        <v>97578</v>
      </c>
      <c r="J73" s="228" t="s">
        <v>16</v>
      </c>
      <c r="K73" s="272"/>
      <c r="L73" s="269"/>
      <c r="M73" s="270"/>
    </row>
    <row r="74" spans="1:13" ht="13.8" x14ac:dyDescent="0.25">
      <c r="A74" s="260"/>
      <c r="B74" s="248" t="s">
        <v>1034</v>
      </c>
      <c r="C74" s="249"/>
      <c r="D74" s="249"/>
      <c r="E74" s="249"/>
      <c r="F74" s="249"/>
      <c r="G74" s="249"/>
      <c r="H74" s="249"/>
      <c r="I74" s="249"/>
      <c r="J74" s="249"/>
      <c r="K74" s="249"/>
      <c r="L74" s="249"/>
      <c r="M74" s="250"/>
    </row>
    <row r="75" spans="1:13" ht="15.6" x14ac:dyDescent="0.25">
      <c r="A75" s="251" t="s">
        <v>1035</v>
      </c>
      <c r="B75" s="252"/>
      <c r="C75" s="252"/>
      <c r="D75" s="252"/>
      <c r="E75" s="252"/>
      <c r="F75" s="252"/>
      <c r="G75" s="252"/>
      <c r="H75" s="252"/>
      <c r="I75" s="252"/>
      <c r="J75" s="252"/>
      <c r="K75" s="252"/>
      <c r="L75" s="252"/>
      <c r="M75" s="253"/>
    </row>
    <row r="76" spans="1:13" ht="52.8" x14ac:dyDescent="0.25">
      <c r="A76" s="264">
        <v>14</v>
      </c>
      <c r="B76" s="224" t="s">
        <v>1036</v>
      </c>
      <c r="C76" s="224" t="s">
        <v>19</v>
      </c>
      <c r="D76" s="22" t="s">
        <v>120</v>
      </c>
      <c r="E76" s="23">
        <v>98</v>
      </c>
      <c r="F76" s="19" t="s">
        <v>17</v>
      </c>
      <c r="G76" s="19" t="s">
        <v>1064</v>
      </c>
      <c r="H76" s="75">
        <v>3.4000000000000002E-2</v>
      </c>
      <c r="I76" s="19">
        <f>3.4/100*2540117*117/100</f>
        <v>101045.85426000001</v>
      </c>
      <c r="J76" s="22" t="s">
        <v>16</v>
      </c>
      <c r="K76" s="229" t="s">
        <v>985</v>
      </c>
      <c r="L76" s="227" t="s">
        <v>48</v>
      </c>
      <c r="M76" s="226">
        <v>2530122950</v>
      </c>
    </row>
    <row r="77" spans="1:13" ht="13.8" x14ac:dyDescent="0.25">
      <c r="A77" s="260"/>
      <c r="B77" s="248" t="s">
        <v>1053</v>
      </c>
      <c r="C77" s="249"/>
      <c r="D77" s="249"/>
      <c r="E77" s="249"/>
      <c r="F77" s="249"/>
      <c r="G77" s="249"/>
      <c r="H77" s="249"/>
      <c r="I77" s="249"/>
      <c r="J77" s="249"/>
      <c r="K77" s="249"/>
      <c r="L77" s="249"/>
      <c r="M77" s="250"/>
    </row>
    <row r="78" spans="1:13" ht="15.6" x14ac:dyDescent="0.25">
      <c r="A78" s="251" t="s">
        <v>1037</v>
      </c>
      <c r="B78" s="252"/>
      <c r="C78" s="252"/>
      <c r="D78" s="252"/>
      <c r="E78" s="252"/>
      <c r="F78" s="252"/>
      <c r="G78" s="252"/>
      <c r="H78" s="252"/>
      <c r="I78" s="252"/>
      <c r="J78" s="252"/>
      <c r="K78" s="252"/>
      <c r="L78" s="252"/>
      <c r="M78" s="253"/>
    </row>
    <row r="79" spans="1:13" ht="52.8" x14ac:dyDescent="0.25">
      <c r="A79" s="264">
        <v>15</v>
      </c>
      <c r="B79" s="224" t="s">
        <v>1036</v>
      </c>
      <c r="C79" s="224" t="s">
        <v>19</v>
      </c>
      <c r="D79" s="22" t="s">
        <v>1038</v>
      </c>
      <c r="E79" s="23">
        <v>100</v>
      </c>
      <c r="F79" s="19" t="s">
        <v>17</v>
      </c>
      <c r="G79" s="19" t="s">
        <v>1065</v>
      </c>
      <c r="H79" s="75">
        <v>3.3000000000000002E-2</v>
      </c>
      <c r="I79" s="19">
        <f>3.4/100*1873272*117/100</f>
        <v>74518.760160000005</v>
      </c>
      <c r="J79" s="22" t="s">
        <v>16</v>
      </c>
      <c r="K79" s="225" t="s">
        <v>985</v>
      </c>
      <c r="L79" s="227" t="s">
        <v>48</v>
      </c>
      <c r="M79" s="226">
        <v>2530122950</v>
      </c>
    </row>
    <row r="80" spans="1:13" ht="13.8" x14ac:dyDescent="0.25">
      <c r="A80" s="260"/>
      <c r="B80" s="248" t="s">
        <v>1053</v>
      </c>
      <c r="C80" s="249"/>
      <c r="D80" s="249"/>
      <c r="E80" s="249"/>
      <c r="F80" s="249"/>
      <c r="G80" s="249"/>
      <c r="H80" s="249"/>
      <c r="I80" s="249"/>
      <c r="J80" s="249"/>
      <c r="K80" s="249"/>
      <c r="L80" s="249"/>
      <c r="M80" s="250"/>
    </row>
    <row r="81" spans="1:13" ht="15.6" x14ac:dyDescent="0.25">
      <c r="A81" s="251" t="s">
        <v>1039</v>
      </c>
      <c r="B81" s="252"/>
      <c r="C81" s="252"/>
      <c r="D81" s="252"/>
      <c r="E81" s="252"/>
      <c r="F81" s="252"/>
      <c r="G81" s="252"/>
      <c r="H81" s="252"/>
      <c r="I81" s="252"/>
      <c r="J81" s="252"/>
      <c r="K81" s="252"/>
      <c r="L81" s="252"/>
      <c r="M81" s="253"/>
    </row>
    <row r="82" spans="1:13" ht="52.8" x14ac:dyDescent="0.25">
      <c r="A82" s="264">
        <v>16</v>
      </c>
      <c r="B82" s="224" t="s">
        <v>1040</v>
      </c>
      <c r="C82" s="224" t="s">
        <v>19</v>
      </c>
      <c r="D82" s="22" t="s">
        <v>1041</v>
      </c>
      <c r="E82" s="23">
        <v>100</v>
      </c>
      <c r="F82" s="24" t="s">
        <v>20</v>
      </c>
      <c r="G82" s="24" t="s">
        <v>20</v>
      </c>
      <c r="H82" s="24">
        <f>45000*1.17</f>
        <v>52650</v>
      </c>
      <c r="I82" s="24">
        <f>H82</f>
        <v>52650</v>
      </c>
      <c r="J82" s="22" t="s">
        <v>16</v>
      </c>
      <c r="K82" s="229" t="s">
        <v>985</v>
      </c>
      <c r="L82" s="227" t="s">
        <v>48</v>
      </c>
      <c r="M82" s="226">
        <v>2530122950</v>
      </c>
    </row>
    <row r="83" spans="1:13" ht="13.8" x14ac:dyDescent="0.25">
      <c r="A83" s="260"/>
      <c r="B83" s="248" t="s">
        <v>1053</v>
      </c>
      <c r="C83" s="249"/>
      <c r="D83" s="249"/>
      <c r="E83" s="249"/>
      <c r="F83" s="249"/>
      <c r="G83" s="249"/>
      <c r="H83" s="249"/>
      <c r="I83" s="249"/>
      <c r="J83" s="249"/>
      <c r="K83" s="249"/>
      <c r="L83" s="249"/>
      <c r="M83" s="250"/>
    </row>
    <row r="84" spans="1:13" ht="15.6" x14ac:dyDescent="0.25">
      <c r="A84" s="251" t="s">
        <v>1042</v>
      </c>
      <c r="B84" s="252"/>
      <c r="C84" s="252"/>
      <c r="D84" s="252"/>
      <c r="E84" s="252"/>
      <c r="F84" s="252"/>
      <c r="G84" s="252"/>
      <c r="H84" s="252"/>
      <c r="I84" s="252"/>
      <c r="J84" s="252"/>
      <c r="K84" s="252"/>
      <c r="L84" s="252"/>
      <c r="M84" s="253"/>
    </row>
    <row r="85" spans="1:13" ht="26.4" x14ac:dyDescent="0.25">
      <c r="A85" s="264">
        <v>17</v>
      </c>
      <c r="B85" s="265" t="s">
        <v>1043</v>
      </c>
      <c r="C85" s="265" t="s">
        <v>783</v>
      </c>
      <c r="D85" s="22" t="s">
        <v>923</v>
      </c>
      <c r="E85" s="23">
        <v>100</v>
      </c>
      <c r="F85" s="24" t="s">
        <v>20</v>
      </c>
      <c r="G85" s="24" t="s">
        <v>20</v>
      </c>
      <c r="H85" s="176">
        <f>33000*117/100</f>
        <v>38610</v>
      </c>
      <c r="I85" s="24">
        <f>H85</f>
        <v>38610</v>
      </c>
      <c r="J85" s="22" t="s">
        <v>16</v>
      </c>
      <c r="K85" s="271" t="s">
        <v>1062</v>
      </c>
      <c r="L85" s="266" t="s">
        <v>48</v>
      </c>
      <c r="M85" s="267" t="s">
        <v>1044</v>
      </c>
    </row>
    <row r="86" spans="1:13" ht="13.8" x14ac:dyDescent="0.25">
      <c r="A86" s="259"/>
      <c r="B86" s="261"/>
      <c r="C86" s="261"/>
      <c r="D86" s="73" t="s">
        <v>1045</v>
      </c>
      <c r="E86" s="74">
        <v>73</v>
      </c>
      <c r="F86" s="8" t="s">
        <v>20</v>
      </c>
      <c r="G86" s="16" t="s">
        <v>20</v>
      </c>
      <c r="H86" s="16">
        <f>54000*117/100</f>
        <v>63180</v>
      </c>
      <c r="I86" s="16">
        <f>H86</f>
        <v>63180</v>
      </c>
      <c r="J86" s="73" t="s">
        <v>16</v>
      </c>
      <c r="K86" s="262"/>
      <c r="L86" s="263"/>
      <c r="M86" s="247"/>
    </row>
    <row r="87" spans="1:13" ht="13.8" x14ac:dyDescent="0.25">
      <c r="A87" s="259"/>
      <c r="B87" s="261"/>
      <c r="C87" s="261"/>
      <c r="D87" s="73" t="s">
        <v>1046</v>
      </c>
      <c r="E87" s="74">
        <v>64</v>
      </c>
      <c r="F87" s="16" t="s">
        <v>20</v>
      </c>
      <c r="G87" s="16" t="s">
        <v>20</v>
      </c>
      <c r="H87" s="172">
        <f>68000*117/100</f>
        <v>79560</v>
      </c>
      <c r="I87" s="16">
        <f>H87</f>
        <v>79560</v>
      </c>
      <c r="J87" s="73" t="s">
        <v>16</v>
      </c>
      <c r="K87" s="262"/>
      <c r="L87" s="263"/>
      <c r="M87" s="247"/>
    </row>
    <row r="88" spans="1:13" ht="13.8" x14ac:dyDescent="0.25">
      <c r="A88" s="259"/>
      <c r="B88" s="268"/>
      <c r="C88" s="268"/>
      <c r="D88" s="143" t="s">
        <v>925</v>
      </c>
      <c r="E88" s="7">
        <v>61</v>
      </c>
      <c r="F88" s="8" t="s">
        <v>20</v>
      </c>
      <c r="G88" s="16" t="s">
        <v>20</v>
      </c>
      <c r="H88" s="16">
        <f>73800*117/100</f>
        <v>86346</v>
      </c>
      <c r="I88" s="16">
        <f t="shared" ref="I88" si="10">H88</f>
        <v>86346</v>
      </c>
      <c r="J88" s="228" t="s">
        <v>16</v>
      </c>
      <c r="K88" s="272"/>
      <c r="L88" s="269"/>
      <c r="M88" s="270"/>
    </row>
    <row r="89" spans="1:13" ht="13.8" x14ac:dyDescent="0.25">
      <c r="A89" s="260"/>
      <c r="B89" s="248"/>
      <c r="C89" s="249"/>
      <c r="D89" s="249"/>
      <c r="E89" s="249"/>
      <c r="F89" s="249"/>
      <c r="G89" s="249"/>
      <c r="H89" s="249"/>
      <c r="I89" s="249"/>
      <c r="J89" s="249"/>
      <c r="K89" s="249"/>
      <c r="L89" s="249"/>
      <c r="M89" s="250"/>
    </row>
    <row r="90" spans="1:13" ht="15.6" x14ac:dyDescent="0.25">
      <c r="A90" s="251" t="s">
        <v>1047</v>
      </c>
      <c r="B90" s="252"/>
      <c r="C90" s="252"/>
      <c r="D90" s="252"/>
      <c r="E90" s="252"/>
      <c r="F90" s="252"/>
      <c r="G90" s="252"/>
      <c r="H90" s="252"/>
      <c r="I90" s="252"/>
      <c r="J90" s="252"/>
      <c r="K90" s="252"/>
      <c r="L90" s="252"/>
      <c r="M90" s="253"/>
    </row>
    <row r="91" spans="1:13" ht="26.4" x14ac:dyDescent="0.25">
      <c r="A91" s="264">
        <v>18</v>
      </c>
      <c r="B91" s="265" t="s">
        <v>1048</v>
      </c>
      <c r="C91" s="265" t="s">
        <v>783</v>
      </c>
      <c r="D91" s="22" t="s">
        <v>923</v>
      </c>
      <c r="E91" s="23">
        <v>100</v>
      </c>
      <c r="F91" s="24" t="s">
        <v>20</v>
      </c>
      <c r="G91" s="24" t="s">
        <v>20</v>
      </c>
      <c r="H91" s="176">
        <f>23000*117/100</f>
        <v>26910</v>
      </c>
      <c r="I91" s="24">
        <f>H91</f>
        <v>26910</v>
      </c>
      <c r="J91" s="22" t="s">
        <v>16</v>
      </c>
      <c r="K91" s="271" t="s">
        <v>45</v>
      </c>
      <c r="L91" s="266" t="s">
        <v>48</v>
      </c>
      <c r="M91" s="267" t="s">
        <v>1044</v>
      </c>
    </row>
    <row r="92" spans="1:13" ht="13.8" x14ac:dyDescent="0.25">
      <c r="A92" s="259"/>
      <c r="B92" s="261"/>
      <c r="C92" s="261"/>
      <c r="D92" s="73" t="s">
        <v>1045</v>
      </c>
      <c r="E92" s="74">
        <v>70</v>
      </c>
      <c r="F92" s="8" t="s">
        <v>20</v>
      </c>
      <c r="G92" s="16" t="s">
        <v>20</v>
      </c>
      <c r="H92" s="16">
        <f>39900*117/100</f>
        <v>46683</v>
      </c>
      <c r="I92" s="16">
        <f>H92</f>
        <v>46683</v>
      </c>
      <c r="J92" s="73" t="s">
        <v>16</v>
      </c>
      <c r="K92" s="262"/>
      <c r="L92" s="263"/>
      <c r="M92" s="247"/>
    </row>
    <row r="93" spans="1:13" ht="13.8" x14ac:dyDescent="0.25">
      <c r="A93" s="259"/>
      <c r="B93" s="261"/>
      <c r="C93" s="261"/>
      <c r="D93" s="73" t="s">
        <v>1046</v>
      </c>
      <c r="E93" s="74">
        <v>54</v>
      </c>
      <c r="F93" s="16" t="s">
        <v>20</v>
      </c>
      <c r="G93" s="16" t="s">
        <v>20</v>
      </c>
      <c r="H93" s="172">
        <f>68000*117/100</f>
        <v>79560</v>
      </c>
      <c r="I93" s="16">
        <f>H93</f>
        <v>79560</v>
      </c>
      <c r="J93" s="73" t="s">
        <v>16</v>
      </c>
      <c r="K93" s="262"/>
      <c r="L93" s="263"/>
      <c r="M93" s="247"/>
    </row>
    <row r="94" spans="1:13" ht="13.8" x14ac:dyDescent="0.25">
      <c r="A94" s="259"/>
      <c r="B94" s="268"/>
      <c r="C94" s="268"/>
      <c r="D94" s="143" t="s">
        <v>925</v>
      </c>
      <c r="E94" s="7">
        <v>53</v>
      </c>
      <c r="F94" s="8" t="s">
        <v>20</v>
      </c>
      <c r="G94" s="16" t="s">
        <v>20</v>
      </c>
      <c r="H94" s="16">
        <f>69800*117/100</f>
        <v>81666</v>
      </c>
      <c r="I94" s="16">
        <f t="shared" ref="I94" si="11">H94</f>
        <v>81666</v>
      </c>
      <c r="J94" s="228" t="s">
        <v>16</v>
      </c>
      <c r="K94" s="272"/>
      <c r="L94" s="269"/>
      <c r="M94" s="270"/>
    </row>
    <row r="95" spans="1:13" ht="13.8" x14ac:dyDescent="0.25">
      <c r="A95" s="260"/>
      <c r="B95" s="248"/>
      <c r="C95" s="249"/>
      <c r="D95" s="249"/>
      <c r="E95" s="249"/>
      <c r="F95" s="249"/>
      <c r="G95" s="249"/>
      <c r="H95" s="249"/>
      <c r="I95" s="249"/>
      <c r="J95" s="249"/>
      <c r="K95" s="249"/>
      <c r="L95" s="249"/>
      <c r="M95" s="250"/>
    </row>
    <row r="96" spans="1:13" ht="15.6" x14ac:dyDescent="0.25">
      <c r="A96" s="251" t="s">
        <v>1054</v>
      </c>
      <c r="B96" s="252"/>
      <c r="C96" s="252"/>
      <c r="D96" s="252"/>
      <c r="E96" s="252"/>
      <c r="F96" s="252"/>
      <c r="G96" s="252"/>
      <c r="H96" s="252"/>
      <c r="I96" s="252"/>
      <c r="J96" s="252"/>
      <c r="K96" s="252"/>
      <c r="L96" s="252"/>
      <c r="M96" s="253"/>
    </row>
    <row r="97" spans="1:13" ht="26.4" x14ac:dyDescent="0.25">
      <c r="A97" s="264">
        <v>19</v>
      </c>
      <c r="B97" s="265" t="s">
        <v>1055</v>
      </c>
      <c r="C97" s="265" t="s">
        <v>81</v>
      </c>
      <c r="D97" s="116" t="s">
        <v>1056</v>
      </c>
      <c r="E97" s="128">
        <v>100</v>
      </c>
      <c r="F97" s="129" t="s">
        <v>17</v>
      </c>
      <c r="G97" s="129" t="s">
        <v>1019</v>
      </c>
      <c r="H97" s="130">
        <v>0.03</v>
      </c>
      <c r="I97" s="129">
        <f>H97*10000000*117/100</f>
        <v>351000</v>
      </c>
      <c r="J97" s="116" t="s">
        <v>16</v>
      </c>
      <c r="K97" s="262" t="s">
        <v>1066</v>
      </c>
      <c r="L97" s="266" t="s">
        <v>48</v>
      </c>
      <c r="M97" s="267" t="s">
        <v>1044</v>
      </c>
    </row>
    <row r="98" spans="1:13" ht="26.4" x14ac:dyDescent="0.25">
      <c r="A98" s="259"/>
      <c r="B98" s="261"/>
      <c r="C98" s="261"/>
      <c r="D98" s="73" t="s">
        <v>1057</v>
      </c>
      <c r="E98" s="74">
        <v>94</v>
      </c>
      <c r="F98" s="8" t="s">
        <v>17</v>
      </c>
      <c r="G98" s="16" t="s">
        <v>1019</v>
      </c>
      <c r="H98" s="72">
        <v>3.27E-2</v>
      </c>
      <c r="I98" s="8">
        <f>H98*10000000*117/100</f>
        <v>382590</v>
      </c>
      <c r="J98" s="73" t="s">
        <v>16</v>
      </c>
      <c r="K98" s="262"/>
      <c r="L98" s="263"/>
      <c r="M98" s="247"/>
    </row>
    <row r="99" spans="1:13" ht="26.4" x14ac:dyDescent="0.25">
      <c r="A99" s="259"/>
      <c r="B99" s="261"/>
      <c r="C99" s="261"/>
      <c r="D99" s="73" t="s">
        <v>1041</v>
      </c>
      <c r="E99" s="74">
        <v>93</v>
      </c>
      <c r="F99" s="8" t="s">
        <v>17</v>
      </c>
      <c r="G99" s="16" t="s">
        <v>1019</v>
      </c>
      <c r="H99" s="72">
        <v>3.3500000000000002E-2</v>
      </c>
      <c r="I99" s="8">
        <f>H99*10000000*117/100</f>
        <v>391950</v>
      </c>
      <c r="J99" s="73" t="s">
        <v>16</v>
      </c>
      <c r="K99" s="262"/>
      <c r="L99" s="263"/>
      <c r="M99" s="247"/>
    </row>
    <row r="100" spans="1:13" ht="26.4" x14ac:dyDescent="0.25">
      <c r="A100" s="259"/>
      <c r="B100" s="268"/>
      <c r="C100" s="268"/>
      <c r="D100" s="143" t="s">
        <v>1018</v>
      </c>
      <c r="E100" s="74">
        <v>90</v>
      </c>
      <c r="F100" s="8" t="s">
        <v>17</v>
      </c>
      <c r="G100" s="16" t="s">
        <v>1019</v>
      </c>
      <c r="H100" s="72">
        <v>3.5000000000000003E-2</v>
      </c>
      <c r="I100" s="8">
        <f>H100*10000000*117/100</f>
        <v>409500.00000000006</v>
      </c>
      <c r="J100" s="73" t="s">
        <v>16</v>
      </c>
      <c r="K100" s="262"/>
      <c r="L100" s="269"/>
      <c r="M100" s="270"/>
    </row>
    <row r="101" spans="1:13" ht="13.8" x14ac:dyDescent="0.25">
      <c r="A101" s="260"/>
      <c r="B101" s="248" t="s">
        <v>1058</v>
      </c>
      <c r="C101" s="249"/>
      <c r="D101" s="249"/>
      <c r="E101" s="249"/>
      <c r="F101" s="249"/>
      <c r="G101" s="249"/>
      <c r="H101" s="249"/>
      <c r="I101" s="249"/>
      <c r="J101" s="249"/>
      <c r="K101" s="249"/>
      <c r="L101" s="249"/>
      <c r="M101" s="250"/>
    </row>
  </sheetData>
  <mergeCells count="133">
    <mergeCell ref="A90:M90"/>
    <mergeCell ref="A91:A95"/>
    <mergeCell ref="B91:B94"/>
    <mergeCell ref="C91:C94"/>
    <mergeCell ref="K91:K94"/>
    <mergeCell ref="L91:L94"/>
    <mergeCell ref="M91:M94"/>
    <mergeCell ref="B95:M95"/>
    <mergeCell ref="A81:M81"/>
    <mergeCell ref="A82:A83"/>
    <mergeCell ref="B83:M83"/>
    <mergeCell ref="A84:M84"/>
    <mergeCell ref="A85:A89"/>
    <mergeCell ref="B85:B88"/>
    <mergeCell ref="C85:C88"/>
    <mergeCell ref="K85:K88"/>
    <mergeCell ref="L85:L88"/>
    <mergeCell ref="M85:M88"/>
    <mergeCell ref="B89:M89"/>
    <mergeCell ref="A78:M78"/>
    <mergeCell ref="A79:A80"/>
    <mergeCell ref="B80:M80"/>
    <mergeCell ref="A69:M69"/>
    <mergeCell ref="A70:A74"/>
    <mergeCell ref="B70:B73"/>
    <mergeCell ref="C70:C73"/>
    <mergeCell ref="K70:K73"/>
    <mergeCell ref="L70:L73"/>
    <mergeCell ref="M70:M73"/>
    <mergeCell ref="B74:M74"/>
    <mergeCell ref="M58:M61"/>
    <mergeCell ref="B62:M62"/>
    <mergeCell ref="A51:A56"/>
    <mergeCell ref="B51:B55"/>
    <mergeCell ref="A50:M50"/>
    <mergeCell ref="C51:C55"/>
    <mergeCell ref="A38:M38"/>
    <mergeCell ref="A45:A49"/>
    <mergeCell ref="A44:M44"/>
    <mergeCell ref="A39:A43"/>
    <mergeCell ref="B39:B42"/>
    <mergeCell ref="C39:C42"/>
    <mergeCell ref="K39:K42"/>
    <mergeCell ref="L39:L42"/>
    <mergeCell ref="M39:M42"/>
    <mergeCell ref="B43:M43"/>
    <mergeCell ref="A1:A6"/>
    <mergeCell ref="B1:M1"/>
    <mergeCell ref="B2:M2"/>
    <mergeCell ref="B3:M3"/>
    <mergeCell ref="B4:M4"/>
    <mergeCell ref="B5:M5"/>
    <mergeCell ref="A7:M7"/>
    <mergeCell ref="A8:A9"/>
    <mergeCell ref="B9:M9"/>
    <mergeCell ref="A10:M10"/>
    <mergeCell ref="A11:A12"/>
    <mergeCell ref="B12:M12"/>
    <mergeCell ref="A13:M13"/>
    <mergeCell ref="A14:A17"/>
    <mergeCell ref="B14:B16"/>
    <mergeCell ref="C14:C16"/>
    <mergeCell ref="K14:K16"/>
    <mergeCell ref="L14:L16"/>
    <mergeCell ref="M14:M16"/>
    <mergeCell ref="B17:M17"/>
    <mergeCell ref="A18:M18"/>
    <mergeCell ref="A19:A22"/>
    <mergeCell ref="B19:B21"/>
    <mergeCell ref="C19:C21"/>
    <mergeCell ref="K19:K21"/>
    <mergeCell ref="L19:L21"/>
    <mergeCell ref="M19:M21"/>
    <mergeCell ref="B22:M22"/>
    <mergeCell ref="A23:M23"/>
    <mergeCell ref="A24:A27"/>
    <mergeCell ref="B24:B26"/>
    <mergeCell ref="C24:C26"/>
    <mergeCell ref="K24:K26"/>
    <mergeCell ref="L24:L26"/>
    <mergeCell ref="M24:M26"/>
    <mergeCell ref="B27:M27"/>
    <mergeCell ref="A28:M28"/>
    <mergeCell ref="A29:A32"/>
    <mergeCell ref="B29:B31"/>
    <mergeCell ref="C29:C31"/>
    <mergeCell ref="K29:K31"/>
    <mergeCell ref="L29:L31"/>
    <mergeCell ref="M29:M31"/>
    <mergeCell ref="B32:M32"/>
    <mergeCell ref="A33:M33"/>
    <mergeCell ref="K51:K55"/>
    <mergeCell ref="L51:L55"/>
    <mergeCell ref="M51:M55"/>
    <mergeCell ref="B56:M56"/>
    <mergeCell ref="A57:M57"/>
    <mergeCell ref="B45:B48"/>
    <mergeCell ref="C45:C48"/>
    <mergeCell ref="K45:K48"/>
    <mergeCell ref="L45:L48"/>
    <mergeCell ref="M45:M48"/>
    <mergeCell ref="B49:M49"/>
    <mergeCell ref="A34:A37"/>
    <mergeCell ref="B34:B36"/>
    <mergeCell ref="C34:C36"/>
    <mergeCell ref="K34:K36"/>
    <mergeCell ref="L34:L36"/>
    <mergeCell ref="M34:M36"/>
    <mergeCell ref="B37:M37"/>
    <mergeCell ref="A96:M96"/>
    <mergeCell ref="A97:A101"/>
    <mergeCell ref="B97:B100"/>
    <mergeCell ref="C97:C100"/>
    <mergeCell ref="K97:K100"/>
    <mergeCell ref="L97:L100"/>
    <mergeCell ref="M97:M100"/>
    <mergeCell ref="B101:M101"/>
    <mergeCell ref="A58:A62"/>
    <mergeCell ref="B58:B61"/>
    <mergeCell ref="C58:C61"/>
    <mergeCell ref="K58:K61"/>
    <mergeCell ref="L58:L61"/>
    <mergeCell ref="A63:M63"/>
    <mergeCell ref="A64:A68"/>
    <mergeCell ref="B64:B67"/>
    <mergeCell ref="C64:C67"/>
    <mergeCell ref="K64:K67"/>
    <mergeCell ref="L64:L67"/>
    <mergeCell ref="M64:M67"/>
    <mergeCell ref="B68:M68"/>
    <mergeCell ref="A75:M75"/>
    <mergeCell ref="A76:A77"/>
    <mergeCell ref="B77:M77"/>
  </mergeCells>
  <pageMargins left="0.23622047244094491" right="0.23622047244094491" top="0.55118110236220474" bottom="0.55118110236220474" header="0.31496062992125984" footer="0.31496062992125984"/>
  <pageSetup paperSize="9" scale="79" fitToHeight="0" orientation="landscape" r:id="rId1"/>
  <rowBreaks count="3" manualBreakCount="3">
    <brk id="27" max="16383" man="1"/>
    <brk id="56" max="16383" man="1"/>
    <brk id="8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2"/>
  <sheetViews>
    <sheetView rightToLeft="1" zoomScaleNormal="100" zoomScaleSheetLayoutView="75" workbookViewId="0">
      <pane ySplit="6" topLeftCell="A7" activePane="bottomLeft" state="frozen"/>
      <selection pane="bottomLeft" activeCell="B12" sqref="A1:M12"/>
    </sheetView>
  </sheetViews>
  <sheetFormatPr defaultColWidth="8.69921875" defaultRowHeight="15" x14ac:dyDescent="0.25"/>
  <cols>
    <col min="1" max="1" width="4.19921875" customWidth="1"/>
    <col min="2" max="2" width="21.09765625" style="10" bestFit="1" customWidth="1"/>
    <col min="4" max="4" width="10.19921875" customWidth="1"/>
    <col min="5" max="5" width="7.69921875" customWidth="1"/>
    <col min="6" max="6" width="10.19921875" bestFit="1" customWidth="1"/>
    <col min="7" max="7" width="12.09765625" style="11" bestFit="1" customWidth="1"/>
    <col min="8" max="8" width="13.59765625" style="12" bestFit="1" customWidth="1"/>
    <col min="9" max="9" width="14.59765625" style="12" bestFit="1" customWidth="1"/>
    <col min="10" max="10" width="9" customWidth="1"/>
    <col min="11" max="11" width="23.59765625" style="13" customWidth="1"/>
    <col min="12" max="12" width="10.09765625" style="14" customWidth="1"/>
    <col min="13" max="13" width="19.69921875" style="15" customWidth="1"/>
  </cols>
  <sheetData>
    <row r="1" spans="1:13" ht="21" x14ac:dyDescent="0.25">
      <c r="A1" s="254"/>
      <c r="B1" s="255" t="s">
        <v>984</v>
      </c>
      <c r="C1" s="255"/>
      <c r="D1" s="255"/>
      <c r="E1" s="255"/>
      <c r="F1" s="255"/>
      <c r="G1" s="255"/>
      <c r="H1" s="255"/>
      <c r="I1" s="255"/>
      <c r="J1" s="255"/>
      <c r="K1" s="255"/>
      <c r="L1" s="255"/>
      <c r="M1" s="255"/>
    </row>
    <row r="2" spans="1:13" ht="29.4" customHeight="1" x14ac:dyDescent="0.25">
      <c r="A2" s="254"/>
      <c r="B2" s="256" t="s">
        <v>663</v>
      </c>
      <c r="C2" s="256"/>
      <c r="D2" s="256"/>
      <c r="E2" s="256"/>
      <c r="F2" s="256"/>
      <c r="G2" s="256"/>
      <c r="H2" s="256"/>
      <c r="I2" s="256"/>
      <c r="J2" s="256"/>
      <c r="K2" s="256"/>
      <c r="L2" s="256"/>
      <c r="M2" s="256"/>
    </row>
    <row r="3" spans="1:13" ht="15.6" x14ac:dyDescent="0.25">
      <c r="A3" s="254"/>
      <c r="B3" s="257" t="s">
        <v>853</v>
      </c>
      <c r="C3" s="257"/>
      <c r="D3" s="257"/>
      <c r="E3" s="257"/>
      <c r="F3" s="257"/>
      <c r="G3" s="257"/>
      <c r="H3" s="257"/>
      <c r="I3" s="257"/>
      <c r="J3" s="257"/>
      <c r="K3" s="257"/>
      <c r="L3" s="257"/>
      <c r="M3" s="257"/>
    </row>
    <row r="4" spans="1:13" ht="13.8" x14ac:dyDescent="0.25">
      <c r="A4" s="254"/>
      <c r="B4" s="258" t="s">
        <v>793</v>
      </c>
      <c r="C4" s="258"/>
      <c r="D4" s="258"/>
      <c r="E4" s="258"/>
      <c r="F4" s="258"/>
      <c r="G4" s="258"/>
      <c r="H4" s="258"/>
      <c r="I4" s="258"/>
      <c r="J4" s="258"/>
      <c r="K4" s="258"/>
      <c r="L4" s="258"/>
      <c r="M4" s="258"/>
    </row>
    <row r="5" spans="1:13" ht="13.8" x14ac:dyDescent="0.25">
      <c r="A5" s="254"/>
      <c r="B5" s="275" t="s">
        <v>792</v>
      </c>
      <c r="C5" s="276"/>
      <c r="D5" s="276"/>
      <c r="E5" s="276"/>
      <c r="F5" s="276"/>
      <c r="G5" s="276"/>
      <c r="H5" s="276"/>
      <c r="I5" s="276"/>
      <c r="J5" s="276"/>
      <c r="K5" s="276"/>
      <c r="L5" s="276"/>
      <c r="M5" s="277"/>
    </row>
    <row r="6" spans="1:13" ht="46.8" x14ac:dyDescent="0.25">
      <c r="A6" s="254"/>
      <c r="B6" s="1" t="s">
        <v>3</v>
      </c>
      <c r="C6" s="2" t="s">
        <v>4</v>
      </c>
      <c r="D6" s="3" t="s">
        <v>5</v>
      </c>
      <c r="E6" s="3" t="s">
        <v>6</v>
      </c>
      <c r="F6" s="3" t="s">
        <v>7</v>
      </c>
      <c r="G6" s="3" t="s">
        <v>8</v>
      </c>
      <c r="H6" s="4" t="s">
        <v>9</v>
      </c>
      <c r="I6" s="5" t="s">
        <v>10</v>
      </c>
      <c r="J6" s="3" t="s">
        <v>11</v>
      </c>
      <c r="K6" s="3" t="s">
        <v>12</v>
      </c>
      <c r="L6" s="6" t="s">
        <v>13</v>
      </c>
      <c r="M6" s="3" t="s">
        <v>14</v>
      </c>
    </row>
    <row r="7" spans="1:13" ht="15.6" x14ac:dyDescent="0.25">
      <c r="A7" s="251" t="s">
        <v>986</v>
      </c>
      <c r="B7" s="252"/>
      <c r="C7" s="252"/>
      <c r="D7" s="252"/>
      <c r="E7" s="252"/>
      <c r="F7" s="252"/>
      <c r="G7" s="252"/>
      <c r="H7" s="252"/>
      <c r="I7" s="252"/>
      <c r="J7" s="252"/>
      <c r="K7" s="252"/>
      <c r="L7" s="252"/>
      <c r="M7" s="253"/>
    </row>
    <row r="8" spans="1:13" ht="39.6" x14ac:dyDescent="0.25">
      <c r="A8" s="264">
        <v>1</v>
      </c>
      <c r="B8" s="209" t="s">
        <v>982</v>
      </c>
      <c r="C8" s="209" t="s">
        <v>81</v>
      </c>
      <c r="D8" s="22" t="s">
        <v>109</v>
      </c>
      <c r="E8" s="23">
        <v>100</v>
      </c>
      <c r="F8" s="19" t="s">
        <v>20</v>
      </c>
      <c r="G8" s="19" t="s">
        <v>20</v>
      </c>
      <c r="H8" s="19">
        <f>30000*117/100</f>
        <v>35100</v>
      </c>
      <c r="I8" s="19">
        <f>30000*117/100</f>
        <v>35100</v>
      </c>
      <c r="J8" s="17" t="s">
        <v>16</v>
      </c>
      <c r="K8" s="210" t="s">
        <v>985</v>
      </c>
      <c r="L8" s="212" t="s">
        <v>48</v>
      </c>
      <c r="M8" s="211">
        <v>253008</v>
      </c>
    </row>
    <row r="9" spans="1:13" ht="24" customHeight="1" x14ac:dyDescent="0.25">
      <c r="A9" s="260"/>
      <c r="B9" s="248" t="s">
        <v>983</v>
      </c>
      <c r="C9" s="249"/>
      <c r="D9" s="249"/>
      <c r="E9" s="249"/>
      <c r="F9" s="249"/>
      <c r="G9" s="249"/>
      <c r="H9" s="249"/>
      <c r="I9" s="249"/>
      <c r="J9" s="249"/>
      <c r="K9" s="249"/>
      <c r="L9" s="249"/>
      <c r="M9" s="250"/>
    </row>
    <row r="10" spans="1:13" ht="15.6" x14ac:dyDescent="0.25">
      <c r="A10" s="251" t="s">
        <v>987</v>
      </c>
      <c r="B10" s="252"/>
      <c r="C10" s="252"/>
      <c r="D10" s="252"/>
      <c r="E10" s="252"/>
      <c r="F10" s="252"/>
      <c r="G10" s="252"/>
      <c r="H10" s="252"/>
      <c r="I10" s="252"/>
      <c r="J10" s="252"/>
      <c r="K10" s="252"/>
      <c r="L10" s="252"/>
      <c r="M10" s="253"/>
    </row>
    <row r="11" spans="1:13" ht="92.4" x14ac:dyDescent="0.25">
      <c r="A11" s="264">
        <v>2</v>
      </c>
      <c r="B11" s="213" t="s">
        <v>988</v>
      </c>
      <c r="C11" s="213" t="s">
        <v>903</v>
      </c>
      <c r="D11" s="22" t="s">
        <v>989</v>
      </c>
      <c r="E11" s="23">
        <v>100</v>
      </c>
      <c r="F11" s="19" t="s">
        <v>20</v>
      </c>
      <c r="G11" s="19" t="s">
        <v>20</v>
      </c>
      <c r="H11" s="19">
        <f>12000</f>
        <v>12000</v>
      </c>
      <c r="I11" s="19">
        <f>H11</f>
        <v>12000</v>
      </c>
      <c r="J11" s="17"/>
      <c r="K11" s="214" t="s">
        <v>376</v>
      </c>
      <c r="L11" s="216"/>
      <c r="M11" s="215">
        <v>2190102761</v>
      </c>
    </row>
    <row r="12" spans="1:13" ht="13.8" x14ac:dyDescent="0.25">
      <c r="A12" s="260"/>
      <c r="B12" s="248" t="s">
        <v>990</v>
      </c>
      <c r="C12" s="249"/>
      <c r="D12" s="249"/>
      <c r="E12" s="249"/>
      <c r="F12" s="249"/>
      <c r="G12" s="249"/>
      <c r="H12" s="249"/>
      <c r="I12" s="249"/>
      <c r="J12" s="249"/>
      <c r="K12" s="249"/>
      <c r="L12" s="249"/>
      <c r="M12" s="250"/>
    </row>
  </sheetData>
  <mergeCells count="12">
    <mergeCell ref="A7:M7"/>
    <mergeCell ref="A1:A6"/>
    <mergeCell ref="B1:M1"/>
    <mergeCell ref="B2:M2"/>
    <mergeCell ref="B3:M3"/>
    <mergeCell ref="B4:M4"/>
    <mergeCell ref="B5:M5"/>
    <mergeCell ref="A10:M10"/>
    <mergeCell ref="A11:A12"/>
    <mergeCell ref="B12:M12"/>
    <mergeCell ref="B9:M9"/>
    <mergeCell ref="A8:A9"/>
  </mergeCells>
  <pageMargins left="0.23622047244094491" right="0.23622047244094491" top="0.55118110236220474" bottom="0.55118110236220474" header="0.31496062992125984" footer="0.31496062992125984"/>
  <pageSetup paperSize="9" scale="7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12"/>
  <sheetViews>
    <sheetView rightToLeft="1" zoomScaleNormal="100" zoomScaleSheetLayoutView="75" workbookViewId="0">
      <pane ySplit="6" topLeftCell="A85" activePane="bottomLeft" state="frozen"/>
      <selection pane="bottomLeft" activeCell="A54" sqref="A54:XFD59"/>
    </sheetView>
  </sheetViews>
  <sheetFormatPr defaultColWidth="8.69921875" defaultRowHeight="15" x14ac:dyDescent="0.25"/>
  <cols>
    <col min="1" max="1" width="4.19921875" customWidth="1"/>
    <col min="2" max="2" width="21.09765625" style="10" bestFit="1" customWidth="1"/>
    <col min="4" max="4" width="10.19921875" customWidth="1"/>
    <col min="5" max="5" width="7.69921875" customWidth="1"/>
    <col min="6" max="6" width="10.19921875" bestFit="1" customWidth="1"/>
    <col min="7" max="7" width="12.09765625" style="11" bestFit="1" customWidth="1"/>
    <col min="8" max="8" width="13.59765625" style="12" bestFit="1" customWidth="1"/>
    <col min="9" max="9" width="14.59765625" style="12" bestFit="1" customWidth="1"/>
    <col min="10" max="10" width="9" customWidth="1"/>
    <col min="11" max="11" width="23.59765625" style="13" customWidth="1"/>
    <col min="12" max="12" width="10.09765625" style="14" customWidth="1"/>
    <col min="13" max="13" width="19.69921875" style="15" customWidth="1"/>
  </cols>
  <sheetData>
    <row r="1" spans="1:13" ht="21" x14ac:dyDescent="0.25">
      <c r="A1" s="254"/>
      <c r="B1" s="255" t="s">
        <v>973</v>
      </c>
      <c r="C1" s="255"/>
      <c r="D1" s="255"/>
      <c r="E1" s="255"/>
      <c r="F1" s="255"/>
      <c r="G1" s="255"/>
      <c r="H1" s="255"/>
      <c r="I1" s="255"/>
      <c r="J1" s="255"/>
      <c r="K1" s="255"/>
      <c r="L1" s="255"/>
      <c r="M1" s="255"/>
    </row>
    <row r="2" spans="1:13" ht="29.4" customHeight="1" x14ac:dyDescent="0.25">
      <c r="A2" s="254"/>
      <c r="B2" s="256" t="s">
        <v>663</v>
      </c>
      <c r="C2" s="256"/>
      <c r="D2" s="256"/>
      <c r="E2" s="256"/>
      <c r="F2" s="256"/>
      <c r="G2" s="256"/>
      <c r="H2" s="256"/>
      <c r="I2" s="256"/>
      <c r="J2" s="256"/>
      <c r="K2" s="256"/>
      <c r="L2" s="256"/>
      <c r="M2" s="256"/>
    </row>
    <row r="3" spans="1:13" ht="15.6" x14ac:dyDescent="0.25">
      <c r="A3" s="254"/>
      <c r="B3" s="257"/>
      <c r="C3" s="257"/>
      <c r="D3" s="257"/>
      <c r="E3" s="257"/>
      <c r="F3" s="257"/>
      <c r="G3" s="257"/>
      <c r="H3" s="257"/>
      <c r="I3" s="257"/>
      <c r="J3" s="257"/>
      <c r="K3" s="257"/>
      <c r="L3" s="257"/>
      <c r="M3" s="257"/>
    </row>
    <row r="4" spans="1:13" ht="13.8" x14ac:dyDescent="0.25">
      <c r="A4" s="254"/>
      <c r="B4" s="258" t="s">
        <v>793</v>
      </c>
      <c r="C4" s="258"/>
      <c r="D4" s="258"/>
      <c r="E4" s="258"/>
      <c r="F4" s="258"/>
      <c r="G4" s="258"/>
      <c r="H4" s="258"/>
      <c r="I4" s="258"/>
      <c r="J4" s="258"/>
      <c r="K4" s="258"/>
      <c r="L4" s="258"/>
      <c r="M4" s="258"/>
    </row>
    <row r="5" spans="1:13" ht="13.8" x14ac:dyDescent="0.25">
      <c r="A5" s="254"/>
      <c r="B5" s="258" t="s">
        <v>792</v>
      </c>
      <c r="C5" s="258"/>
      <c r="D5" s="258"/>
      <c r="E5" s="258"/>
      <c r="F5" s="258"/>
      <c r="G5" s="258"/>
      <c r="H5" s="258"/>
      <c r="I5" s="258"/>
      <c r="J5" s="258"/>
      <c r="K5" s="258"/>
      <c r="L5" s="258"/>
      <c r="M5" s="258"/>
    </row>
    <row r="6" spans="1:13" ht="46.8" x14ac:dyDescent="0.25">
      <c r="A6" s="254"/>
      <c r="B6" s="1" t="s">
        <v>3</v>
      </c>
      <c r="C6" s="2" t="s">
        <v>4</v>
      </c>
      <c r="D6" s="3" t="s">
        <v>5</v>
      </c>
      <c r="E6" s="3" t="s">
        <v>6</v>
      </c>
      <c r="F6" s="3" t="s">
        <v>7</v>
      </c>
      <c r="G6" s="3" t="s">
        <v>8</v>
      </c>
      <c r="H6" s="4" t="s">
        <v>9</v>
      </c>
      <c r="I6" s="5" t="s">
        <v>10</v>
      </c>
      <c r="J6" s="3" t="s">
        <v>11</v>
      </c>
      <c r="K6" s="3" t="s">
        <v>12</v>
      </c>
      <c r="L6" s="6" t="s">
        <v>13</v>
      </c>
      <c r="M6" s="3" t="s">
        <v>14</v>
      </c>
    </row>
    <row r="7" spans="1:13" ht="15.6" x14ac:dyDescent="0.25">
      <c r="A7" s="251" t="s">
        <v>876</v>
      </c>
      <c r="B7" s="252"/>
      <c r="C7" s="252"/>
      <c r="D7" s="252"/>
      <c r="E7" s="252"/>
      <c r="F7" s="252"/>
      <c r="G7" s="252"/>
      <c r="H7" s="252"/>
      <c r="I7" s="252"/>
      <c r="J7" s="252"/>
      <c r="K7" s="252"/>
      <c r="L7" s="252"/>
      <c r="M7" s="253"/>
    </row>
    <row r="8" spans="1:13" ht="38.25" customHeight="1" x14ac:dyDescent="0.25">
      <c r="A8" s="264">
        <v>1</v>
      </c>
      <c r="B8" s="265" t="s">
        <v>877</v>
      </c>
      <c r="C8" s="278" t="s">
        <v>878</v>
      </c>
      <c r="D8" s="22" t="s">
        <v>879</v>
      </c>
      <c r="E8" s="23">
        <v>92</v>
      </c>
      <c r="F8" s="24" t="s">
        <v>20</v>
      </c>
      <c r="G8" s="24" t="s">
        <v>20</v>
      </c>
      <c r="H8" s="176">
        <f>19000*117/100</f>
        <v>22230</v>
      </c>
      <c r="I8" s="24">
        <f>H8</f>
        <v>22230</v>
      </c>
      <c r="J8" s="22" t="s">
        <v>16</v>
      </c>
      <c r="K8" s="271" t="s">
        <v>45</v>
      </c>
      <c r="L8" s="266" t="s">
        <v>48</v>
      </c>
      <c r="M8" s="267">
        <v>1712200750</v>
      </c>
    </row>
    <row r="9" spans="1:13" ht="14.25" customHeight="1" x14ac:dyDescent="0.25">
      <c r="A9" s="259"/>
      <c r="B9" s="261"/>
      <c r="C9" s="279"/>
      <c r="D9" s="192" t="s">
        <v>880</v>
      </c>
      <c r="E9" s="7">
        <v>87</v>
      </c>
      <c r="F9" s="16" t="s">
        <v>20</v>
      </c>
      <c r="G9" s="8" t="s">
        <v>20</v>
      </c>
      <c r="H9" s="8">
        <f>16850*117/100</f>
        <v>19714.5</v>
      </c>
      <c r="I9" s="16">
        <f>H9</f>
        <v>19714.5</v>
      </c>
      <c r="J9" s="192" t="s">
        <v>16</v>
      </c>
      <c r="K9" s="262"/>
      <c r="L9" s="263"/>
      <c r="M9" s="247"/>
    </row>
    <row r="10" spans="1:13" ht="14.25" customHeight="1" x14ac:dyDescent="0.25">
      <c r="A10" s="259"/>
      <c r="B10" s="261"/>
      <c r="C10" s="279"/>
      <c r="D10" s="143" t="s">
        <v>881</v>
      </c>
      <c r="E10" s="74">
        <v>34</v>
      </c>
      <c r="F10" s="16" t="s">
        <v>20</v>
      </c>
      <c r="G10" s="16" t="s">
        <v>20</v>
      </c>
      <c r="H10" s="16">
        <f>35000*117/100</f>
        <v>40950</v>
      </c>
      <c r="I10" s="16">
        <f t="shared" ref="I10:I11" si="0">H10</f>
        <v>40950</v>
      </c>
      <c r="J10" s="73" t="s">
        <v>16</v>
      </c>
      <c r="K10" s="262"/>
      <c r="L10" s="263"/>
      <c r="M10" s="247"/>
    </row>
    <row r="11" spans="1:13" ht="26.4" x14ac:dyDescent="0.25">
      <c r="A11" s="259"/>
      <c r="B11" s="268"/>
      <c r="C11" s="280"/>
      <c r="D11" s="143" t="s">
        <v>882</v>
      </c>
      <c r="E11" s="74">
        <v>30</v>
      </c>
      <c r="F11" s="16" t="s">
        <v>20</v>
      </c>
      <c r="G11" s="16" t="s">
        <v>20</v>
      </c>
      <c r="H11" s="16">
        <f>40000*117/100</f>
        <v>46800</v>
      </c>
      <c r="I11" s="16">
        <f t="shared" si="0"/>
        <v>46800</v>
      </c>
      <c r="J11" s="73" t="s">
        <v>16</v>
      </c>
      <c r="K11" s="272"/>
      <c r="L11" s="269"/>
      <c r="M11" s="270"/>
    </row>
    <row r="12" spans="1:13" ht="14.25" customHeight="1" x14ac:dyDescent="0.25">
      <c r="A12" s="260"/>
      <c r="B12" s="248"/>
      <c r="C12" s="249"/>
      <c r="D12" s="249"/>
      <c r="E12" s="249"/>
      <c r="F12" s="249"/>
      <c r="G12" s="249"/>
      <c r="H12" s="249"/>
      <c r="I12" s="249"/>
      <c r="J12" s="249"/>
      <c r="K12" s="249"/>
      <c r="L12" s="249"/>
      <c r="M12" s="250"/>
    </row>
    <row r="13" spans="1:13" ht="15.6" x14ac:dyDescent="0.25">
      <c r="A13" s="251" t="s">
        <v>883</v>
      </c>
      <c r="B13" s="252"/>
      <c r="C13" s="252"/>
      <c r="D13" s="252"/>
      <c r="E13" s="252"/>
      <c r="F13" s="252"/>
      <c r="G13" s="252"/>
      <c r="H13" s="252"/>
      <c r="I13" s="252"/>
      <c r="J13" s="252"/>
      <c r="K13" s="252"/>
      <c r="L13" s="252"/>
      <c r="M13" s="253"/>
    </row>
    <row r="14" spans="1:13" ht="38.25" customHeight="1" x14ac:dyDescent="0.25">
      <c r="A14" s="264">
        <v>2</v>
      </c>
      <c r="B14" s="265" t="s">
        <v>884</v>
      </c>
      <c r="C14" s="278" t="s">
        <v>19</v>
      </c>
      <c r="D14" s="22" t="s">
        <v>885</v>
      </c>
      <c r="E14" s="23">
        <v>100</v>
      </c>
      <c r="F14" s="24" t="s">
        <v>20</v>
      </c>
      <c r="G14" s="24" t="s">
        <v>20</v>
      </c>
      <c r="H14" s="176">
        <f>18600*117/100</f>
        <v>21762</v>
      </c>
      <c r="I14" s="24">
        <f>H14</f>
        <v>21762</v>
      </c>
      <c r="J14" s="22" t="s">
        <v>16</v>
      </c>
      <c r="K14" s="271" t="s">
        <v>45</v>
      </c>
      <c r="L14" s="266" t="s">
        <v>48</v>
      </c>
      <c r="M14" s="267">
        <v>295001</v>
      </c>
    </row>
    <row r="15" spans="1:13" ht="14.25" customHeight="1" x14ac:dyDescent="0.25">
      <c r="A15" s="259"/>
      <c r="B15" s="261"/>
      <c r="C15" s="279"/>
      <c r="D15" s="193" t="s">
        <v>63</v>
      </c>
      <c r="E15" s="7">
        <v>89</v>
      </c>
      <c r="F15" s="16" t="s">
        <v>20</v>
      </c>
      <c r="G15" s="8" t="s">
        <v>20</v>
      </c>
      <c r="H15" s="8">
        <f>22000*117/100</f>
        <v>25740</v>
      </c>
      <c r="I15" s="16">
        <f>H15</f>
        <v>25740</v>
      </c>
      <c r="J15" s="193" t="s">
        <v>16</v>
      </c>
      <c r="K15" s="262"/>
      <c r="L15" s="263"/>
      <c r="M15" s="247"/>
    </row>
    <row r="16" spans="1:13" ht="14.25" customHeight="1" x14ac:dyDescent="0.25">
      <c r="A16" s="259"/>
      <c r="B16" s="261"/>
      <c r="C16" s="279"/>
      <c r="D16" s="143" t="s">
        <v>886</v>
      </c>
      <c r="E16" s="74">
        <v>89</v>
      </c>
      <c r="F16" s="16" t="s">
        <v>20</v>
      </c>
      <c r="G16" s="16" t="s">
        <v>20</v>
      </c>
      <c r="H16" s="16">
        <f>22000*117/100</f>
        <v>25740</v>
      </c>
      <c r="I16" s="16">
        <f t="shared" ref="I16" si="1">H16</f>
        <v>25740</v>
      </c>
      <c r="J16" s="73" t="s">
        <v>16</v>
      </c>
      <c r="K16" s="262"/>
      <c r="L16" s="263"/>
      <c r="M16" s="247"/>
    </row>
    <row r="17" spans="1:13" ht="14.25" customHeight="1" x14ac:dyDescent="0.25">
      <c r="A17" s="259"/>
      <c r="B17" s="261"/>
      <c r="C17" s="279"/>
      <c r="D17" s="143" t="s">
        <v>630</v>
      </c>
      <c r="E17" s="74">
        <v>73</v>
      </c>
      <c r="F17" s="16" t="s">
        <v>20</v>
      </c>
      <c r="G17" s="16" t="s">
        <v>20</v>
      </c>
      <c r="H17" s="16">
        <f>50000*117/100</f>
        <v>58500</v>
      </c>
      <c r="I17" s="16">
        <f>H17</f>
        <v>58500</v>
      </c>
      <c r="J17" s="73" t="s">
        <v>16</v>
      </c>
      <c r="K17" s="262"/>
      <c r="L17" s="263"/>
      <c r="M17" s="247"/>
    </row>
    <row r="18" spans="1:13" ht="14.25" customHeight="1" x14ac:dyDescent="0.25">
      <c r="A18" s="259"/>
      <c r="B18" s="268"/>
      <c r="C18" s="280"/>
      <c r="D18" s="143" t="s">
        <v>768</v>
      </c>
      <c r="E18" s="74">
        <v>55</v>
      </c>
      <c r="F18" s="16" t="s">
        <v>20</v>
      </c>
      <c r="G18" s="16" t="s">
        <v>20</v>
      </c>
      <c r="H18" s="16">
        <f>50000*117/100</f>
        <v>58500</v>
      </c>
      <c r="I18" s="16">
        <f>H18</f>
        <v>58500</v>
      </c>
      <c r="J18" s="73" t="s">
        <v>16</v>
      </c>
      <c r="K18" s="272"/>
      <c r="L18" s="269"/>
      <c r="M18" s="270"/>
    </row>
    <row r="19" spans="1:13" ht="14.25" customHeight="1" x14ac:dyDescent="0.25">
      <c r="A19" s="260"/>
      <c r="B19" s="248"/>
      <c r="C19" s="249"/>
      <c r="D19" s="249"/>
      <c r="E19" s="249"/>
      <c r="F19" s="249"/>
      <c r="G19" s="249"/>
      <c r="H19" s="249"/>
      <c r="I19" s="249"/>
      <c r="J19" s="249"/>
      <c r="K19" s="249"/>
      <c r="L19" s="249"/>
      <c r="M19" s="250"/>
    </row>
    <row r="20" spans="1:13" ht="15.6" x14ac:dyDescent="0.25">
      <c r="A20" s="251" t="s">
        <v>889</v>
      </c>
      <c r="B20" s="252"/>
      <c r="C20" s="252"/>
      <c r="D20" s="252"/>
      <c r="E20" s="252"/>
      <c r="F20" s="252"/>
      <c r="G20" s="252"/>
      <c r="H20" s="252"/>
      <c r="I20" s="252"/>
      <c r="J20" s="252"/>
      <c r="K20" s="252"/>
      <c r="L20" s="252"/>
      <c r="M20" s="253"/>
    </row>
    <row r="21" spans="1:13" ht="78" x14ac:dyDescent="0.25">
      <c r="A21" s="264">
        <v>3</v>
      </c>
      <c r="B21" s="187" t="s">
        <v>887</v>
      </c>
      <c r="C21" s="187" t="s">
        <v>888</v>
      </c>
      <c r="D21" s="22" t="s">
        <v>574</v>
      </c>
      <c r="E21" s="23">
        <v>100</v>
      </c>
      <c r="F21" s="19" t="s">
        <v>15</v>
      </c>
      <c r="G21" s="19" t="s">
        <v>969</v>
      </c>
      <c r="H21" s="19">
        <f>180*117/100</f>
        <v>210.6</v>
      </c>
      <c r="I21" s="24">
        <f>H21*100*4</f>
        <v>84240</v>
      </c>
      <c r="J21" s="17" t="s">
        <v>16</v>
      </c>
      <c r="K21" s="188" t="s">
        <v>974</v>
      </c>
      <c r="L21" s="191" t="s">
        <v>48</v>
      </c>
      <c r="M21" s="190">
        <v>2440052960</v>
      </c>
    </row>
    <row r="22" spans="1:13" ht="24" customHeight="1" x14ac:dyDescent="0.25">
      <c r="A22" s="260"/>
      <c r="B22" s="248" t="s">
        <v>890</v>
      </c>
      <c r="C22" s="249"/>
      <c r="D22" s="249"/>
      <c r="E22" s="249"/>
      <c r="F22" s="249"/>
      <c r="G22" s="249"/>
      <c r="H22" s="249"/>
      <c r="I22" s="249"/>
      <c r="J22" s="249"/>
      <c r="K22" s="249"/>
      <c r="L22" s="249"/>
      <c r="M22" s="250"/>
    </row>
    <row r="23" spans="1:13" ht="15.6" x14ac:dyDescent="0.25">
      <c r="A23" s="251" t="s">
        <v>892</v>
      </c>
      <c r="B23" s="252"/>
      <c r="C23" s="252"/>
      <c r="D23" s="252"/>
      <c r="E23" s="252"/>
      <c r="F23" s="252"/>
      <c r="G23" s="252"/>
      <c r="H23" s="252"/>
      <c r="I23" s="252"/>
      <c r="J23" s="252"/>
      <c r="K23" s="252"/>
      <c r="L23" s="252"/>
      <c r="M23" s="253"/>
    </row>
    <row r="24" spans="1:13" ht="52.8" x14ac:dyDescent="0.25">
      <c r="A24" s="264">
        <v>4</v>
      </c>
      <c r="B24" s="187" t="s">
        <v>891</v>
      </c>
      <c r="C24" s="187" t="s">
        <v>783</v>
      </c>
      <c r="D24" s="116" t="s">
        <v>836</v>
      </c>
      <c r="E24" s="128">
        <v>100</v>
      </c>
      <c r="F24" s="129" t="s">
        <v>20</v>
      </c>
      <c r="G24" s="129" t="s">
        <v>20</v>
      </c>
      <c r="H24" s="130">
        <f>36800*117/100</f>
        <v>43056</v>
      </c>
      <c r="I24" s="129">
        <f>H24</f>
        <v>43056</v>
      </c>
      <c r="J24" s="116" t="s">
        <v>16</v>
      </c>
      <c r="K24" s="189" t="s">
        <v>970</v>
      </c>
      <c r="L24" s="191" t="s">
        <v>48</v>
      </c>
      <c r="M24" s="190" t="s">
        <v>951</v>
      </c>
    </row>
    <row r="25" spans="1:13" ht="24" customHeight="1" x14ac:dyDescent="0.25">
      <c r="A25" s="260"/>
      <c r="B25" s="248" t="s">
        <v>893</v>
      </c>
      <c r="C25" s="249"/>
      <c r="D25" s="249"/>
      <c r="E25" s="249"/>
      <c r="F25" s="249"/>
      <c r="G25" s="249"/>
      <c r="H25" s="249"/>
      <c r="I25" s="249"/>
      <c r="J25" s="249"/>
      <c r="K25" s="249"/>
      <c r="L25" s="249"/>
      <c r="M25" s="250"/>
    </row>
    <row r="26" spans="1:13" ht="15.6" x14ac:dyDescent="0.25">
      <c r="A26" s="251" t="s">
        <v>894</v>
      </c>
      <c r="B26" s="252"/>
      <c r="C26" s="252"/>
      <c r="D26" s="252"/>
      <c r="E26" s="252"/>
      <c r="F26" s="252"/>
      <c r="G26" s="252"/>
      <c r="H26" s="252"/>
      <c r="I26" s="252"/>
      <c r="J26" s="252"/>
      <c r="K26" s="252"/>
      <c r="L26" s="252"/>
      <c r="M26" s="253"/>
    </row>
    <row r="27" spans="1:13" ht="25.5" customHeight="1" x14ac:dyDescent="0.25">
      <c r="A27" s="264">
        <v>5</v>
      </c>
      <c r="B27" s="265" t="s">
        <v>895</v>
      </c>
      <c r="C27" s="265" t="s">
        <v>783</v>
      </c>
      <c r="D27" s="116" t="s">
        <v>113</v>
      </c>
      <c r="E27" s="128">
        <v>88</v>
      </c>
      <c r="F27" s="129" t="s">
        <v>20</v>
      </c>
      <c r="G27" s="129" t="s">
        <v>20</v>
      </c>
      <c r="H27" s="130">
        <f>12000*117/100</f>
        <v>14040</v>
      </c>
      <c r="I27" s="129">
        <f>H27</f>
        <v>14040</v>
      </c>
      <c r="J27" s="116" t="s">
        <v>16</v>
      </c>
      <c r="K27" s="281" t="s">
        <v>972</v>
      </c>
      <c r="L27" s="266" t="s">
        <v>48</v>
      </c>
      <c r="M27" s="267">
        <v>2250052950</v>
      </c>
    </row>
    <row r="28" spans="1:13" ht="26.4" x14ac:dyDescent="0.25">
      <c r="A28" s="259"/>
      <c r="B28" s="261"/>
      <c r="C28" s="261"/>
      <c r="D28" s="73" t="s">
        <v>896</v>
      </c>
      <c r="E28" s="74">
        <v>42</v>
      </c>
      <c r="F28" s="8" t="s">
        <v>20</v>
      </c>
      <c r="G28" s="16" t="s">
        <v>20</v>
      </c>
      <c r="H28" s="16">
        <f>34800*117/100</f>
        <v>40716</v>
      </c>
      <c r="I28" s="16">
        <f t="shared" ref="I28:I29" si="2">H28</f>
        <v>40716</v>
      </c>
      <c r="J28" s="73" t="s">
        <v>16</v>
      </c>
      <c r="K28" s="282"/>
      <c r="L28" s="263"/>
      <c r="M28" s="247"/>
    </row>
    <row r="29" spans="1:13" ht="14.25" customHeight="1" x14ac:dyDescent="0.25">
      <c r="A29" s="259"/>
      <c r="B29" s="268"/>
      <c r="C29" s="268"/>
      <c r="D29" s="143" t="s">
        <v>602</v>
      </c>
      <c r="E29" s="7">
        <v>26</v>
      </c>
      <c r="F29" s="8" t="s">
        <v>20</v>
      </c>
      <c r="G29" s="16" t="s">
        <v>20</v>
      </c>
      <c r="H29" s="16">
        <f>100000*117/100</f>
        <v>117000</v>
      </c>
      <c r="I29" s="16">
        <f t="shared" si="2"/>
        <v>117000</v>
      </c>
      <c r="J29" s="194" t="s">
        <v>16</v>
      </c>
      <c r="K29" s="283"/>
      <c r="L29" s="269"/>
      <c r="M29" s="270"/>
    </row>
    <row r="30" spans="1:13" ht="14.25" customHeight="1" x14ac:dyDescent="0.25">
      <c r="A30" s="260"/>
      <c r="B30" s="248" t="s">
        <v>975</v>
      </c>
      <c r="C30" s="249"/>
      <c r="D30" s="249"/>
      <c r="E30" s="249"/>
      <c r="F30" s="249"/>
      <c r="G30" s="249"/>
      <c r="H30" s="249"/>
      <c r="I30" s="249"/>
      <c r="J30" s="249"/>
      <c r="K30" s="249"/>
      <c r="L30" s="249"/>
      <c r="M30" s="250"/>
    </row>
    <row r="31" spans="1:13" ht="15.6" x14ac:dyDescent="0.25">
      <c r="A31" s="251" t="s">
        <v>897</v>
      </c>
      <c r="B31" s="252"/>
      <c r="C31" s="252"/>
      <c r="D31" s="252"/>
      <c r="E31" s="252"/>
      <c r="F31" s="252"/>
      <c r="G31" s="252"/>
      <c r="H31" s="252"/>
      <c r="I31" s="252"/>
      <c r="J31" s="252"/>
      <c r="K31" s="252"/>
      <c r="L31" s="252"/>
      <c r="M31" s="253"/>
    </row>
    <row r="32" spans="1:13" ht="14.25" customHeight="1" x14ac:dyDescent="0.25">
      <c r="A32" s="264">
        <v>6</v>
      </c>
      <c r="B32" s="265" t="s">
        <v>979</v>
      </c>
      <c r="C32" s="265" t="s">
        <v>783</v>
      </c>
      <c r="D32" s="116" t="s">
        <v>113</v>
      </c>
      <c r="E32" s="128">
        <v>88</v>
      </c>
      <c r="F32" s="129" t="s">
        <v>20</v>
      </c>
      <c r="G32" s="129" t="s">
        <v>20</v>
      </c>
      <c r="H32" s="130">
        <f>7000*117/100</f>
        <v>8190</v>
      </c>
      <c r="I32" s="129">
        <f>H32</f>
        <v>8190</v>
      </c>
      <c r="J32" s="116" t="s">
        <v>16</v>
      </c>
      <c r="K32" s="281" t="s">
        <v>972</v>
      </c>
      <c r="L32" s="266" t="s">
        <v>48</v>
      </c>
      <c r="M32" s="267">
        <v>2250052950</v>
      </c>
    </row>
    <row r="33" spans="1:13" ht="26.4" x14ac:dyDescent="0.25">
      <c r="A33" s="259"/>
      <c r="B33" s="261"/>
      <c r="C33" s="261"/>
      <c r="D33" s="73" t="s">
        <v>896</v>
      </c>
      <c r="E33" s="74">
        <v>72</v>
      </c>
      <c r="F33" s="8" t="s">
        <v>20</v>
      </c>
      <c r="G33" s="16" t="s">
        <v>20</v>
      </c>
      <c r="H33" s="16">
        <f>8800*117/100</f>
        <v>10296</v>
      </c>
      <c r="I33" s="16">
        <f t="shared" ref="I33:I34" si="3">H33</f>
        <v>10296</v>
      </c>
      <c r="J33" s="73" t="s">
        <v>16</v>
      </c>
      <c r="K33" s="282"/>
      <c r="L33" s="263"/>
      <c r="M33" s="247"/>
    </row>
    <row r="34" spans="1:13" ht="14.25" customHeight="1" x14ac:dyDescent="0.25">
      <c r="A34" s="259"/>
      <c r="B34" s="268"/>
      <c r="C34" s="268"/>
      <c r="D34" s="143" t="s">
        <v>602</v>
      </c>
      <c r="E34" s="7">
        <v>21</v>
      </c>
      <c r="F34" s="8" t="s">
        <v>20</v>
      </c>
      <c r="G34" s="16" t="s">
        <v>20</v>
      </c>
      <c r="H34" s="16">
        <f>140000*117/100</f>
        <v>163800</v>
      </c>
      <c r="I34" s="16">
        <f t="shared" si="3"/>
        <v>163800</v>
      </c>
      <c r="J34" s="194" t="s">
        <v>16</v>
      </c>
      <c r="K34" s="283"/>
      <c r="L34" s="269"/>
      <c r="M34" s="270"/>
    </row>
    <row r="35" spans="1:13" ht="14.25" customHeight="1" x14ac:dyDescent="0.25">
      <c r="A35" s="260"/>
      <c r="B35" s="248" t="s">
        <v>975</v>
      </c>
      <c r="C35" s="249"/>
      <c r="D35" s="249"/>
      <c r="E35" s="249"/>
      <c r="F35" s="249"/>
      <c r="G35" s="249"/>
      <c r="H35" s="249"/>
      <c r="I35" s="249"/>
      <c r="J35" s="249"/>
      <c r="K35" s="249"/>
      <c r="L35" s="249"/>
      <c r="M35" s="250"/>
    </row>
    <row r="36" spans="1:13" ht="15.6" x14ac:dyDescent="0.25">
      <c r="A36" s="251" t="s">
        <v>899</v>
      </c>
      <c r="B36" s="252"/>
      <c r="C36" s="252"/>
      <c r="D36" s="252"/>
      <c r="E36" s="252"/>
      <c r="F36" s="252"/>
      <c r="G36" s="252"/>
      <c r="H36" s="252"/>
      <c r="I36" s="252"/>
      <c r="J36" s="252"/>
      <c r="K36" s="252"/>
      <c r="L36" s="252"/>
      <c r="M36" s="253"/>
    </row>
    <row r="37" spans="1:13" ht="14.25" customHeight="1" x14ac:dyDescent="0.25">
      <c r="A37" s="264">
        <v>7</v>
      </c>
      <c r="B37" s="265" t="s">
        <v>900</v>
      </c>
      <c r="C37" s="265" t="s">
        <v>783</v>
      </c>
      <c r="D37" s="116" t="s">
        <v>113</v>
      </c>
      <c r="E37" s="128">
        <v>88</v>
      </c>
      <c r="F37" s="129" t="s">
        <v>20</v>
      </c>
      <c r="G37" s="129" t="s">
        <v>20</v>
      </c>
      <c r="H37" s="130">
        <f>18000*117/100</f>
        <v>21060</v>
      </c>
      <c r="I37" s="129">
        <f>H37</f>
        <v>21060</v>
      </c>
      <c r="J37" s="116" t="s">
        <v>16</v>
      </c>
      <c r="K37" s="281" t="s">
        <v>972</v>
      </c>
      <c r="L37" s="266" t="s">
        <v>48</v>
      </c>
      <c r="M37" s="267" t="s">
        <v>898</v>
      </c>
    </row>
    <row r="38" spans="1:13" ht="26.4" x14ac:dyDescent="0.25">
      <c r="A38" s="259"/>
      <c r="B38" s="261"/>
      <c r="C38" s="261"/>
      <c r="D38" s="73" t="s">
        <v>896</v>
      </c>
      <c r="E38" s="74">
        <v>73</v>
      </c>
      <c r="F38" s="8" t="s">
        <v>20</v>
      </c>
      <c r="G38" s="16" t="s">
        <v>20</v>
      </c>
      <c r="H38" s="16">
        <f>22800*117/100</f>
        <v>26676</v>
      </c>
      <c r="I38" s="16">
        <f t="shared" ref="I38:I39" si="4">H38</f>
        <v>26676</v>
      </c>
      <c r="J38" s="73" t="s">
        <v>16</v>
      </c>
      <c r="K38" s="282"/>
      <c r="L38" s="263"/>
      <c r="M38" s="247"/>
    </row>
    <row r="39" spans="1:13" ht="14.25" customHeight="1" x14ac:dyDescent="0.25">
      <c r="A39" s="259"/>
      <c r="B39" s="268"/>
      <c r="C39" s="268"/>
      <c r="D39" s="143" t="s">
        <v>602</v>
      </c>
      <c r="E39" s="7">
        <v>28</v>
      </c>
      <c r="F39" s="8" t="s">
        <v>20</v>
      </c>
      <c r="G39" s="16" t="s">
        <v>20</v>
      </c>
      <c r="H39" s="16">
        <f>120000*117/100</f>
        <v>140400</v>
      </c>
      <c r="I39" s="16">
        <f t="shared" si="4"/>
        <v>140400</v>
      </c>
      <c r="J39" s="194" t="s">
        <v>16</v>
      </c>
      <c r="K39" s="283"/>
      <c r="L39" s="269"/>
      <c r="M39" s="270"/>
    </row>
    <row r="40" spans="1:13" ht="14.25" customHeight="1" x14ac:dyDescent="0.25">
      <c r="A40" s="260"/>
      <c r="B40" s="248" t="s">
        <v>975</v>
      </c>
      <c r="C40" s="249"/>
      <c r="D40" s="249"/>
      <c r="E40" s="249"/>
      <c r="F40" s="249"/>
      <c r="G40" s="249"/>
      <c r="H40" s="249"/>
      <c r="I40" s="249"/>
      <c r="J40" s="249"/>
      <c r="K40" s="249"/>
      <c r="L40" s="249"/>
      <c r="M40" s="250"/>
    </row>
    <row r="41" spans="1:13" ht="15.6" x14ac:dyDescent="0.25">
      <c r="A41" s="251" t="s">
        <v>901</v>
      </c>
      <c r="B41" s="252"/>
      <c r="C41" s="252"/>
      <c r="D41" s="252"/>
      <c r="E41" s="252"/>
      <c r="F41" s="252"/>
      <c r="G41" s="252"/>
      <c r="H41" s="252"/>
      <c r="I41" s="252"/>
      <c r="J41" s="252"/>
      <c r="K41" s="252"/>
      <c r="L41" s="252"/>
      <c r="M41" s="253"/>
    </row>
    <row r="42" spans="1:13" ht="14.25" customHeight="1" x14ac:dyDescent="0.25">
      <c r="A42" s="264">
        <v>8</v>
      </c>
      <c r="B42" s="265" t="s">
        <v>902</v>
      </c>
      <c r="C42" s="278" t="s">
        <v>903</v>
      </c>
      <c r="D42" s="17" t="s">
        <v>904</v>
      </c>
      <c r="E42" s="18">
        <v>100</v>
      </c>
      <c r="F42" s="19" t="s">
        <v>20</v>
      </c>
      <c r="G42" s="24" t="s">
        <v>20</v>
      </c>
      <c r="H42" s="24">
        <f>72200*117/100</f>
        <v>84474</v>
      </c>
      <c r="I42" s="24">
        <f>H42</f>
        <v>84474</v>
      </c>
      <c r="J42" s="17" t="s">
        <v>16</v>
      </c>
      <c r="K42" s="271" t="s">
        <v>45</v>
      </c>
      <c r="L42" s="266" t="s">
        <v>48</v>
      </c>
      <c r="M42" s="267">
        <v>2130102761</v>
      </c>
    </row>
    <row r="43" spans="1:13" ht="26.4" x14ac:dyDescent="0.25">
      <c r="A43" s="259"/>
      <c r="B43" s="261"/>
      <c r="C43" s="279"/>
      <c r="D43" s="143" t="s">
        <v>946</v>
      </c>
      <c r="E43" s="7">
        <v>84</v>
      </c>
      <c r="F43" s="8" t="s">
        <v>20</v>
      </c>
      <c r="G43" s="16" t="s">
        <v>20</v>
      </c>
      <c r="H43" s="16">
        <f>101560*117/100</f>
        <v>118825.2</v>
      </c>
      <c r="I43" s="16">
        <f>H43</f>
        <v>118825.2</v>
      </c>
      <c r="J43" s="194" t="s">
        <v>16</v>
      </c>
      <c r="K43" s="262"/>
      <c r="L43" s="263"/>
      <c r="M43" s="247"/>
    </row>
    <row r="44" spans="1:13" ht="14.25" customHeight="1" x14ac:dyDescent="0.25">
      <c r="A44" s="259"/>
      <c r="B44" s="268"/>
      <c r="C44" s="280"/>
      <c r="D44" s="73" t="s">
        <v>905</v>
      </c>
      <c r="E44" s="74">
        <v>74</v>
      </c>
      <c r="F44" s="8" t="s">
        <v>20</v>
      </c>
      <c r="G44" s="16" t="s">
        <v>20</v>
      </c>
      <c r="H44" s="16">
        <f>110700*117/100</f>
        <v>129519</v>
      </c>
      <c r="I44" s="16">
        <f t="shared" ref="I44" si="5">H44</f>
        <v>129519</v>
      </c>
      <c r="J44" s="73" t="s">
        <v>16</v>
      </c>
      <c r="K44" s="272"/>
      <c r="L44" s="269"/>
      <c r="M44" s="270"/>
    </row>
    <row r="45" spans="1:13" ht="14.25" customHeight="1" x14ac:dyDescent="0.25">
      <c r="A45" s="260"/>
      <c r="B45" s="248"/>
      <c r="C45" s="249"/>
      <c r="D45" s="249"/>
      <c r="E45" s="249"/>
      <c r="F45" s="249"/>
      <c r="G45" s="249"/>
      <c r="H45" s="249"/>
      <c r="I45" s="249"/>
      <c r="J45" s="249"/>
      <c r="K45" s="249"/>
      <c r="L45" s="249"/>
      <c r="M45" s="250"/>
    </row>
    <row r="46" spans="1:13" ht="15.6" x14ac:dyDescent="0.25">
      <c r="A46" s="251" t="s">
        <v>906</v>
      </c>
      <c r="B46" s="252"/>
      <c r="C46" s="252"/>
      <c r="D46" s="252"/>
      <c r="E46" s="252"/>
      <c r="F46" s="252"/>
      <c r="G46" s="252"/>
      <c r="H46" s="252"/>
      <c r="I46" s="252"/>
      <c r="J46" s="252"/>
      <c r="K46" s="252"/>
      <c r="L46" s="252"/>
      <c r="M46" s="253"/>
    </row>
    <row r="47" spans="1:13" ht="25.5" customHeight="1" x14ac:dyDescent="0.25">
      <c r="A47" s="264">
        <v>9</v>
      </c>
      <c r="B47" s="265" t="s">
        <v>908</v>
      </c>
      <c r="C47" s="278" t="s">
        <v>907</v>
      </c>
      <c r="D47" s="17" t="s">
        <v>909</v>
      </c>
      <c r="E47" s="18">
        <v>100</v>
      </c>
      <c r="F47" s="19" t="s">
        <v>910</v>
      </c>
      <c r="G47" s="24" t="s">
        <v>911</v>
      </c>
      <c r="H47" s="24">
        <f>300*117/100</f>
        <v>351</v>
      </c>
      <c r="I47" s="24">
        <f>H47*150</f>
        <v>52650</v>
      </c>
      <c r="J47" s="17" t="s">
        <v>16</v>
      </c>
      <c r="K47" s="271" t="s">
        <v>45</v>
      </c>
      <c r="L47" s="266" t="s">
        <v>48</v>
      </c>
      <c r="M47" s="267" t="s">
        <v>229</v>
      </c>
    </row>
    <row r="48" spans="1:13" ht="26.4" x14ac:dyDescent="0.25">
      <c r="A48" s="259"/>
      <c r="B48" s="261"/>
      <c r="C48" s="279"/>
      <c r="D48" s="73" t="s">
        <v>912</v>
      </c>
      <c r="E48" s="74">
        <v>60</v>
      </c>
      <c r="F48" s="197" t="s">
        <v>910</v>
      </c>
      <c r="G48" s="16" t="s">
        <v>911</v>
      </c>
      <c r="H48" s="16">
        <f>700*117/100</f>
        <v>819</v>
      </c>
      <c r="I48" s="16">
        <f t="shared" ref="I48:I49" si="6">H48*150</f>
        <v>122850</v>
      </c>
      <c r="J48" s="73" t="s">
        <v>16</v>
      </c>
      <c r="K48" s="262"/>
      <c r="L48" s="263"/>
      <c r="M48" s="247"/>
    </row>
    <row r="49" spans="1:13" ht="26.4" x14ac:dyDescent="0.25">
      <c r="A49" s="259"/>
      <c r="B49" s="268"/>
      <c r="C49" s="280"/>
      <c r="D49" s="143" t="s">
        <v>913</v>
      </c>
      <c r="E49" s="196">
        <v>51</v>
      </c>
      <c r="F49" s="197" t="s">
        <v>910</v>
      </c>
      <c r="G49" s="16" t="s">
        <v>911</v>
      </c>
      <c r="H49" s="16">
        <f>1000*117/100</f>
        <v>1170</v>
      </c>
      <c r="I49" s="16">
        <f t="shared" si="6"/>
        <v>175500</v>
      </c>
      <c r="J49" s="195" t="s">
        <v>16</v>
      </c>
      <c r="K49" s="272"/>
      <c r="L49" s="269"/>
      <c r="M49" s="270"/>
    </row>
    <row r="50" spans="1:13" ht="14.25" customHeight="1" x14ac:dyDescent="0.25">
      <c r="A50" s="260"/>
      <c r="B50" s="248" t="s">
        <v>977</v>
      </c>
      <c r="C50" s="249"/>
      <c r="D50" s="249"/>
      <c r="E50" s="249"/>
      <c r="F50" s="249"/>
      <c r="G50" s="249"/>
      <c r="H50" s="249"/>
      <c r="I50" s="249"/>
      <c r="J50" s="249"/>
      <c r="K50" s="249"/>
      <c r="L50" s="249"/>
      <c r="M50" s="250"/>
    </row>
    <row r="51" spans="1:13" ht="15.6" x14ac:dyDescent="0.25">
      <c r="A51" s="251" t="s">
        <v>916</v>
      </c>
      <c r="B51" s="252"/>
      <c r="C51" s="252"/>
      <c r="D51" s="252"/>
      <c r="E51" s="252"/>
      <c r="F51" s="252"/>
      <c r="G51" s="252"/>
      <c r="H51" s="252"/>
      <c r="I51" s="252"/>
      <c r="J51" s="252"/>
      <c r="K51" s="252"/>
      <c r="L51" s="252"/>
      <c r="M51" s="253"/>
    </row>
    <row r="52" spans="1:13" ht="78" x14ac:dyDescent="0.25">
      <c r="A52" s="264">
        <v>10</v>
      </c>
      <c r="B52" s="198" t="s">
        <v>917</v>
      </c>
      <c r="C52" s="199" t="s">
        <v>35</v>
      </c>
      <c r="D52" s="22" t="s">
        <v>43</v>
      </c>
      <c r="E52" s="23">
        <v>100</v>
      </c>
      <c r="F52" s="24" t="s">
        <v>15</v>
      </c>
      <c r="G52" s="24" t="s">
        <v>918</v>
      </c>
      <c r="H52" s="24">
        <f>200*117/100</f>
        <v>234</v>
      </c>
      <c r="I52" s="24">
        <f>H52*100*12</f>
        <v>280800</v>
      </c>
      <c r="J52" s="22" t="s">
        <v>16</v>
      </c>
      <c r="K52" s="207" t="s">
        <v>974</v>
      </c>
      <c r="L52" s="200" t="s">
        <v>48</v>
      </c>
      <c r="M52" s="201">
        <v>1732000750</v>
      </c>
    </row>
    <row r="53" spans="1:13" ht="14.25" customHeight="1" x14ac:dyDescent="0.25">
      <c r="A53" s="260"/>
      <c r="B53" s="248" t="s">
        <v>919</v>
      </c>
      <c r="C53" s="249"/>
      <c r="D53" s="249"/>
      <c r="E53" s="249"/>
      <c r="F53" s="249"/>
      <c r="G53" s="249"/>
      <c r="H53" s="249"/>
      <c r="I53" s="249"/>
      <c r="J53" s="249"/>
      <c r="K53" s="249"/>
      <c r="L53" s="249"/>
      <c r="M53" s="250"/>
    </row>
    <row r="54" spans="1:13" ht="15.6" x14ac:dyDescent="0.25">
      <c r="A54" s="251" t="s">
        <v>920</v>
      </c>
      <c r="B54" s="252"/>
      <c r="C54" s="252"/>
      <c r="D54" s="252"/>
      <c r="E54" s="252"/>
      <c r="F54" s="252"/>
      <c r="G54" s="252"/>
      <c r="H54" s="252"/>
      <c r="I54" s="252"/>
      <c r="J54" s="252"/>
      <c r="K54" s="252"/>
      <c r="L54" s="252"/>
      <c r="M54" s="253"/>
    </row>
    <row r="55" spans="1:13" ht="14.25" customHeight="1" x14ac:dyDescent="0.25">
      <c r="A55" s="264">
        <v>11</v>
      </c>
      <c r="B55" s="265" t="s">
        <v>921</v>
      </c>
      <c r="C55" s="265" t="s">
        <v>840</v>
      </c>
      <c r="D55" s="17" t="s">
        <v>922</v>
      </c>
      <c r="E55" s="18">
        <v>94</v>
      </c>
      <c r="F55" s="19" t="s">
        <v>20</v>
      </c>
      <c r="G55" s="24" t="s">
        <v>20</v>
      </c>
      <c r="H55" s="24">
        <f>17500*117/100</f>
        <v>20475</v>
      </c>
      <c r="I55" s="24">
        <f>H55</f>
        <v>20475</v>
      </c>
      <c r="J55" s="17" t="s">
        <v>16</v>
      </c>
      <c r="K55" s="271" t="s">
        <v>45</v>
      </c>
      <c r="L55" s="266" t="s">
        <v>48</v>
      </c>
      <c r="M55" s="267" t="s">
        <v>952</v>
      </c>
    </row>
    <row r="56" spans="1:13" ht="26.4" x14ac:dyDescent="0.25">
      <c r="A56" s="259"/>
      <c r="B56" s="261"/>
      <c r="C56" s="261"/>
      <c r="D56" s="73" t="s">
        <v>923</v>
      </c>
      <c r="E56" s="74">
        <v>76</v>
      </c>
      <c r="F56" s="16" t="s">
        <v>20</v>
      </c>
      <c r="G56" s="16" t="s">
        <v>20</v>
      </c>
      <c r="H56" s="16">
        <f>21000*117/100</f>
        <v>24570</v>
      </c>
      <c r="I56" s="16">
        <f>H56</f>
        <v>24570</v>
      </c>
      <c r="J56" s="73" t="s">
        <v>16</v>
      </c>
      <c r="K56" s="262"/>
      <c r="L56" s="263"/>
      <c r="M56" s="247"/>
    </row>
    <row r="57" spans="1:13" ht="26.4" x14ac:dyDescent="0.25">
      <c r="A57" s="259"/>
      <c r="B57" s="261"/>
      <c r="C57" s="261"/>
      <c r="D57" s="80" t="s">
        <v>924</v>
      </c>
      <c r="E57" s="81">
        <v>76</v>
      </c>
      <c r="F57" s="16" t="s">
        <v>20</v>
      </c>
      <c r="G57" s="16" t="s">
        <v>20</v>
      </c>
      <c r="H57" s="16">
        <f>26400*117/100</f>
        <v>30888</v>
      </c>
      <c r="I57" s="16">
        <f t="shared" ref="I57:I58" si="7">H57</f>
        <v>30888</v>
      </c>
      <c r="J57" s="202" t="s">
        <v>16</v>
      </c>
      <c r="K57" s="262"/>
      <c r="L57" s="263"/>
      <c r="M57" s="247"/>
    </row>
    <row r="58" spans="1:13" ht="14.25" customHeight="1" x14ac:dyDescent="0.25">
      <c r="A58" s="259"/>
      <c r="B58" s="268"/>
      <c r="C58" s="268"/>
      <c r="D58" s="80" t="s">
        <v>925</v>
      </c>
      <c r="E58" s="81">
        <v>59</v>
      </c>
      <c r="F58" s="16" t="s">
        <v>20</v>
      </c>
      <c r="G58" s="16" t="s">
        <v>20</v>
      </c>
      <c r="H58" s="16">
        <f>40400*117/100</f>
        <v>47268</v>
      </c>
      <c r="I58" s="16">
        <f t="shared" si="7"/>
        <v>47268</v>
      </c>
      <c r="J58" s="202" t="s">
        <v>16</v>
      </c>
      <c r="K58" s="272"/>
      <c r="L58" s="269"/>
      <c r="M58" s="270"/>
    </row>
    <row r="59" spans="1:13" ht="14.25" customHeight="1" x14ac:dyDescent="0.25">
      <c r="A59" s="260"/>
      <c r="B59" s="248" t="s">
        <v>976</v>
      </c>
      <c r="C59" s="249"/>
      <c r="D59" s="249"/>
      <c r="E59" s="249"/>
      <c r="F59" s="249"/>
      <c r="G59" s="249"/>
      <c r="H59" s="249"/>
      <c r="I59" s="249"/>
      <c r="J59" s="249"/>
      <c r="K59" s="249"/>
      <c r="L59" s="249"/>
      <c r="M59" s="250"/>
    </row>
    <row r="60" spans="1:13" ht="15.6" x14ac:dyDescent="0.25">
      <c r="A60" s="251" t="s">
        <v>926</v>
      </c>
      <c r="B60" s="252"/>
      <c r="C60" s="252"/>
      <c r="D60" s="252"/>
      <c r="E60" s="252"/>
      <c r="F60" s="252"/>
      <c r="G60" s="252"/>
      <c r="H60" s="252"/>
      <c r="I60" s="252"/>
      <c r="J60" s="252"/>
      <c r="K60" s="252"/>
      <c r="L60" s="252"/>
      <c r="M60" s="253"/>
    </row>
    <row r="61" spans="1:13" ht="14.25" customHeight="1" x14ac:dyDescent="0.25">
      <c r="A61" s="264">
        <v>12</v>
      </c>
      <c r="B61" s="265" t="s">
        <v>927</v>
      </c>
      <c r="C61" s="265" t="s">
        <v>840</v>
      </c>
      <c r="D61" s="17" t="s">
        <v>922</v>
      </c>
      <c r="E61" s="18">
        <v>94</v>
      </c>
      <c r="F61" s="19" t="s">
        <v>20</v>
      </c>
      <c r="G61" s="24" t="s">
        <v>20</v>
      </c>
      <c r="H61" s="24">
        <f>3900*117/100</f>
        <v>4563</v>
      </c>
      <c r="I61" s="24">
        <f>H61</f>
        <v>4563</v>
      </c>
      <c r="J61" s="17" t="s">
        <v>16</v>
      </c>
      <c r="K61" s="271" t="s">
        <v>45</v>
      </c>
      <c r="L61" s="266" t="s">
        <v>48</v>
      </c>
      <c r="M61" s="267" t="s">
        <v>952</v>
      </c>
    </row>
    <row r="62" spans="1:13" ht="26.4" x14ac:dyDescent="0.25">
      <c r="A62" s="259"/>
      <c r="B62" s="261"/>
      <c r="C62" s="261"/>
      <c r="D62" s="73" t="s">
        <v>923</v>
      </c>
      <c r="E62" s="74">
        <v>63</v>
      </c>
      <c r="F62" s="16" t="s">
        <v>20</v>
      </c>
      <c r="G62" s="16" t="s">
        <v>20</v>
      </c>
      <c r="H62" s="16">
        <f>6000*117/100</f>
        <v>7020</v>
      </c>
      <c r="I62" s="16">
        <f>H62</f>
        <v>7020</v>
      </c>
      <c r="J62" s="73" t="s">
        <v>16</v>
      </c>
      <c r="K62" s="262"/>
      <c r="L62" s="263"/>
      <c r="M62" s="247"/>
    </row>
    <row r="63" spans="1:13" ht="26.4" x14ac:dyDescent="0.25">
      <c r="A63" s="259"/>
      <c r="B63" s="268"/>
      <c r="C63" s="268"/>
      <c r="D63" s="80" t="s">
        <v>924</v>
      </c>
      <c r="E63" s="81">
        <v>64</v>
      </c>
      <c r="F63" s="16" t="s">
        <v>20</v>
      </c>
      <c r="G63" s="16" t="s">
        <v>20</v>
      </c>
      <c r="H63" s="16">
        <f>8000*117/100</f>
        <v>9360</v>
      </c>
      <c r="I63" s="16">
        <f t="shared" ref="I63" si="8">H63</f>
        <v>9360</v>
      </c>
      <c r="J63" s="202" t="s">
        <v>16</v>
      </c>
      <c r="K63" s="272"/>
      <c r="L63" s="269"/>
      <c r="M63" s="270"/>
    </row>
    <row r="64" spans="1:13" ht="14.25" customHeight="1" x14ac:dyDescent="0.25">
      <c r="A64" s="260"/>
      <c r="B64" s="248" t="s">
        <v>976</v>
      </c>
      <c r="C64" s="249"/>
      <c r="D64" s="249"/>
      <c r="E64" s="249"/>
      <c r="F64" s="249"/>
      <c r="G64" s="249"/>
      <c r="H64" s="249"/>
      <c r="I64" s="249"/>
      <c r="J64" s="249"/>
      <c r="K64" s="249"/>
      <c r="L64" s="249"/>
      <c r="M64" s="250"/>
    </row>
    <row r="65" spans="1:13" ht="15.6" x14ac:dyDescent="0.25">
      <c r="A65" s="251" t="s">
        <v>928</v>
      </c>
      <c r="B65" s="252"/>
      <c r="C65" s="252"/>
      <c r="D65" s="252"/>
      <c r="E65" s="252"/>
      <c r="F65" s="252"/>
      <c r="G65" s="252"/>
      <c r="H65" s="252"/>
      <c r="I65" s="252"/>
      <c r="J65" s="252"/>
      <c r="K65" s="252"/>
      <c r="L65" s="252"/>
      <c r="M65" s="253"/>
    </row>
    <row r="66" spans="1:13" ht="14.25" customHeight="1" x14ac:dyDescent="0.25">
      <c r="A66" s="264">
        <v>13</v>
      </c>
      <c r="B66" s="265" t="s">
        <v>929</v>
      </c>
      <c r="C66" s="265" t="s">
        <v>840</v>
      </c>
      <c r="D66" s="17" t="s">
        <v>922</v>
      </c>
      <c r="E66" s="18">
        <v>94</v>
      </c>
      <c r="F66" s="19" t="s">
        <v>20</v>
      </c>
      <c r="G66" s="24" t="s">
        <v>20</v>
      </c>
      <c r="H66" s="24">
        <f>3500*117/100</f>
        <v>4095</v>
      </c>
      <c r="I66" s="24">
        <f>H66</f>
        <v>4095</v>
      </c>
      <c r="J66" s="17" t="s">
        <v>16</v>
      </c>
      <c r="K66" s="271" t="s">
        <v>45</v>
      </c>
      <c r="L66" s="266" t="s">
        <v>48</v>
      </c>
      <c r="M66" s="267" t="s">
        <v>952</v>
      </c>
    </row>
    <row r="67" spans="1:13" ht="26.4" x14ac:dyDescent="0.25">
      <c r="A67" s="259"/>
      <c r="B67" s="261"/>
      <c r="C67" s="261"/>
      <c r="D67" s="73" t="s">
        <v>923</v>
      </c>
      <c r="E67" s="74">
        <v>82</v>
      </c>
      <c r="F67" s="16" t="s">
        <v>20</v>
      </c>
      <c r="G67" s="16" t="s">
        <v>20</v>
      </c>
      <c r="H67" s="16">
        <f>3800*117/100</f>
        <v>4446</v>
      </c>
      <c r="I67" s="16">
        <f>H67</f>
        <v>4446</v>
      </c>
      <c r="J67" s="73" t="s">
        <v>16</v>
      </c>
      <c r="K67" s="262"/>
      <c r="L67" s="263"/>
      <c r="M67" s="247"/>
    </row>
    <row r="68" spans="1:13" ht="26.4" x14ac:dyDescent="0.25">
      <c r="A68" s="259"/>
      <c r="B68" s="268"/>
      <c r="C68" s="268"/>
      <c r="D68" s="80" t="s">
        <v>924</v>
      </c>
      <c r="E68" s="81">
        <v>81</v>
      </c>
      <c r="F68" s="16" t="s">
        <v>20</v>
      </c>
      <c r="G68" s="16" t="s">
        <v>20</v>
      </c>
      <c r="H68" s="16">
        <f>4800*117/100</f>
        <v>5616</v>
      </c>
      <c r="I68" s="16">
        <f t="shared" ref="I68" si="9">H68</f>
        <v>5616</v>
      </c>
      <c r="J68" s="202" t="s">
        <v>16</v>
      </c>
      <c r="K68" s="272"/>
      <c r="L68" s="269"/>
      <c r="M68" s="270"/>
    </row>
    <row r="69" spans="1:13" ht="14.25" customHeight="1" x14ac:dyDescent="0.25">
      <c r="A69" s="260"/>
      <c r="B69" s="248" t="s">
        <v>976</v>
      </c>
      <c r="C69" s="249"/>
      <c r="D69" s="249"/>
      <c r="E69" s="249"/>
      <c r="F69" s="249"/>
      <c r="G69" s="249"/>
      <c r="H69" s="249"/>
      <c r="I69" s="249"/>
      <c r="J69" s="249"/>
      <c r="K69" s="249"/>
      <c r="L69" s="249"/>
      <c r="M69" s="250"/>
    </row>
    <row r="70" spans="1:13" ht="15.6" x14ac:dyDescent="0.25">
      <c r="A70" s="251" t="s">
        <v>930</v>
      </c>
      <c r="B70" s="252"/>
      <c r="C70" s="252"/>
      <c r="D70" s="252"/>
      <c r="E70" s="252"/>
      <c r="F70" s="252"/>
      <c r="G70" s="252"/>
      <c r="H70" s="252"/>
      <c r="I70" s="252"/>
      <c r="J70" s="252"/>
      <c r="K70" s="252"/>
      <c r="L70" s="252"/>
      <c r="M70" s="253"/>
    </row>
    <row r="71" spans="1:13" ht="14.25" customHeight="1" x14ac:dyDescent="0.25">
      <c r="A71" s="264">
        <v>14</v>
      </c>
      <c r="B71" s="265" t="s">
        <v>931</v>
      </c>
      <c r="C71" s="265" t="s">
        <v>840</v>
      </c>
      <c r="D71" s="17" t="s">
        <v>922</v>
      </c>
      <c r="E71" s="18">
        <v>94</v>
      </c>
      <c r="F71" s="19" t="s">
        <v>20</v>
      </c>
      <c r="G71" s="24" t="s">
        <v>20</v>
      </c>
      <c r="H71" s="24">
        <f>3900*117/100</f>
        <v>4563</v>
      </c>
      <c r="I71" s="24">
        <f>H71</f>
        <v>4563</v>
      </c>
      <c r="J71" s="17" t="s">
        <v>16</v>
      </c>
      <c r="K71" s="271" t="s">
        <v>45</v>
      </c>
      <c r="L71" s="266" t="s">
        <v>48</v>
      </c>
      <c r="M71" s="267" t="s">
        <v>950</v>
      </c>
    </row>
    <row r="72" spans="1:13" ht="26.4" x14ac:dyDescent="0.25">
      <c r="A72" s="259"/>
      <c r="B72" s="261"/>
      <c r="C72" s="261"/>
      <c r="D72" s="80" t="s">
        <v>924</v>
      </c>
      <c r="E72" s="74">
        <v>92</v>
      </c>
      <c r="F72" s="16" t="s">
        <v>20</v>
      </c>
      <c r="G72" s="16" t="s">
        <v>20</v>
      </c>
      <c r="H72" s="16">
        <f>4400*117/100</f>
        <v>5148</v>
      </c>
      <c r="I72" s="16">
        <f>H72</f>
        <v>5148</v>
      </c>
      <c r="J72" s="73" t="s">
        <v>16</v>
      </c>
      <c r="K72" s="262"/>
      <c r="L72" s="263"/>
      <c r="M72" s="247"/>
    </row>
    <row r="73" spans="1:13" ht="26.4" x14ac:dyDescent="0.25">
      <c r="A73" s="259"/>
      <c r="B73" s="268"/>
      <c r="C73" s="268"/>
      <c r="D73" s="73" t="s">
        <v>923</v>
      </c>
      <c r="E73" s="81">
        <v>63</v>
      </c>
      <c r="F73" s="16" t="s">
        <v>20</v>
      </c>
      <c r="G73" s="16" t="s">
        <v>20</v>
      </c>
      <c r="H73" s="16">
        <f>6000*117/100</f>
        <v>7020</v>
      </c>
      <c r="I73" s="16">
        <f t="shared" ref="I73" si="10">H73</f>
        <v>7020</v>
      </c>
      <c r="J73" s="202" t="s">
        <v>16</v>
      </c>
      <c r="K73" s="272"/>
      <c r="L73" s="269"/>
      <c r="M73" s="270"/>
    </row>
    <row r="74" spans="1:13" ht="14.25" customHeight="1" x14ac:dyDescent="0.25">
      <c r="A74" s="260"/>
      <c r="B74" s="248" t="s">
        <v>976</v>
      </c>
      <c r="C74" s="249"/>
      <c r="D74" s="249"/>
      <c r="E74" s="249"/>
      <c r="F74" s="249"/>
      <c r="G74" s="249"/>
      <c r="H74" s="249"/>
      <c r="I74" s="249"/>
      <c r="J74" s="249"/>
      <c r="K74" s="249"/>
      <c r="L74" s="249"/>
      <c r="M74" s="250"/>
    </row>
    <row r="75" spans="1:13" ht="15.6" x14ac:dyDescent="0.25">
      <c r="A75" s="251" t="s">
        <v>932</v>
      </c>
      <c r="B75" s="252"/>
      <c r="C75" s="252"/>
      <c r="D75" s="252"/>
      <c r="E75" s="252"/>
      <c r="F75" s="252"/>
      <c r="G75" s="252"/>
      <c r="H75" s="252"/>
      <c r="I75" s="252"/>
      <c r="J75" s="252"/>
      <c r="K75" s="252"/>
      <c r="L75" s="252"/>
      <c r="M75" s="253"/>
    </row>
    <row r="76" spans="1:13" ht="25.5" customHeight="1" x14ac:dyDescent="0.25">
      <c r="A76" s="264">
        <v>15</v>
      </c>
      <c r="B76" s="265" t="s">
        <v>933</v>
      </c>
      <c r="C76" s="265" t="s">
        <v>934</v>
      </c>
      <c r="D76" s="17" t="s">
        <v>935</v>
      </c>
      <c r="E76" s="18">
        <v>100</v>
      </c>
      <c r="F76" s="19" t="s">
        <v>15</v>
      </c>
      <c r="G76" s="206" t="s">
        <v>936</v>
      </c>
      <c r="H76" s="24">
        <f>150</f>
        <v>150</v>
      </c>
      <c r="I76" s="24">
        <f>H76*12*4*10</f>
        <v>72000</v>
      </c>
      <c r="J76" s="17" t="s">
        <v>16</v>
      </c>
      <c r="K76" s="271" t="s">
        <v>45</v>
      </c>
      <c r="L76" s="266" t="s">
        <v>48</v>
      </c>
      <c r="M76" s="267">
        <v>1812200750</v>
      </c>
    </row>
    <row r="77" spans="1:13" ht="22.8" x14ac:dyDescent="0.25">
      <c r="A77" s="259"/>
      <c r="B77" s="261"/>
      <c r="C77" s="261"/>
      <c r="D77" s="73" t="s">
        <v>937</v>
      </c>
      <c r="E77" s="74">
        <v>96</v>
      </c>
      <c r="F77" s="16" t="s">
        <v>15</v>
      </c>
      <c r="G77" s="203" t="s">
        <v>936</v>
      </c>
      <c r="H77" s="16">
        <f>160</f>
        <v>160</v>
      </c>
      <c r="I77" s="16">
        <f t="shared" ref="I77:I79" si="11">H77*12*4*10</f>
        <v>76800</v>
      </c>
      <c r="J77" s="73" t="s">
        <v>16</v>
      </c>
      <c r="K77" s="262"/>
      <c r="L77" s="263"/>
      <c r="M77" s="247"/>
    </row>
    <row r="78" spans="1:13" ht="22.8" x14ac:dyDescent="0.25">
      <c r="A78" s="259"/>
      <c r="B78" s="261"/>
      <c r="C78" s="261"/>
      <c r="D78" s="80" t="s">
        <v>938</v>
      </c>
      <c r="E78" s="81">
        <v>96</v>
      </c>
      <c r="F78" s="8" t="s">
        <v>15</v>
      </c>
      <c r="G78" s="203" t="s">
        <v>936</v>
      </c>
      <c r="H78" s="16">
        <f>160</f>
        <v>160</v>
      </c>
      <c r="I78" s="16">
        <f t="shared" si="11"/>
        <v>76800</v>
      </c>
      <c r="J78" s="202" t="s">
        <v>16</v>
      </c>
      <c r="K78" s="262"/>
      <c r="L78" s="263"/>
      <c r="M78" s="247"/>
    </row>
    <row r="79" spans="1:13" ht="22.8" x14ac:dyDescent="0.25">
      <c r="A79" s="259"/>
      <c r="B79" s="268"/>
      <c r="C79" s="268"/>
      <c r="D79" s="80" t="s">
        <v>939</v>
      </c>
      <c r="E79" s="81">
        <v>94</v>
      </c>
      <c r="F79" s="8" t="s">
        <v>15</v>
      </c>
      <c r="G79" s="203" t="s">
        <v>936</v>
      </c>
      <c r="H79" s="16">
        <f>150</f>
        <v>150</v>
      </c>
      <c r="I79" s="16">
        <f t="shared" si="11"/>
        <v>72000</v>
      </c>
      <c r="J79" s="202" t="s">
        <v>16</v>
      </c>
      <c r="K79" s="272"/>
      <c r="L79" s="269"/>
      <c r="M79" s="270"/>
    </row>
    <row r="80" spans="1:13" ht="14.25" customHeight="1" x14ac:dyDescent="0.25">
      <c r="A80" s="260"/>
      <c r="B80" s="248"/>
      <c r="C80" s="249"/>
      <c r="D80" s="249"/>
      <c r="E80" s="249"/>
      <c r="F80" s="249"/>
      <c r="G80" s="249"/>
      <c r="H80" s="249"/>
      <c r="I80" s="249"/>
      <c r="J80" s="249"/>
      <c r="K80" s="249"/>
      <c r="L80" s="249"/>
      <c r="M80" s="250"/>
    </row>
    <row r="81" spans="1:13" ht="15.6" x14ac:dyDescent="0.25">
      <c r="A81" s="251" t="s">
        <v>940</v>
      </c>
      <c r="B81" s="252"/>
      <c r="C81" s="252"/>
      <c r="D81" s="252"/>
      <c r="E81" s="252"/>
      <c r="F81" s="252"/>
      <c r="G81" s="252"/>
      <c r="H81" s="252"/>
      <c r="I81" s="252"/>
      <c r="J81" s="252"/>
      <c r="K81" s="252"/>
      <c r="L81" s="252"/>
      <c r="M81" s="253"/>
    </row>
    <row r="82" spans="1:13" ht="25.5" customHeight="1" x14ac:dyDescent="0.25">
      <c r="A82" s="264">
        <v>16</v>
      </c>
      <c r="B82" s="265" t="s">
        <v>941</v>
      </c>
      <c r="C82" s="265" t="s">
        <v>934</v>
      </c>
      <c r="D82" s="17" t="s">
        <v>942</v>
      </c>
      <c r="E82" s="18">
        <v>100</v>
      </c>
      <c r="F82" s="19" t="s">
        <v>15</v>
      </c>
      <c r="G82" s="206" t="s">
        <v>936</v>
      </c>
      <c r="H82" s="24">
        <f>150</f>
        <v>150</v>
      </c>
      <c r="I82" s="24">
        <f>H82*12*4*10</f>
        <v>72000</v>
      </c>
      <c r="J82" s="17" t="s">
        <v>16</v>
      </c>
      <c r="K82" s="271" t="s">
        <v>45</v>
      </c>
      <c r="L82" s="266" t="s">
        <v>48</v>
      </c>
      <c r="M82" s="267">
        <v>1812200750</v>
      </c>
    </row>
    <row r="83" spans="1:13" ht="22.8" x14ac:dyDescent="0.25">
      <c r="A83" s="259"/>
      <c r="B83" s="261"/>
      <c r="C83" s="261"/>
      <c r="D83" s="73" t="s">
        <v>943</v>
      </c>
      <c r="E83" s="74">
        <v>94</v>
      </c>
      <c r="F83" s="16" t="s">
        <v>15</v>
      </c>
      <c r="G83" s="203" t="s">
        <v>936</v>
      </c>
      <c r="H83" s="16">
        <f>150</f>
        <v>150</v>
      </c>
      <c r="I83" s="16">
        <f t="shared" ref="I83:I85" si="12">H83*12*4*10</f>
        <v>72000</v>
      </c>
      <c r="J83" s="73" t="s">
        <v>16</v>
      </c>
      <c r="K83" s="262"/>
      <c r="L83" s="263"/>
      <c r="M83" s="247"/>
    </row>
    <row r="84" spans="1:13" ht="22.8" x14ac:dyDescent="0.25">
      <c r="A84" s="259"/>
      <c r="B84" s="261"/>
      <c r="C84" s="261"/>
      <c r="D84" s="80" t="s">
        <v>944</v>
      </c>
      <c r="E84" s="81">
        <v>83</v>
      </c>
      <c r="F84" s="8" t="s">
        <v>15</v>
      </c>
      <c r="G84" s="203" t="s">
        <v>936</v>
      </c>
      <c r="H84" s="16">
        <f>200</f>
        <v>200</v>
      </c>
      <c r="I84" s="16">
        <f t="shared" si="12"/>
        <v>96000</v>
      </c>
      <c r="J84" s="202" t="s">
        <v>16</v>
      </c>
      <c r="K84" s="262"/>
      <c r="L84" s="263"/>
      <c r="M84" s="247"/>
    </row>
    <row r="85" spans="1:13" ht="22.8" x14ac:dyDescent="0.25">
      <c r="A85" s="259"/>
      <c r="B85" s="268"/>
      <c r="C85" s="268"/>
      <c r="D85" s="80" t="s">
        <v>945</v>
      </c>
      <c r="E85" s="81">
        <v>83</v>
      </c>
      <c r="F85" s="8" t="s">
        <v>15</v>
      </c>
      <c r="G85" s="203" t="s">
        <v>936</v>
      </c>
      <c r="H85" s="16">
        <f>200</f>
        <v>200</v>
      </c>
      <c r="I85" s="16">
        <f t="shared" si="12"/>
        <v>96000</v>
      </c>
      <c r="J85" s="202" t="s">
        <v>16</v>
      </c>
      <c r="K85" s="272"/>
      <c r="L85" s="269"/>
      <c r="M85" s="270"/>
    </row>
    <row r="86" spans="1:13" ht="14.25" customHeight="1" x14ac:dyDescent="0.25">
      <c r="A86" s="260"/>
      <c r="B86" s="248"/>
      <c r="C86" s="249"/>
      <c r="D86" s="249"/>
      <c r="E86" s="249"/>
      <c r="F86" s="249"/>
      <c r="G86" s="249"/>
      <c r="H86" s="249"/>
      <c r="I86" s="249"/>
      <c r="J86" s="249"/>
      <c r="K86" s="249"/>
      <c r="L86" s="249"/>
      <c r="M86" s="250"/>
    </row>
    <row r="87" spans="1:13" ht="15.6" x14ac:dyDescent="0.25">
      <c r="A87" s="251" t="s">
        <v>947</v>
      </c>
      <c r="B87" s="252"/>
      <c r="C87" s="252"/>
      <c r="D87" s="252"/>
      <c r="E87" s="252"/>
      <c r="F87" s="252"/>
      <c r="G87" s="252"/>
      <c r="H87" s="252"/>
      <c r="I87" s="252"/>
      <c r="J87" s="252"/>
      <c r="K87" s="252"/>
      <c r="L87" s="252"/>
      <c r="M87" s="253"/>
    </row>
    <row r="88" spans="1:13" ht="14.25" customHeight="1" x14ac:dyDescent="0.25">
      <c r="A88" s="264">
        <v>17</v>
      </c>
      <c r="B88" s="265" t="s">
        <v>948</v>
      </c>
      <c r="C88" s="278" t="s">
        <v>783</v>
      </c>
      <c r="D88" s="116" t="s">
        <v>248</v>
      </c>
      <c r="E88" s="128">
        <v>100</v>
      </c>
      <c r="F88" s="129" t="s">
        <v>20</v>
      </c>
      <c r="G88" s="129" t="s">
        <v>20</v>
      </c>
      <c r="H88" s="130">
        <f>94050*117/100</f>
        <v>110038.5</v>
      </c>
      <c r="I88" s="129">
        <f>H88</f>
        <v>110038.5</v>
      </c>
      <c r="J88" s="116" t="s">
        <v>16</v>
      </c>
      <c r="K88" s="281" t="s">
        <v>972</v>
      </c>
      <c r="L88" s="266" t="s">
        <v>48</v>
      </c>
      <c r="M88" s="267" t="s">
        <v>245</v>
      </c>
    </row>
    <row r="89" spans="1:13" ht="14.25" customHeight="1" x14ac:dyDescent="0.25">
      <c r="A89" s="259"/>
      <c r="B89" s="261"/>
      <c r="C89" s="279"/>
      <c r="D89" s="73" t="s">
        <v>785</v>
      </c>
      <c r="E89" s="74">
        <v>72</v>
      </c>
      <c r="F89" s="8" t="s">
        <v>20</v>
      </c>
      <c r="G89" s="16" t="s">
        <v>20</v>
      </c>
      <c r="H89" s="16">
        <f>105000*117/100</f>
        <v>122850</v>
      </c>
      <c r="I89" s="16">
        <f t="shared" ref="I89:I90" si="13">H89</f>
        <v>122850</v>
      </c>
      <c r="J89" s="73" t="s">
        <v>16</v>
      </c>
      <c r="K89" s="282"/>
      <c r="L89" s="263"/>
      <c r="M89" s="247"/>
    </row>
    <row r="90" spans="1:13" ht="14.25" customHeight="1" x14ac:dyDescent="0.25">
      <c r="A90" s="259"/>
      <c r="B90" s="268"/>
      <c r="C90" s="280"/>
      <c r="D90" s="143" t="s">
        <v>949</v>
      </c>
      <c r="E90" s="7">
        <v>73</v>
      </c>
      <c r="F90" s="8" t="s">
        <v>20</v>
      </c>
      <c r="G90" s="16" t="s">
        <v>20</v>
      </c>
      <c r="H90" s="16">
        <f>113500*117/100</f>
        <v>132795</v>
      </c>
      <c r="I90" s="16">
        <f t="shared" si="13"/>
        <v>132795</v>
      </c>
      <c r="J90" s="204" t="s">
        <v>16</v>
      </c>
      <c r="K90" s="283"/>
      <c r="L90" s="269"/>
      <c r="M90" s="270"/>
    </row>
    <row r="91" spans="1:13" ht="14.25" customHeight="1" x14ac:dyDescent="0.25">
      <c r="A91" s="260"/>
      <c r="B91" s="248" t="s">
        <v>978</v>
      </c>
      <c r="C91" s="249"/>
      <c r="D91" s="249"/>
      <c r="E91" s="249"/>
      <c r="F91" s="249"/>
      <c r="G91" s="249"/>
      <c r="H91" s="249"/>
      <c r="I91" s="249"/>
      <c r="J91" s="249"/>
      <c r="K91" s="249"/>
      <c r="L91" s="249"/>
      <c r="M91" s="250"/>
    </row>
    <row r="92" spans="1:13" ht="15.6" x14ac:dyDescent="0.25">
      <c r="A92" s="251" t="s">
        <v>953</v>
      </c>
      <c r="B92" s="252"/>
      <c r="C92" s="252"/>
      <c r="D92" s="252"/>
      <c r="E92" s="252"/>
      <c r="F92" s="252"/>
      <c r="G92" s="252"/>
      <c r="H92" s="252"/>
      <c r="I92" s="252"/>
      <c r="J92" s="252"/>
      <c r="K92" s="252"/>
      <c r="L92" s="252"/>
      <c r="M92" s="253"/>
    </row>
    <row r="93" spans="1:13" ht="25.5" customHeight="1" x14ac:dyDescent="0.25">
      <c r="A93" s="264">
        <v>18</v>
      </c>
      <c r="B93" s="265" t="s">
        <v>954</v>
      </c>
      <c r="C93" s="265" t="s">
        <v>540</v>
      </c>
      <c r="D93" s="17" t="s">
        <v>955</v>
      </c>
      <c r="E93" s="18">
        <v>97</v>
      </c>
      <c r="F93" s="19" t="s">
        <v>15</v>
      </c>
      <c r="G93" s="24" t="s">
        <v>980</v>
      </c>
      <c r="H93" s="24">
        <f>290*117/100</f>
        <v>339.3</v>
      </c>
      <c r="I93" s="24">
        <f>H93*100</f>
        <v>33930</v>
      </c>
      <c r="J93" s="17" t="s">
        <v>16</v>
      </c>
      <c r="K93" s="271" t="s">
        <v>45</v>
      </c>
      <c r="L93" s="266" t="s">
        <v>48</v>
      </c>
      <c r="M93" s="267" t="s">
        <v>958</v>
      </c>
    </row>
    <row r="94" spans="1:13" ht="26.4" x14ac:dyDescent="0.25">
      <c r="A94" s="259"/>
      <c r="B94" s="261"/>
      <c r="C94" s="261"/>
      <c r="D94" s="73" t="s">
        <v>956</v>
      </c>
      <c r="E94" s="74">
        <v>94</v>
      </c>
      <c r="F94" s="16" t="s">
        <v>15</v>
      </c>
      <c r="G94" s="68" t="s">
        <v>980</v>
      </c>
      <c r="H94" s="16">
        <f>280*117/100</f>
        <v>327.60000000000002</v>
      </c>
      <c r="I94" s="16">
        <f>H94*100</f>
        <v>32760.000000000004</v>
      </c>
      <c r="J94" s="73" t="s">
        <v>16</v>
      </c>
      <c r="K94" s="262"/>
      <c r="L94" s="263"/>
      <c r="M94" s="247"/>
    </row>
    <row r="95" spans="1:13" ht="26.4" x14ac:dyDescent="0.25">
      <c r="A95" s="259"/>
      <c r="B95" s="261"/>
      <c r="C95" s="261"/>
      <c r="D95" s="73" t="s">
        <v>768</v>
      </c>
      <c r="E95" s="74">
        <v>86</v>
      </c>
      <c r="F95" s="16" t="s">
        <v>15</v>
      </c>
      <c r="G95" s="68" t="s">
        <v>980</v>
      </c>
      <c r="H95" s="16">
        <f>286*117/100</f>
        <v>334.62</v>
      </c>
      <c r="I95" s="16">
        <f>H95*100</f>
        <v>33462</v>
      </c>
      <c r="J95" s="73" t="s">
        <v>16</v>
      </c>
      <c r="K95" s="262"/>
      <c r="L95" s="263"/>
      <c r="M95" s="247"/>
    </row>
    <row r="96" spans="1:13" ht="26.4" x14ac:dyDescent="0.25">
      <c r="A96" s="259"/>
      <c r="B96" s="261"/>
      <c r="C96" s="261"/>
      <c r="D96" s="143" t="s">
        <v>957</v>
      </c>
      <c r="E96" s="81">
        <v>83</v>
      </c>
      <c r="F96" s="8" t="s">
        <v>15</v>
      </c>
      <c r="G96" s="68" t="s">
        <v>980</v>
      </c>
      <c r="H96" s="16">
        <f>330*117/100</f>
        <v>386.1</v>
      </c>
      <c r="I96" s="16">
        <f>H96*100</f>
        <v>38610</v>
      </c>
      <c r="J96" s="204" t="s">
        <v>16</v>
      </c>
      <c r="K96" s="262"/>
      <c r="L96" s="263"/>
      <c r="M96" s="247"/>
    </row>
    <row r="97" spans="1:13" ht="14.25" customHeight="1" x14ac:dyDescent="0.25">
      <c r="A97" s="260"/>
      <c r="B97" s="248"/>
      <c r="C97" s="249"/>
      <c r="D97" s="249"/>
      <c r="E97" s="249"/>
      <c r="F97" s="249"/>
      <c r="G97" s="249"/>
      <c r="H97" s="249"/>
      <c r="I97" s="249"/>
      <c r="J97" s="249"/>
      <c r="K97" s="249"/>
      <c r="L97" s="249"/>
      <c r="M97" s="250"/>
    </row>
    <row r="98" spans="1:13" ht="15.6" x14ac:dyDescent="0.25">
      <c r="A98" s="251" t="s">
        <v>959</v>
      </c>
      <c r="B98" s="252"/>
      <c r="C98" s="252"/>
      <c r="D98" s="252"/>
      <c r="E98" s="252"/>
      <c r="F98" s="252"/>
      <c r="G98" s="252"/>
      <c r="H98" s="252"/>
      <c r="I98" s="252"/>
      <c r="J98" s="252"/>
      <c r="K98" s="252"/>
      <c r="L98" s="252"/>
      <c r="M98" s="253"/>
    </row>
    <row r="99" spans="1:13" ht="14.25" customHeight="1" x14ac:dyDescent="0.25">
      <c r="A99" s="264">
        <v>19</v>
      </c>
      <c r="B99" s="265" t="s">
        <v>960</v>
      </c>
      <c r="C99" s="278" t="s">
        <v>783</v>
      </c>
      <c r="D99" s="17" t="s">
        <v>961</v>
      </c>
      <c r="E99" s="18">
        <v>100</v>
      </c>
      <c r="F99" s="19" t="s">
        <v>20</v>
      </c>
      <c r="G99" s="24" t="s">
        <v>20</v>
      </c>
      <c r="H99" s="24">
        <f>9982*117/100</f>
        <v>11678.94</v>
      </c>
      <c r="I99" s="24">
        <f>H99</f>
        <v>11678.94</v>
      </c>
      <c r="J99" s="17" t="s">
        <v>16</v>
      </c>
      <c r="K99" s="271" t="s">
        <v>45</v>
      </c>
      <c r="L99" s="266" t="s">
        <v>48</v>
      </c>
      <c r="M99" s="267" t="s">
        <v>962</v>
      </c>
    </row>
    <row r="100" spans="1:13" ht="14.25" customHeight="1" x14ac:dyDescent="0.25">
      <c r="A100" s="259"/>
      <c r="B100" s="261"/>
      <c r="C100" s="279"/>
      <c r="D100" s="73" t="s">
        <v>494</v>
      </c>
      <c r="E100" s="74">
        <v>79</v>
      </c>
      <c r="F100" s="8" t="s">
        <v>20</v>
      </c>
      <c r="G100" s="16" t="s">
        <v>20</v>
      </c>
      <c r="H100" s="16">
        <f>14400*117/100</f>
        <v>16848</v>
      </c>
      <c r="I100" s="16">
        <f t="shared" ref="I100:I101" si="14">H100</f>
        <v>16848</v>
      </c>
      <c r="J100" s="73" t="s">
        <v>16</v>
      </c>
      <c r="K100" s="262"/>
      <c r="L100" s="263"/>
      <c r="M100" s="247"/>
    </row>
    <row r="101" spans="1:13" ht="14.25" customHeight="1" x14ac:dyDescent="0.25">
      <c r="A101" s="259"/>
      <c r="B101" s="268"/>
      <c r="C101" s="280"/>
      <c r="D101" s="143" t="s">
        <v>963</v>
      </c>
      <c r="E101" s="7">
        <v>74</v>
      </c>
      <c r="F101" s="8" t="s">
        <v>20</v>
      </c>
      <c r="G101" s="16" t="s">
        <v>20</v>
      </c>
      <c r="H101" s="16">
        <f>15850*117/100</f>
        <v>18544.5</v>
      </c>
      <c r="I101" s="16">
        <f t="shared" si="14"/>
        <v>18544.5</v>
      </c>
      <c r="J101" s="204" t="s">
        <v>16</v>
      </c>
      <c r="K101" s="272"/>
      <c r="L101" s="269"/>
      <c r="M101" s="270"/>
    </row>
    <row r="102" spans="1:13" ht="14.25" customHeight="1" x14ac:dyDescent="0.25">
      <c r="A102" s="260"/>
      <c r="B102" s="248" t="s">
        <v>914</v>
      </c>
      <c r="C102" s="249"/>
      <c r="D102" s="249"/>
      <c r="E102" s="249"/>
      <c r="F102" s="249"/>
      <c r="G102" s="249"/>
      <c r="H102" s="249"/>
      <c r="I102" s="249"/>
      <c r="J102" s="249"/>
      <c r="K102" s="249"/>
      <c r="L102" s="249"/>
      <c r="M102" s="250"/>
    </row>
    <row r="103" spans="1:13" ht="15.6" x14ac:dyDescent="0.25">
      <c r="A103" s="251" t="s">
        <v>964</v>
      </c>
      <c r="B103" s="252"/>
      <c r="C103" s="252"/>
      <c r="D103" s="252"/>
      <c r="E103" s="252"/>
      <c r="F103" s="252"/>
      <c r="G103" s="252"/>
      <c r="H103" s="252"/>
      <c r="I103" s="252"/>
      <c r="J103" s="252"/>
      <c r="K103" s="252"/>
      <c r="L103" s="252"/>
      <c r="M103" s="253"/>
    </row>
    <row r="104" spans="1:13" ht="14.25" customHeight="1" x14ac:dyDescent="0.25">
      <c r="A104" s="264">
        <v>20</v>
      </c>
      <c r="B104" s="265" t="s">
        <v>960</v>
      </c>
      <c r="C104" s="278" t="s">
        <v>783</v>
      </c>
      <c r="D104" s="17" t="s">
        <v>963</v>
      </c>
      <c r="E104" s="18">
        <v>100</v>
      </c>
      <c r="F104" s="19" t="s">
        <v>20</v>
      </c>
      <c r="G104" s="24" t="s">
        <v>20</v>
      </c>
      <c r="H104" s="24">
        <f>17850*117/100</f>
        <v>20884.5</v>
      </c>
      <c r="I104" s="24">
        <f>H104</f>
        <v>20884.5</v>
      </c>
      <c r="J104" s="17" t="s">
        <v>16</v>
      </c>
      <c r="K104" s="271" t="s">
        <v>45</v>
      </c>
      <c r="L104" s="266" t="s">
        <v>48</v>
      </c>
      <c r="M104" s="267" t="s">
        <v>965</v>
      </c>
    </row>
    <row r="105" spans="1:13" ht="14.25" customHeight="1" x14ac:dyDescent="0.25">
      <c r="A105" s="259"/>
      <c r="B105" s="261"/>
      <c r="C105" s="279"/>
      <c r="D105" s="73" t="s">
        <v>961</v>
      </c>
      <c r="E105" s="74">
        <v>68</v>
      </c>
      <c r="F105" s="8" t="s">
        <v>20</v>
      </c>
      <c r="G105" s="16" t="s">
        <v>20</v>
      </c>
      <c r="H105" s="16">
        <f>33126*117/100</f>
        <v>38757.42</v>
      </c>
      <c r="I105" s="16">
        <f t="shared" ref="I105:I106" si="15">H105</f>
        <v>38757.42</v>
      </c>
      <c r="J105" s="73" t="s">
        <v>16</v>
      </c>
      <c r="K105" s="262"/>
      <c r="L105" s="263"/>
      <c r="M105" s="247"/>
    </row>
    <row r="106" spans="1:13" ht="14.25" customHeight="1" x14ac:dyDescent="0.25">
      <c r="A106" s="259"/>
      <c r="B106" s="268"/>
      <c r="C106" s="280"/>
      <c r="D106" s="143" t="s">
        <v>494</v>
      </c>
      <c r="E106" s="7">
        <v>64</v>
      </c>
      <c r="F106" s="8" t="s">
        <v>20</v>
      </c>
      <c r="G106" s="16" t="s">
        <v>20</v>
      </c>
      <c r="H106" s="16">
        <f>36600*117/100</f>
        <v>42822</v>
      </c>
      <c r="I106" s="16">
        <f t="shared" si="15"/>
        <v>42822</v>
      </c>
      <c r="J106" s="205" t="s">
        <v>16</v>
      </c>
      <c r="K106" s="272"/>
      <c r="L106" s="269"/>
      <c r="M106" s="270"/>
    </row>
    <row r="107" spans="1:13" ht="14.25" customHeight="1" x14ac:dyDescent="0.25">
      <c r="A107" s="260"/>
      <c r="B107" s="248" t="s">
        <v>914</v>
      </c>
      <c r="C107" s="249"/>
      <c r="D107" s="249"/>
      <c r="E107" s="249"/>
      <c r="F107" s="249"/>
      <c r="G107" s="249"/>
      <c r="H107" s="249"/>
      <c r="I107" s="249"/>
      <c r="J107" s="249"/>
      <c r="K107" s="249"/>
      <c r="L107" s="249"/>
      <c r="M107" s="250"/>
    </row>
    <row r="108" spans="1:13" ht="15.6" x14ac:dyDescent="0.25">
      <c r="A108" s="251" t="s">
        <v>818</v>
      </c>
      <c r="B108" s="252"/>
      <c r="C108" s="252"/>
      <c r="D108" s="252"/>
      <c r="E108" s="252"/>
      <c r="F108" s="252"/>
      <c r="G108" s="252"/>
      <c r="H108" s="252"/>
      <c r="I108" s="252"/>
      <c r="J108" s="252"/>
      <c r="K108" s="252"/>
      <c r="L108" s="252"/>
      <c r="M108" s="253"/>
    </row>
    <row r="109" spans="1:13" ht="39.6" x14ac:dyDescent="0.25">
      <c r="A109" s="264">
        <v>5</v>
      </c>
      <c r="B109" s="265" t="s">
        <v>966</v>
      </c>
      <c r="C109" s="265" t="s">
        <v>776</v>
      </c>
      <c r="D109" s="73" t="s">
        <v>228</v>
      </c>
      <c r="E109" s="74">
        <v>100</v>
      </c>
      <c r="F109" s="16" t="s">
        <v>15</v>
      </c>
      <c r="G109" s="16" t="s">
        <v>968</v>
      </c>
      <c r="H109" s="172">
        <f>180*117/100</f>
        <v>210.6</v>
      </c>
      <c r="I109" s="16">
        <f>H109*100*3</f>
        <v>63180</v>
      </c>
      <c r="J109" s="73" t="s">
        <v>16</v>
      </c>
      <c r="K109" s="271" t="s">
        <v>45</v>
      </c>
      <c r="L109" s="266" t="s">
        <v>48</v>
      </c>
      <c r="M109" s="267"/>
    </row>
    <row r="110" spans="1:13" ht="39.6" x14ac:dyDescent="0.25">
      <c r="A110" s="259"/>
      <c r="B110" s="261"/>
      <c r="C110" s="261"/>
      <c r="D110" s="17" t="s">
        <v>778</v>
      </c>
      <c r="E110" s="18">
        <v>89</v>
      </c>
      <c r="F110" s="19" t="s">
        <v>15</v>
      </c>
      <c r="G110" s="19" t="s">
        <v>968</v>
      </c>
      <c r="H110" s="19">
        <f>215*117/100</f>
        <v>251.55</v>
      </c>
      <c r="I110" s="24">
        <f>H110*100*3</f>
        <v>75465</v>
      </c>
      <c r="J110" s="17" t="s">
        <v>16</v>
      </c>
      <c r="K110" s="262"/>
      <c r="L110" s="263"/>
      <c r="M110" s="247"/>
    </row>
    <row r="111" spans="1:13" ht="39.6" x14ac:dyDescent="0.25">
      <c r="A111" s="259"/>
      <c r="B111" s="268"/>
      <c r="C111" s="268"/>
      <c r="D111" s="205" t="s">
        <v>209</v>
      </c>
      <c r="E111" s="7">
        <v>85</v>
      </c>
      <c r="F111" s="8" t="s">
        <v>15</v>
      </c>
      <c r="G111" s="8" t="s">
        <v>968</v>
      </c>
      <c r="H111" s="8">
        <f>230*117/100</f>
        <v>269.10000000000002</v>
      </c>
      <c r="I111" s="16">
        <f>H111*100*3</f>
        <v>80730.000000000015</v>
      </c>
      <c r="J111" s="205" t="s">
        <v>16</v>
      </c>
      <c r="K111" s="272"/>
      <c r="L111" s="269"/>
      <c r="M111" s="270"/>
    </row>
    <row r="112" spans="1:13" ht="14.25" customHeight="1" x14ac:dyDescent="0.25">
      <c r="A112" s="260"/>
      <c r="B112" s="248" t="s">
        <v>967</v>
      </c>
      <c r="C112" s="249"/>
      <c r="D112" s="249"/>
      <c r="E112" s="249"/>
      <c r="F112" s="249"/>
      <c r="G112" s="249"/>
      <c r="H112" s="249"/>
      <c r="I112" s="249"/>
      <c r="J112" s="249"/>
      <c r="K112" s="249"/>
      <c r="L112" s="249"/>
      <c r="M112" s="250"/>
    </row>
  </sheetData>
  <mergeCells count="159">
    <mergeCell ref="A93:A97"/>
    <mergeCell ref="B93:B96"/>
    <mergeCell ref="C93:C96"/>
    <mergeCell ref="K93:K96"/>
    <mergeCell ref="L93:L96"/>
    <mergeCell ref="M93:M96"/>
    <mergeCell ref="B97:M97"/>
    <mergeCell ref="A87:M87"/>
    <mergeCell ref="A88:A91"/>
    <mergeCell ref="B88:B90"/>
    <mergeCell ref="C88:C90"/>
    <mergeCell ref="K88:K90"/>
    <mergeCell ref="L88:L90"/>
    <mergeCell ref="M88:M90"/>
    <mergeCell ref="B91:M91"/>
    <mergeCell ref="A92:M92"/>
    <mergeCell ref="B102:M102"/>
    <mergeCell ref="M99:M101"/>
    <mergeCell ref="L99:L101"/>
    <mergeCell ref="K99:K101"/>
    <mergeCell ref="C99:C101"/>
    <mergeCell ref="B99:B101"/>
    <mergeCell ref="A99:A102"/>
    <mergeCell ref="A98:M98"/>
    <mergeCell ref="A23:M23"/>
    <mergeCell ref="A51:M51"/>
    <mergeCell ref="A52:A53"/>
    <mergeCell ref="B53:M53"/>
    <mergeCell ref="A46:M46"/>
    <mergeCell ref="A47:A50"/>
    <mergeCell ref="B47:B49"/>
    <mergeCell ref="C47:C49"/>
    <mergeCell ref="K47:K49"/>
    <mergeCell ref="L47:L49"/>
    <mergeCell ref="M47:M49"/>
    <mergeCell ref="B50:M50"/>
    <mergeCell ref="A37:A40"/>
    <mergeCell ref="B37:B39"/>
    <mergeCell ref="C37:C39"/>
    <mergeCell ref="K37:K39"/>
    <mergeCell ref="M37:M39"/>
    <mergeCell ref="B40:M40"/>
    <mergeCell ref="A41:M41"/>
    <mergeCell ref="A42:A45"/>
    <mergeCell ref="B42:B44"/>
    <mergeCell ref="C42:C44"/>
    <mergeCell ref="K42:K44"/>
    <mergeCell ref="L42:L44"/>
    <mergeCell ref="M42:M44"/>
    <mergeCell ref="B45:M45"/>
    <mergeCell ref="L37:L39"/>
    <mergeCell ref="B19:M19"/>
    <mergeCell ref="M14:M18"/>
    <mergeCell ref="L14:L18"/>
    <mergeCell ref="K14:K18"/>
    <mergeCell ref="C14:C18"/>
    <mergeCell ref="K27:K29"/>
    <mergeCell ref="L27:L29"/>
    <mergeCell ref="M27:M29"/>
    <mergeCell ref="B30:M30"/>
    <mergeCell ref="B25:M25"/>
    <mergeCell ref="A26:M26"/>
    <mergeCell ref="A27:A30"/>
    <mergeCell ref="A32:A35"/>
    <mergeCell ref="B32:B34"/>
    <mergeCell ref="C32:C34"/>
    <mergeCell ref="K32:K34"/>
    <mergeCell ref="L32:L34"/>
    <mergeCell ref="M32:M34"/>
    <mergeCell ref="B35:M35"/>
    <mergeCell ref="B22:M22"/>
    <mergeCell ref="B27:B29"/>
    <mergeCell ref="A70:M70"/>
    <mergeCell ref="A71:A74"/>
    <mergeCell ref="B71:B73"/>
    <mergeCell ref="C71:C73"/>
    <mergeCell ref="K71:K73"/>
    <mergeCell ref="L71:L73"/>
    <mergeCell ref="M71:M73"/>
    <mergeCell ref="B74:M74"/>
    <mergeCell ref="A65:M65"/>
    <mergeCell ref="A66:A69"/>
    <mergeCell ref="B66:B68"/>
    <mergeCell ref="C66:C68"/>
    <mergeCell ref="K66:K68"/>
    <mergeCell ref="L66:L68"/>
    <mergeCell ref="M66:M68"/>
    <mergeCell ref="B69:M69"/>
    <mergeCell ref="A36:M36"/>
    <mergeCell ref="A1:A6"/>
    <mergeCell ref="B1:M1"/>
    <mergeCell ref="B2:M2"/>
    <mergeCell ref="B3:M3"/>
    <mergeCell ref="B4:M4"/>
    <mergeCell ref="B5:M5"/>
    <mergeCell ref="A60:M60"/>
    <mergeCell ref="A24:A25"/>
    <mergeCell ref="C27:C29"/>
    <mergeCell ref="A7:M7"/>
    <mergeCell ref="A8:A12"/>
    <mergeCell ref="B8:B11"/>
    <mergeCell ref="C8:C11"/>
    <mergeCell ref="K8:K11"/>
    <mergeCell ref="L8:L11"/>
    <mergeCell ref="M8:M11"/>
    <mergeCell ref="B12:M12"/>
    <mergeCell ref="A20:M20"/>
    <mergeCell ref="A13:M13"/>
    <mergeCell ref="A21:A22"/>
    <mergeCell ref="B14:B18"/>
    <mergeCell ref="A14:A19"/>
    <mergeCell ref="A31:M31"/>
    <mergeCell ref="A61:A64"/>
    <mergeCell ref="B61:B63"/>
    <mergeCell ref="C61:C63"/>
    <mergeCell ref="K61:K63"/>
    <mergeCell ref="L61:L63"/>
    <mergeCell ref="M61:M63"/>
    <mergeCell ref="A54:M54"/>
    <mergeCell ref="A55:A59"/>
    <mergeCell ref="B55:B58"/>
    <mergeCell ref="C55:C58"/>
    <mergeCell ref="K55:K58"/>
    <mergeCell ref="L55:L58"/>
    <mergeCell ref="M55:M58"/>
    <mergeCell ref="B64:M64"/>
    <mergeCell ref="B59:M59"/>
    <mergeCell ref="A81:M81"/>
    <mergeCell ref="A82:A86"/>
    <mergeCell ref="B82:B85"/>
    <mergeCell ref="C82:C85"/>
    <mergeCell ref="K82:K85"/>
    <mergeCell ref="L82:L85"/>
    <mergeCell ref="M82:M85"/>
    <mergeCell ref="B86:M86"/>
    <mergeCell ref="A75:M75"/>
    <mergeCell ref="A76:A80"/>
    <mergeCell ref="B76:B79"/>
    <mergeCell ref="C76:C79"/>
    <mergeCell ref="K76:K79"/>
    <mergeCell ref="L76:L79"/>
    <mergeCell ref="M76:M79"/>
    <mergeCell ref="B80:M80"/>
    <mergeCell ref="A109:A112"/>
    <mergeCell ref="B109:B111"/>
    <mergeCell ref="C109:C111"/>
    <mergeCell ref="K109:K111"/>
    <mergeCell ref="L109:L111"/>
    <mergeCell ref="M109:M111"/>
    <mergeCell ref="B112:M112"/>
    <mergeCell ref="A103:M103"/>
    <mergeCell ref="A104:A107"/>
    <mergeCell ref="B104:B106"/>
    <mergeCell ref="C104:C106"/>
    <mergeCell ref="K104:K106"/>
    <mergeCell ref="L104:L106"/>
    <mergeCell ref="M104:M106"/>
    <mergeCell ref="B107:M107"/>
    <mergeCell ref="A108:M108"/>
  </mergeCells>
  <pageMargins left="0.23622047244094491" right="0.23622047244094491" top="0.55118110236220474" bottom="0.55118110236220474" header="0.31496062992125984" footer="0.31496062992125984"/>
  <pageSetup paperSize="9" scale="7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3"/>
  <sheetViews>
    <sheetView rightToLeft="1" zoomScaleNormal="100" zoomScaleSheetLayoutView="75" workbookViewId="0">
      <pane ySplit="6" topLeftCell="A7" activePane="bottomLeft" state="frozen"/>
      <selection pane="bottomLeft" activeCell="B3" sqref="B3:M3"/>
    </sheetView>
  </sheetViews>
  <sheetFormatPr defaultColWidth="8.69921875" defaultRowHeight="15" x14ac:dyDescent="0.25"/>
  <cols>
    <col min="1" max="1" width="4.19921875" customWidth="1"/>
    <col min="2" max="2" width="21.09765625" style="10" bestFit="1" customWidth="1"/>
    <col min="4" max="4" width="10.19921875" customWidth="1"/>
    <col min="5" max="5" width="7.69921875" customWidth="1"/>
    <col min="6" max="6" width="10.19921875" bestFit="1" customWidth="1"/>
    <col min="7" max="7" width="12.09765625" style="11" bestFit="1" customWidth="1"/>
    <col min="8" max="8" width="13.59765625" style="12" bestFit="1" customWidth="1"/>
    <col min="9" max="9" width="14.59765625" style="12" bestFit="1" customWidth="1"/>
    <col min="10" max="10" width="9" customWidth="1"/>
    <col min="11" max="11" width="23.59765625" style="13" customWidth="1"/>
    <col min="12" max="12" width="10.09765625" style="14" customWidth="1"/>
    <col min="13" max="13" width="19.69921875" style="15" customWidth="1"/>
  </cols>
  <sheetData>
    <row r="1" spans="1:13" ht="21" x14ac:dyDescent="0.25">
      <c r="A1" s="254"/>
      <c r="B1" s="255" t="s">
        <v>875</v>
      </c>
      <c r="C1" s="255"/>
      <c r="D1" s="255"/>
      <c r="E1" s="255"/>
      <c r="F1" s="255"/>
      <c r="G1" s="255"/>
      <c r="H1" s="255"/>
      <c r="I1" s="255"/>
      <c r="J1" s="255"/>
      <c r="K1" s="255"/>
      <c r="L1" s="255"/>
      <c r="M1" s="255"/>
    </row>
    <row r="2" spans="1:13" ht="29.4" customHeight="1" x14ac:dyDescent="0.25">
      <c r="A2" s="254"/>
      <c r="B2" s="256" t="s">
        <v>663</v>
      </c>
      <c r="C2" s="256"/>
      <c r="D2" s="256"/>
      <c r="E2" s="256"/>
      <c r="F2" s="256"/>
      <c r="G2" s="256"/>
      <c r="H2" s="256"/>
      <c r="I2" s="256"/>
      <c r="J2" s="256"/>
      <c r="K2" s="256"/>
      <c r="L2" s="256"/>
      <c r="M2" s="256"/>
    </row>
    <row r="3" spans="1:13" ht="15.6" x14ac:dyDescent="0.25">
      <c r="A3" s="254"/>
      <c r="B3" s="257" t="s">
        <v>853</v>
      </c>
      <c r="C3" s="257"/>
      <c r="D3" s="257"/>
      <c r="E3" s="257"/>
      <c r="F3" s="257"/>
      <c r="G3" s="257"/>
      <c r="H3" s="257"/>
      <c r="I3" s="257"/>
      <c r="J3" s="257"/>
      <c r="K3" s="257"/>
      <c r="L3" s="257"/>
      <c r="M3" s="257"/>
    </row>
    <row r="4" spans="1:13" ht="13.8" x14ac:dyDescent="0.25">
      <c r="A4" s="254"/>
      <c r="B4" s="258" t="s">
        <v>793</v>
      </c>
      <c r="C4" s="258"/>
      <c r="D4" s="258"/>
      <c r="E4" s="258"/>
      <c r="F4" s="258"/>
      <c r="G4" s="258"/>
      <c r="H4" s="258"/>
      <c r="I4" s="258"/>
      <c r="J4" s="258"/>
      <c r="K4" s="258"/>
      <c r="L4" s="258"/>
      <c r="M4" s="258"/>
    </row>
    <row r="5" spans="1:13" ht="13.8" x14ac:dyDescent="0.25">
      <c r="A5" s="254"/>
      <c r="B5" s="258" t="s">
        <v>792</v>
      </c>
      <c r="C5" s="258"/>
      <c r="D5" s="258"/>
      <c r="E5" s="258"/>
      <c r="F5" s="258"/>
      <c r="G5" s="258"/>
      <c r="H5" s="258"/>
      <c r="I5" s="258"/>
      <c r="J5" s="258"/>
      <c r="K5" s="258"/>
      <c r="L5" s="258"/>
      <c r="M5" s="258"/>
    </row>
    <row r="6" spans="1:13" ht="46.8" x14ac:dyDescent="0.25">
      <c r="A6" s="254"/>
      <c r="B6" s="1" t="s">
        <v>3</v>
      </c>
      <c r="C6" s="2" t="s">
        <v>4</v>
      </c>
      <c r="D6" s="3" t="s">
        <v>5</v>
      </c>
      <c r="E6" s="3" t="s">
        <v>6</v>
      </c>
      <c r="F6" s="3" t="s">
        <v>7</v>
      </c>
      <c r="G6" s="3" t="s">
        <v>8</v>
      </c>
      <c r="H6" s="4" t="s">
        <v>9</v>
      </c>
      <c r="I6" s="5" t="s">
        <v>10</v>
      </c>
      <c r="J6" s="3" t="s">
        <v>11</v>
      </c>
      <c r="K6" s="3" t="s">
        <v>12</v>
      </c>
      <c r="L6" s="6" t="s">
        <v>13</v>
      </c>
      <c r="M6" s="3" t="s">
        <v>14</v>
      </c>
    </row>
    <row r="7" spans="1:13" ht="15.6" x14ac:dyDescent="0.25">
      <c r="A7" s="251" t="s">
        <v>859</v>
      </c>
      <c r="B7" s="252"/>
      <c r="C7" s="252"/>
      <c r="D7" s="252"/>
      <c r="E7" s="252"/>
      <c r="F7" s="252"/>
      <c r="G7" s="252"/>
      <c r="H7" s="252"/>
      <c r="I7" s="252"/>
      <c r="J7" s="252"/>
      <c r="K7" s="252"/>
      <c r="L7" s="252"/>
      <c r="M7" s="253"/>
    </row>
    <row r="8" spans="1:13" ht="92.4" x14ac:dyDescent="0.25">
      <c r="A8" s="264">
        <v>1</v>
      </c>
      <c r="B8" s="178" t="s">
        <v>857</v>
      </c>
      <c r="C8" s="178" t="s">
        <v>477</v>
      </c>
      <c r="D8" s="22" t="s">
        <v>856</v>
      </c>
      <c r="E8" s="23">
        <v>94</v>
      </c>
      <c r="F8" s="24" t="s">
        <v>20</v>
      </c>
      <c r="G8" s="24" t="s">
        <v>20</v>
      </c>
      <c r="H8" s="24">
        <f>(285*15)*117/100</f>
        <v>5001.75</v>
      </c>
      <c r="I8" s="24">
        <f>H8</f>
        <v>5001.75</v>
      </c>
      <c r="J8" s="22"/>
      <c r="K8" s="179" t="s">
        <v>376</v>
      </c>
      <c r="L8" s="183"/>
      <c r="M8" s="182">
        <v>2440072961</v>
      </c>
    </row>
    <row r="9" spans="1:13" ht="24" customHeight="1" x14ac:dyDescent="0.25">
      <c r="A9" s="260"/>
      <c r="B9" s="248" t="s">
        <v>872</v>
      </c>
      <c r="C9" s="249"/>
      <c r="D9" s="249"/>
      <c r="E9" s="249"/>
      <c r="F9" s="249"/>
      <c r="G9" s="249"/>
      <c r="H9" s="249"/>
      <c r="I9" s="249"/>
      <c r="J9" s="249"/>
      <c r="K9" s="249"/>
      <c r="L9" s="249"/>
      <c r="M9" s="250"/>
    </row>
    <row r="10" spans="1:13" ht="15.6" x14ac:dyDescent="0.25">
      <c r="A10" s="251" t="s">
        <v>860</v>
      </c>
      <c r="B10" s="252"/>
      <c r="C10" s="252"/>
      <c r="D10" s="252"/>
      <c r="E10" s="252"/>
      <c r="F10" s="252"/>
      <c r="G10" s="252"/>
      <c r="H10" s="252"/>
      <c r="I10" s="252"/>
      <c r="J10" s="252"/>
      <c r="K10" s="252"/>
      <c r="L10" s="252"/>
      <c r="M10" s="253"/>
    </row>
    <row r="11" spans="1:13" ht="92.4" x14ac:dyDescent="0.25">
      <c r="A11" s="259">
        <v>2</v>
      </c>
      <c r="B11" s="178" t="s">
        <v>861</v>
      </c>
      <c r="C11" s="178" t="s">
        <v>477</v>
      </c>
      <c r="D11" s="22" t="s">
        <v>858</v>
      </c>
      <c r="E11" s="23">
        <v>94</v>
      </c>
      <c r="F11" s="24" t="s">
        <v>20</v>
      </c>
      <c r="G11" s="24" t="s">
        <v>20</v>
      </c>
      <c r="H11" s="24">
        <f>14000*117/100</f>
        <v>16380</v>
      </c>
      <c r="I11" s="24">
        <f>H11</f>
        <v>16380</v>
      </c>
      <c r="J11" s="22"/>
      <c r="K11" s="180" t="s">
        <v>376</v>
      </c>
      <c r="L11" s="183"/>
      <c r="M11" s="182">
        <v>2440072961</v>
      </c>
    </row>
    <row r="12" spans="1:13" ht="24" customHeight="1" x14ac:dyDescent="0.25">
      <c r="A12" s="260"/>
      <c r="B12" s="248" t="s">
        <v>873</v>
      </c>
      <c r="C12" s="249"/>
      <c r="D12" s="249"/>
      <c r="E12" s="249"/>
      <c r="F12" s="249"/>
      <c r="G12" s="249"/>
      <c r="H12" s="249"/>
      <c r="I12" s="249"/>
      <c r="J12" s="249"/>
      <c r="K12" s="249"/>
      <c r="L12" s="249"/>
      <c r="M12" s="250"/>
    </row>
    <row r="13" spans="1:13" ht="15.6" x14ac:dyDescent="0.25">
      <c r="A13" s="251" t="s">
        <v>864</v>
      </c>
      <c r="B13" s="252"/>
      <c r="C13" s="252"/>
      <c r="D13" s="252"/>
      <c r="E13" s="252"/>
      <c r="F13" s="252"/>
      <c r="G13" s="252"/>
      <c r="H13" s="252"/>
      <c r="I13" s="252"/>
      <c r="J13" s="252"/>
      <c r="K13" s="252"/>
      <c r="L13" s="252"/>
      <c r="M13" s="253"/>
    </row>
    <row r="14" spans="1:13" ht="92.4" x14ac:dyDescent="0.25">
      <c r="A14" s="264">
        <v>3</v>
      </c>
      <c r="B14" s="178" t="s">
        <v>862</v>
      </c>
      <c r="C14" s="178" t="s">
        <v>477</v>
      </c>
      <c r="D14" s="22" t="s">
        <v>863</v>
      </c>
      <c r="E14" s="23">
        <v>88</v>
      </c>
      <c r="F14" s="24" t="s">
        <v>20</v>
      </c>
      <c r="G14" s="24" t="s">
        <v>20</v>
      </c>
      <c r="H14" s="24">
        <f>32000*117/100</f>
        <v>37440</v>
      </c>
      <c r="I14" s="24">
        <f>H14</f>
        <v>37440</v>
      </c>
      <c r="J14" s="22"/>
      <c r="K14" s="186" t="s">
        <v>376</v>
      </c>
      <c r="L14" s="181"/>
      <c r="M14" s="182">
        <v>2440072961</v>
      </c>
    </row>
    <row r="15" spans="1:13" ht="14.25" customHeight="1" x14ac:dyDescent="0.25">
      <c r="A15" s="260"/>
      <c r="B15" s="248" t="s">
        <v>874</v>
      </c>
      <c r="C15" s="249"/>
      <c r="D15" s="249"/>
      <c r="E15" s="249"/>
      <c r="F15" s="249"/>
      <c r="G15" s="249"/>
      <c r="H15" s="249"/>
      <c r="I15" s="249"/>
      <c r="J15" s="249"/>
      <c r="K15" s="249"/>
      <c r="L15" s="249"/>
      <c r="M15" s="250"/>
    </row>
    <row r="16" spans="1:13" ht="15.6" x14ac:dyDescent="0.25">
      <c r="A16" s="251" t="s">
        <v>811</v>
      </c>
      <c r="B16" s="252"/>
      <c r="C16" s="252"/>
      <c r="D16" s="252"/>
      <c r="E16" s="252"/>
      <c r="F16" s="252"/>
      <c r="G16" s="252"/>
      <c r="H16" s="252"/>
      <c r="I16" s="252"/>
      <c r="J16" s="252"/>
      <c r="K16" s="252"/>
      <c r="L16" s="252"/>
      <c r="M16" s="253"/>
    </row>
    <row r="17" spans="1:13" ht="38.25" customHeight="1" x14ac:dyDescent="0.25">
      <c r="A17" s="264">
        <v>4</v>
      </c>
      <c r="B17" s="265" t="s">
        <v>865</v>
      </c>
      <c r="C17" s="278" t="s">
        <v>477</v>
      </c>
      <c r="D17" s="22" t="s">
        <v>866</v>
      </c>
      <c r="E17" s="23">
        <v>100</v>
      </c>
      <c r="F17" s="24" t="s">
        <v>20</v>
      </c>
      <c r="G17" s="24" t="s">
        <v>20</v>
      </c>
      <c r="H17" s="24">
        <f>18000*117/100</f>
        <v>21060</v>
      </c>
      <c r="I17" s="24">
        <f>H17</f>
        <v>21060</v>
      </c>
      <c r="J17" s="22"/>
      <c r="K17" s="271" t="s">
        <v>45</v>
      </c>
      <c r="L17" s="266"/>
      <c r="M17" s="267">
        <v>2440072961</v>
      </c>
    </row>
    <row r="18" spans="1:13" ht="66" x14ac:dyDescent="0.25">
      <c r="A18" s="259"/>
      <c r="B18" s="261"/>
      <c r="C18" s="279"/>
      <c r="D18" s="184" t="s">
        <v>867</v>
      </c>
      <c r="E18" s="7">
        <v>78</v>
      </c>
      <c r="F18" s="16" t="s">
        <v>20</v>
      </c>
      <c r="G18" s="8" t="s">
        <v>20</v>
      </c>
      <c r="H18" s="8">
        <f>58500*117/100</f>
        <v>68445</v>
      </c>
      <c r="I18" s="16">
        <f>H18</f>
        <v>68445</v>
      </c>
      <c r="J18" s="184"/>
      <c r="K18" s="262"/>
      <c r="L18" s="263"/>
      <c r="M18" s="247"/>
    </row>
    <row r="19" spans="1:13" ht="13.8" x14ac:dyDescent="0.25">
      <c r="A19" s="259"/>
      <c r="B19" s="261"/>
      <c r="C19" s="279"/>
      <c r="D19" s="143" t="s">
        <v>868</v>
      </c>
      <c r="E19" s="74">
        <v>74</v>
      </c>
      <c r="F19" s="16" t="s">
        <v>20</v>
      </c>
      <c r="G19" s="16" t="s">
        <v>20</v>
      </c>
      <c r="H19" s="16">
        <f>174000*117/100</f>
        <v>203580</v>
      </c>
      <c r="I19" s="16">
        <f t="shared" ref="I19" si="0">H19</f>
        <v>203580</v>
      </c>
      <c r="J19" s="73"/>
      <c r="K19" s="262"/>
      <c r="L19" s="263"/>
      <c r="M19" s="247"/>
    </row>
    <row r="20" spans="1:13" ht="14.25" customHeight="1" x14ac:dyDescent="0.25">
      <c r="A20" s="260"/>
      <c r="B20" s="248" t="s">
        <v>869</v>
      </c>
      <c r="C20" s="249"/>
      <c r="D20" s="249"/>
      <c r="E20" s="249"/>
      <c r="F20" s="249"/>
      <c r="G20" s="249"/>
      <c r="H20" s="249"/>
      <c r="I20" s="249"/>
      <c r="J20" s="249"/>
      <c r="K20" s="249"/>
      <c r="L20" s="249"/>
      <c r="M20" s="250"/>
    </row>
    <row r="21" spans="1:13" ht="15.6" x14ac:dyDescent="0.25">
      <c r="A21" s="251" t="s">
        <v>870</v>
      </c>
      <c r="B21" s="252"/>
      <c r="C21" s="252"/>
      <c r="D21" s="252"/>
      <c r="E21" s="252"/>
      <c r="F21" s="252"/>
      <c r="G21" s="252"/>
      <c r="H21" s="252"/>
      <c r="I21" s="252"/>
      <c r="J21" s="252"/>
      <c r="K21" s="252"/>
      <c r="L21" s="252"/>
      <c r="M21" s="253"/>
    </row>
    <row r="22" spans="1:13" ht="92.4" x14ac:dyDescent="0.25">
      <c r="A22" s="264">
        <v>5</v>
      </c>
      <c r="B22" s="178" t="s">
        <v>476</v>
      </c>
      <c r="C22" s="178" t="s">
        <v>477</v>
      </c>
      <c r="D22" s="22" t="s">
        <v>479</v>
      </c>
      <c r="E22" s="23">
        <v>100</v>
      </c>
      <c r="F22" s="24" t="s">
        <v>20</v>
      </c>
      <c r="G22" s="24" t="s">
        <v>20</v>
      </c>
      <c r="H22" s="24">
        <v>50000</v>
      </c>
      <c r="I22" s="24">
        <f>H22</f>
        <v>50000</v>
      </c>
      <c r="J22" s="22" t="s">
        <v>16</v>
      </c>
      <c r="K22" s="185" t="s">
        <v>46</v>
      </c>
      <c r="L22" s="181"/>
      <c r="M22" s="182">
        <v>2130022761</v>
      </c>
    </row>
    <row r="23" spans="1:13" ht="14.25" customHeight="1" x14ac:dyDescent="0.25">
      <c r="A23" s="260"/>
      <c r="B23" s="248" t="s">
        <v>871</v>
      </c>
      <c r="C23" s="249"/>
      <c r="D23" s="249"/>
      <c r="E23" s="249"/>
      <c r="F23" s="249"/>
      <c r="G23" s="249"/>
      <c r="H23" s="249"/>
      <c r="I23" s="249"/>
      <c r="J23" s="249"/>
      <c r="K23" s="249"/>
      <c r="L23" s="249"/>
      <c r="M23" s="250"/>
    </row>
  </sheetData>
  <mergeCells count="26">
    <mergeCell ref="A1:A6"/>
    <mergeCell ref="B1:M1"/>
    <mergeCell ref="B2:M2"/>
    <mergeCell ref="B3:M3"/>
    <mergeCell ref="B4:M4"/>
    <mergeCell ref="B5:M5"/>
    <mergeCell ref="A13:M13"/>
    <mergeCell ref="A14:A15"/>
    <mergeCell ref="B15:M15"/>
    <mergeCell ref="A7:M7"/>
    <mergeCell ref="A8:A9"/>
    <mergeCell ref="B9:M9"/>
    <mergeCell ref="A10:M10"/>
    <mergeCell ref="A11:A12"/>
    <mergeCell ref="B12:M12"/>
    <mergeCell ref="A21:M21"/>
    <mergeCell ref="A22:A23"/>
    <mergeCell ref="B23:M23"/>
    <mergeCell ref="A16:M16"/>
    <mergeCell ref="A17:A20"/>
    <mergeCell ref="B17:B19"/>
    <mergeCell ref="C17:C19"/>
    <mergeCell ref="K17:K19"/>
    <mergeCell ref="L17:L19"/>
    <mergeCell ref="M17:M19"/>
    <mergeCell ref="B20:M20"/>
  </mergeCells>
  <pageMargins left="0.23622047244094491" right="0.23622047244094491" top="0.55118110236220474" bottom="0.55118110236220474" header="0.31496062992125984" footer="0.31496062992125984"/>
  <pageSetup paperSize="9" scale="7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8"/>
  <sheetViews>
    <sheetView rightToLeft="1" zoomScaleNormal="100" zoomScaleSheetLayoutView="75" workbookViewId="0">
      <pane ySplit="6" topLeftCell="A64" activePane="bottomLeft" state="frozen"/>
      <selection pane="bottomLeft" activeCell="D76" sqref="D76"/>
    </sheetView>
  </sheetViews>
  <sheetFormatPr defaultColWidth="8.69921875" defaultRowHeight="15" x14ac:dyDescent="0.25"/>
  <cols>
    <col min="1" max="1" width="4.19921875" customWidth="1"/>
    <col min="2" max="2" width="21.09765625" style="10" bestFit="1" customWidth="1"/>
    <col min="4" max="4" width="10.19921875" customWidth="1"/>
    <col min="5" max="5" width="7.69921875" customWidth="1"/>
    <col min="6" max="6" width="10.19921875" bestFit="1" customWidth="1"/>
    <col min="7" max="7" width="12.09765625" style="11" bestFit="1" customWidth="1"/>
    <col min="8" max="8" width="13.59765625" style="12" bestFit="1" customWidth="1"/>
    <col min="9" max="9" width="14.59765625" style="12" bestFit="1" customWidth="1"/>
    <col min="10" max="10" width="9" customWidth="1"/>
    <col min="11" max="11" width="23.59765625" style="13" customWidth="1"/>
    <col min="12" max="12" width="10.09765625" style="14" customWidth="1"/>
    <col min="13" max="13" width="19.69921875" style="15" customWidth="1"/>
  </cols>
  <sheetData>
    <row r="1" spans="1:13" ht="21" x14ac:dyDescent="0.25">
      <c r="A1" s="254"/>
      <c r="B1" s="255" t="s">
        <v>854</v>
      </c>
      <c r="C1" s="255"/>
      <c r="D1" s="255"/>
      <c r="E1" s="255"/>
      <c r="F1" s="255"/>
      <c r="G1" s="255"/>
      <c r="H1" s="255"/>
      <c r="I1" s="255"/>
      <c r="J1" s="255"/>
      <c r="K1" s="255"/>
      <c r="L1" s="255"/>
      <c r="M1" s="255"/>
    </row>
    <row r="2" spans="1:13" ht="29.4" customHeight="1" x14ac:dyDescent="0.25">
      <c r="A2" s="254"/>
      <c r="B2" s="256" t="s">
        <v>663</v>
      </c>
      <c r="C2" s="256"/>
      <c r="D2" s="256"/>
      <c r="E2" s="256"/>
      <c r="F2" s="256"/>
      <c r="G2" s="256"/>
      <c r="H2" s="256"/>
      <c r="I2" s="256"/>
      <c r="J2" s="256"/>
      <c r="K2" s="256"/>
      <c r="L2" s="256"/>
      <c r="M2" s="256"/>
    </row>
    <row r="3" spans="1:13" ht="15.6" x14ac:dyDescent="0.25">
      <c r="A3" s="254"/>
      <c r="B3" s="257" t="s">
        <v>853</v>
      </c>
      <c r="C3" s="257"/>
      <c r="D3" s="257"/>
      <c r="E3" s="257"/>
      <c r="F3" s="257"/>
      <c r="G3" s="257"/>
      <c r="H3" s="257"/>
      <c r="I3" s="257"/>
      <c r="J3" s="257"/>
      <c r="K3" s="257"/>
      <c r="L3" s="257"/>
      <c r="M3" s="257"/>
    </row>
    <row r="4" spans="1:13" ht="13.8" x14ac:dyDescent="0.25">
      <c r="A4" s="254"/>
      <c r="B4" s="258" t="s">
        <v>793</v>
      </c>
      <c r="C4" s="258"/>
      <c r="D4" s="258"/>
      <c r="E4" s="258"/>
      <c r="F4" s="258"/>
      <c r="G4" s="258"/>
      <c r="H4" s="258"/>
      <c r="I4" s="258"/>
      <c r="J4" s="258"/>
      <c r="K4" s="258"/>
      <c r="L4" s="258"/>
      <c r="M4" s="258"/>
    </row>
    <row r="5" spans="1:13" ht="13.8" x14ac:dyDescent="0.25">
      <c r="A5" s="254"/>
      <c r="B5" s="258" t="s">
        <v>792</v>
      </c>
      <c r="C5" s="258"/>
      <c r="D5" s="258"/>
      <c r="E5" s="258"/>
      <c r="F5" s="258"/>
      <c r="G5" s="258"/>
      <c r="H5" s="258"/>
      <c r="I5" s="258"/>
      <c r="J5" s="258"/>
      <c r="K5" s="258"/>
      <c r="L5" s="258"/>
      <c r="M5" s="258"/>
    </row>
    <row r="6" spans="1:13" ht="46.8" x14ac:dyDescent="0.25">
      <c r="A6" s="254"/>
      <c r="B6" s="1" t="s">
        <v>3</v>
      </c>
      <c r="C6" s="2" t="s">
        <v>4</v>
      </c>
      <c r="D6" s="3" t="s">
        <v>5</v>
      </c>
      <c r="E6" s="3" t="s">
        <v>6</v>
      </c>
      <c r="F6" s="3" t="s">
        <v>7</v>
      </c>
      <c r="G6" s="3" t="s">
        <v>8</v>
      </c>
      <c r="H6" s="4" t="s">
        <v>9</v>
      </c>
      <c r="I6" s="5" t="s">
        <v>10</v>
      </c>
      <c r="J6" s="3" t="s">
        <v>11</v>
      </c>
      <c r="K6" s="3" t="s">
        <v>12</v>
      </c>
      <c r="L6" s="6" t="s">
        <v>13</v>
      </c>
      <c r="M6" s="3" t="s">
        <v>14</v>
      </c>
    </row>
    <row r="7" spans="1:13" ht="15.6" x14ac:dyDescent="0.25">
      <c r="A7" s="251" t="s">
        <v>805</v>
      </c>
      <c r="B7" s="252"/>
      <c r="C7" s="252"/>
      <c r="D7" s="252"/>
      <c r="E7" s="252"/>
      <c r="F7" s="252"/>
      <c r="G7" s="252"/>
      <c r="H7" s="252"/>
      <c r="I7" s="252"/>
      <c r="J7" s="252"/>
      <c r="K7" s="252"/>
      <c r="L7" s="252"/>
      <c r="M7" s="253"/>
    </row>
    <row r="8" spans="1:13" ht="79.2" x14ac:dyDescent="0.25">
      <c r="A8" s="264">
        <v>1</v>
      </c>
      <c r="B8" s="168" t="s">
        <v>279</v>
      </c>
      <c r="C8" s="168" t="s">
        <v>22</v>
      </c>
      <c r="D8" s="22" t="s">
        <v>280</v>
      </c>
      <c r="E8" s="23">
        <v>100</v>
      </c>
      <c r="F8" s="24" t="s">
        <v>20</v>
      </c>
      <c r="G8" s="24">
        <v>150000</v>
      </c>
      <c r="H8" s="24">
        <v>150000</v>
      </c>
      <c r="I8" s="24">
        <v>150000</v>
      </c>
      <c r="J8" s="22" t="s">
        <v>16</v>
      </c>
      <c r="K8" s="175" t="s">
        <v>46</v>
      </c>
      <c r="L8" s="169" t="s">
        <v>48</v>
      </c>
      <c r="M8" s="165"/>
    </row>
    <row r="9" spans="1:13" ht="24" customHeight="1" x14ac:dyDescent="0.25">
      <c r="A9" s="260"/>
      <c r="B9" s="248" t="s">
        <v>807</v>
      </c>
      <c r="C9" s="249"/>
      <c r="D9" s="249"/>
      <c r="E9" s="249"/>
      <c r="F9" s="249"/>
      <c r="G9" s="249"/>
      <c r="H9" s="249"/>
      <c r="I9" s="249"/>
      <c r="J9" s="249"/>
      <c r="K9" s="249"/>
      <c r="L9" s="249"/>
      <c r="M9" s="250"/>
    </row>
    <row r="10" spans="1:13" ht="15.6" x14ac:dyDescent="0.25">
      <c r="A10" s="251" t="s">
        <v>806</v>
      </c>
      <c r="B10" s="252"/>
      <c r="C10" s="252"/>
      <c r="D10" s="252"/>
      <c r="E10" s="252"/>
      <c r="F10" s="252"/>
      <c r="G10" s="252"/>
      <c r="H10" s="252"/>
      <c r="I10" s="252"/>
      <c r="J10" s="252"/>
      <c r="K10" s="252"/>
      <c r="L10" s="252"/>
      <c r="M10" s="253"/>
    </row>
    <row r="11" spans="1:13" ht="79.2" x14ac:dyDescent="0.25">
      <c r="A11" s="259">
        <v>2</v>
      </c>
      <c r="B11" s="168" t="s">
        <v>279</v>
      </c>
      <c r="C11" s="168" t="s">
        <v>22</v>
      </c>
      <c r="D11" s="22" t="s">
        <v>284</v>
      </c>
      <c r="E11" s="23">
        <v>100</v>
      </c>
      <c r="F11" s="24" t="s">
        <v>20</v>
      </c>
      <c r="G11" s="24">
        <v>100000</v>
      </c>
      <c r="H11" s="24">
        <v>100000</v>
      </c>
      <c r="I11" s="24">
        <v>100000</v>
      </c>
      <c r="J11" s="22" t="s">
        <v>16</v>
      </c>
      <c r="K11" s="167" t="s">
        <v>46</v>
      </c>
      <c r="L11" s="169" t="s">
        <v>48</v>
      </c>
      <c r="M11" s="166"/>
    </row>
    <row r="12" spans="1:13" ht="24" customHeight="1" x14ac:dyDescent="0.25">
      <c r="A12" s="260"/>
      <c r="B12" s="248" t="s">
        <v>807</v>
      </c>
      <c r="C12" s="249"/>
      <c r="D12" s="249"/>
      <c r="E12" s="249"/>
      <c r="F12" s="249"/>
      <c r="G12" s="249"/>
      <c r="H12" s="249"/>
      <c r="I12" s="249"/>
      <c r="J12" s="249"/>
      <c r="K12" s="249"/>
      <c r="L12" s="249"/>
      <c r="M12" s="250"/>
    </row>
    <row r="13" spans="1:13" ht="15.6" x14ac:dyDescent="0.25">
      <c r="A13" s="251" t="s">
        <v>808</v>
      </c>
      <c r="B13" s="252"/>
      <c r="C13" s="252"/>
      <c r="D13" s="252"/>
      <c r="E13" s="252"/>
      <c r="F13" s="252"/>
      <c r="G13" s="252"/>
      <c r="H13" s="252"/>
      <c r="I13" s="252"/>
      <c r="J13" s="252"/>
      <c r="K13" s="252"/>
      <c r="L13" s="252"/>
      <c r="M13" s="253"/>
    </row>
    <row r="14" spans="1:13" ht="38.25" customHeight="1" x14ac:dyDescent="0.25">
      <c r="A14" s="264">
        <v>3</v>
      </c>
      <c r="B14" s="265" t="s">
        <v>812</v>
      </c>
      <c r="C14" s="278" t="s">
        <v>35</v>
      </c>
      <c r="D14" s="22" t="s">
        <v>720</v>
      </c>
      <c r="E14" s="23">
        <v>100</v>
      </c>
      <c r="F14" s="24" t="s">
        <v>20</v>
      </c>
      <c r="G14" s="24" t="s">
        <v>20</v>
      </c>
      <c r="H14" s="176">
        <f>100000*117/100</f>
        <v>117000</v>
      </c>
      <c r="I14" s="24">
        <f>H14</f>
        <v>117000</v>
      </c>
      <c r="J14" s="22" t="s">
        <v>16</v>
      </c>
      <c r="K14" s="271" t="s">
        <v>45</v>
      </c>
      <c r="L14" s="266" t="s">
        <v>48</v>
      </c>
      <c r="M14" s="267">
        <v>4407</v>
      </c>
    </row>
    <row r="15" spans="1:13" ht="14.25" customHeight="1" x14ac:dyDescent="0.25">
      <c r="A15" s="259"/>
      <c r="B15" s="261"/>
      <c r="C15" s="279"/>
      <c r="D15" s="170" t="s">
        <v>809</v>
      </c>
      <c r="E15" s="7">
        <v>89</v>
      </c>
      <c r="F15" s="16" t="s">
        <v>20</v>
      </c>
      <c r="G15" s="8" t="s">
        <v>20</v>
      </c>
      <c r="H15" s="8">
        <f>118000*117/100</f>
        <v>138060</v>
      </c>
      <c r="I15" s="16">
        <f>H15</f>
        <v>138060</v>
      </c>
      <c r="J15" s="170" t="s">
        <v>16</v>
      </c>
      <c r="K15" s="262"/>
      <c r="L15" s="263"/>
      <c r="M15" s="247"/>
    </row>
    <row r="16" spans="1:13" ht="26.4" x14ac:dyDescent="0.25">
      <c r="A16" s="259"/>
      <c r="B16" s="261"/>
      <c r="C16" s="279"/>
      <c r="D16" s="143" t="s">
        <v>719</v>
      </c>
      <c r="E16" s="74">
        <v>61</v>
      </c>
      <c r="F16" s="16" t="s">
        <v>20</v>
      </c>
      <c r="G16" s="16" t="s">
        <v>20</v>
      </c>
      <c r="H16" s="16">
        <f>231000*117/100</f>
        <v>270270</v>
      </c>
      <c r="I16" s="16">
        <f t="shared" ref="I16" si="0">H16</f>
        <v>270270</v>
      </c>
      <c r="J16" s="73" t="s">
        <v>16</v>
      </c>
      <c r="K16" s="262"/>
      <c r="L16" s="263"/>
      <c r="M16" s="247"/>
    </row>
    <row r="17" spans="1:13" ht="14.25" customHeight="1" x14ac:dyDescent="0.25">
      <c r="A17" s="260"/>
      <c r="B17" s="248" t="s">
        <v>810</v>
      </c>
      <c r="C17" s="249"/>
      <c r="D17" s="249"/>
      <c r="E17" s="249"/>
      <c r="F17" s="249"/>
      <c r="G17" s="249"/>
      <c r="H17" s="249"/>
      <c r="I17" s="249"/>
      <c r="J17" s="249"/>
      <c r="K17" s="249"/>
      <c r="L17" s="249"/>
      <c r="M17" s="250"/>
    </row>
    <row r="18" spans="1:13" ht="15.6" x14ac:dyDescent="0.25">
      <c r="A18" s="251" t="s">
        <v>811</v>
      </c>
      <c r="B18" s="252"/>
      <c r="C18" s="252"/>
      <c r="D18" s="252"/>
      <c r="E18" s="252"/>
      <c r="F18" s="252"/>
      <c r="G18" s="252"/>
      <c r="H18" s="252"/>
      <c r="I18" s="252"/>
      <c r="J18" s="252"/>
      <c r="K18" s="252"/>
      <c r="L18" s="252"/>
      <c r="M18" s="253"/>
    </row>
    <row r="19" spans="1:13" ht="38.25" customHeight="1" x14ac:dyDescent="0.25">
      <c r="A19" s="264">
        <v>4</v>
      </c>
      <c r="B19" s="265" t="s">
        <v>813</v>
      </c>
      <c r="C19" s="278" t="s">
        <v>35</v>
      </c>
      <c r="D19" s="22" t="s">
        <v>814</v>
      </c>
      <c r="E19" s="23">
        <v>100</v>
      </c>
      <c r="F19" s="24" t="s">
        <v>20</v>
      </c>
      <c r="G19" s="24" t="s">
        <v>20</v>
      </c>
      <c r="H19" s="176">
        <f>141000*117/100</f>
        <v>164970</v>
      </c>
      <c r="I19" s="24">
        <f>H19</f>
        <v>164970</v>
      </c>
      <c r="J19" s="22" t="s">
        <v>16</v>
      </c>
      <c r="K19" s="271" t="s">
        <v>45</v>
      </c>
      <c r="L19" s="266" t="s">
        <v>48</v>
      </c>
      <c r="M19" s="267">
        <v>44010</v>
      </c>
    </row>
    <row r="20" spans="1:13" ht="14.25" customHeight="1" x14ac:dyDescent="0.25">
      <c r="A20" s="259"/>
      <c r="B20" s="261"/>
      <c r="C20" s="279"/>
      <c r="D20" s="170" t="s">
        <v>815</v>
      </c>
      <c r="E20" s="7">
        <v>64</v>
      </c>
      <c r="F20" s="16" t="s">
        <v>20</v>
      </c>
      <c r="G20" s="8" t="s">
        <v>20</v>
      </c>
      <c r="H20" s="8">
        <f>185000*117/100</f>
        <v>216450</v>
      </c>
      <c r="I20" s="16">
        <f>H20</f>
        <v>216450</v>
      </c>
      <c r="J20" s="170"/>
      <c r="K20" s="262"/>
      <c r="L20" s="263"/>
      <c r="M20" s="247"/>
    </row>
    <row r="21" spans="1:13" ht="26.4" x14ac:dyDescent="0.25">
      <c r="A21" s="259"/>
      <c r="B21" s="261"/>
      <c r="C21" s="279"/>
      <c r="D21" s="143" t="s">
        <v>816</v>
      </c>
      <c r="E21" s="74">
        <v>50</v>
      </c>
      <c r="F21" s="16" t="s">
        <v>20</v>
      </c>
      <c r="G21" s="16" t="s">
        <v>20</v>
      </c>
      <c r="H21" s="16">
        <f>274800*117/100</f>
        <v>321516</v>
      </c>
      <c r="I21" s="16">
        <f t="shared" ref="I21:I22" si="1">H21</f>
        <v>321516</v>
      </c>
      <c r="J21" s="73" t="s">
        <v>16</v>
      </c>
      <c r="K21" s="262"/>
      <c r="L21" s="263"/>
      <c r="M21" s="247"/>
    </row>
    <row r="22" spans="1:13" ht="13.8" x14ac:dyDescent="0.25">
      <c r="A22" s="259"/>
      <c r="B22" s="261"/>
      <c r="C22" s="279"/>
      <c r="D22" s="143" t="s">
        <v>468</v>
      </c>
      <c r="E22" s="74">
        <v>54</v>
      </c>
      <c r="F22" s="16" t="s">
        <v>20</v>
      </c>
      <c r="G22" s="16" t="s">
        <v>20</v>
      </c>
      <c r="H22" s="16">
        <f>253000*117/100</f>
        <v>296010</v>
      </c>
      <c r="I22" s="16">
        <f t="shared" si="1"/>
        <v>296010</v>
      </c>
      <c r="J22" s="73" t="s">
        <v>16</v>
      </c>
      <c r="K22" s="262"/>
      <c r="L22" s="263"/>
      <c r="M22" s="247"/>
    </row>
    <row r="23" spans="1:13" ht="14.25" customHeight="1" x14ac:dyDescent="0.25">
      <c r="A23" s="260"/>
      <c r="B23" s="248"/>
      <c r="C23" s="249"/>
      <c r="D23" s="249"/>
      <c r="E23" s="249"/>
      <c r="F23" s="249"/>
      <c r="G23" s="249"/>
      <c r="H23" s="249"/>
      <c r="I23" s="249"/>
      <c r="J23" s="249"/>
      <c r="K23" s="249"/>
      <c r="L23" s="249"/>
      <c r="M23" s="250"/>
    </row>
    <row r="24" spans="1:13" ht="15.6" x14ac:dyDescent="0.25">
      <c r="A24" s="251" t="s">
        <v>818</v>
      </c>
      <c r="B24" s="252"/>
      <c r="C24" s="252"/>
      <c r="D24" s="252"/>
      <c r="E24" s="252"/>
      <c r="F24" s="252"/>
      <c r="G24" s="252"/>
      <c r="H24" s="252"/>
      <c r="I24" s="252"/>
      <c r="J24" s="252"/>
      <c r="K24" s="252"/>
      <c r="L24" s="252"/>
      <c r="M24" s="253"/>
    </row>
    <row r="25" spans="1:13" ht="39.6" x14ac:dyDescent="0.25">
      <c r="A25" s="264">
        <v>5</v>
      </c>
      <c r="B25" s="265" t="s">
        <v>820</v>
      </c>
      <c r="C25" s="265" t="s">
        <v>776</v>
      </c>
      <c r="D25" s="73" t="s">
        <v>228</v>
      </c>
      <c r="E25" s="74">
        <v>100</v>
      </c>
      <c r="F25" s="16" t="s">
        <v>15</v>
      </c>
      <c r="G25" s="16" t="s">
        <v>817</v>
      </c>
      <c r="H25" s="172">
        <f>180*117/100</f>
        <v>210.6</v>
      </c>
      <c r="I25" s="16">
        <f>H25*180*3</f>
        <v>113724</v>
      </c>
      <c r="J25" s="73" t="s">
        <v>16</v>
      </c>
      <c r="K25" s="271" t="s">
        <v>855</v>
      </c>
      <c r="L25" s="266" t="s">
        <v>48</v>
      </c>
      <c r="M25" s="267"/>
    </row>
    <row r="26" spans="1:13" ht="39.6" x14ac:dyDescent="0.25">
      <c r="A26" s="259"/>
      <c r="B26" s="261"/>
      <c r="C26" s="261"/>
      <c r="D26" s="17" t="s">
        <v>778</v>
      </c>
      <c r="E26" s="18">
        <v>89</v>
      </c>
      <c r="F26" s="19" t="s">
        <v>15</v>
      </c>
      <c r="G26" s="19" t="s">
        <v>817</v>
      </c>
      <c r="H26" s="19">
        <f>215*117/100</f>
        <v>251.55</v>
      </c>
      <c r="I26" s="24">
        <f>H26*180*3</f>
        <v>135837</v>
      </c>
      <c r="J26" s="17" t="s">
        <v>16</v>
      </c>
      <c r="K26" s="262"/>
      <c r="L26" s="263"/>
      <c r="M26" s="247"/>
    </row>
    <row r="27" spans="1:13" ht="39.6" x14ac:dyDescent="0.25">
      <c r="A27" s="259"/>
      <c r="B27" s="268"/>
      <c r="C27" s="268"/>
      <c r="D27" s="170" t="s">
        <v>209</v>
      </c>
      <c r="E27" s="7">
        <v>85</v>
      </c>
      <c r="F27" s="8" t="s">
        <v>15</v>
      </c>
      <c r="G27" s="8" t="s">
        <v>817</v>
      </c>
      <c r="H27" s="8">
        <f>230*117/100</f>
        <v>269.10000000000002</v>
      </c>
      <c r="I27" s="16">
        <f t="shared" ref="I27" si="2">H27*180*3</f>
        <v>145314.00000000003</v>
      </c>
      <c r="J27" s="170" t="s">
        <v>16</v>
      </c>
      <c r="K27" s="272"/>
      <c r="L27" s="269"/>
      <c r="M27" s="270"/>
    </row>
    <row r="28" spans="1:13" ht="14.25" customHeight="1" x14ac:dyDescent="0.25">
      <c r="A28" s="260"/>
      <c r="B28" s="248" t="s">
        <v>822</v>
      </c>
      <c r="C28" s="249"/>
      <c r="D28" s="249"/>
      <c r="E28" s="249"/>
      <c r="F28" s="249"/>
      <c r="G28" s="249"/>
      <c r="H28" s="249"/>
      <c r="I28" s="249"/>
      <c r="J28" s="249"/>
      <c r="K28" s="249"/>
      <c r="L28" s="249"/>
      <c r="M28" s="250"/>
    </row>
    <row r="29" spans="1:13" ht="15.6" x14ac:dyDescent="0.25">
      <c r="A29" s="251" t="s">
        <v>819</v>
      </c>
      <c r="B29" s="252"/>
      <c r="C29" s="252"/>
      <c r="D29" s="252"/>
      <c r="E29" s="252"/>
      <c r="F29" s="252"/>
      <c r="G29" s="252"/>
      <c r="H29" s="252"/>
      <c r="I29" s="252"/>
      <c r="J29" s="252"/>
      <c r="K29" s="252"/>
      <c r="L29" s="252"/>
      <c r="M29" s="253"/>
    </row>
    <row r="30" spans="1:13" ht="13.8" x14ac:dyDescent="0.25">
      <c r="A30" s="264">
        <v>6</v>
      </c>
      <c r="B30" s="265" t="s">
        <v>821</v>
      </c>
      <c r="C30" s="265" t="s">
        <v>202</v>
      </c>
      <c r="D30" s="17" t="s">
        <v>209</v>
      </c>
      <c r="E30" s="18">
        <v>91</v>
      </c>
      <c r="F30" s="19" t="s">
        <v>15</v>
      </c>
      <c r="G30" s="19" t="s">
        <v>830</v>
      </c>
      <c r="H30" s="19">
        <f>230*117/100</f>
        <v>269.10000000000002</v>
      </c>
      <c r="I30" s="24">
        <f>H30*300</f>
        <v>80730</v>
      </c>
      <c r="J30" s="17" t="s">
        <v>16</v>
      </c>
      <c r="K30" s="271" t="s">
        <v>45</v>
      </c>
      <c r="L30" s="266" t="s">
        <v>48</v>
      </c>
      <c r="M30" s="267"/>
    </row>
    <row r="31" spans="1:13" ht="13.8" x14ac:dyDescent="0.25">
      <c r="A31" s="259"/>
      <c r="B31" s="261"/>
      <c r="C31" s="261"/>
      <c r="D31" s="171" t="s">
        <v>845</v>
      </c>
      <c r="E31" s="7">
        <v>86</v>
      </c>
      <c r="F31" s="8" t="s">
        <v>15</v>
      </c>
      <c r="G31" s="8" t="s">
        <v>830</v>
      </c>
      <c r="H31" s="8">
        <f>200*117/100</f>
        <v>234</v>
      </c>
      <c r="I31" s="16">
        <f>H31*300</f>
        <v>70200</v>
      </c>
      <c r="J31" s="171" t="s">
        <v>16</v>
      </c>
      <c r="K31" s="262"/>
      <c r="L31" s="263"/>
      <c r="M31" s="247"/>
    </row>
    <row r="32" spans="1:13" ht="13.8" x14ac:dyDescent="0.25">
      <c r="A32" s="259"/>
      <c r="B32" s="268"/>
      <c r="C32" s="268"/>
      <c r="D32" s="174" t="s">
        <v>214</v>
      </c>
      <c r="E32" s="7">
        <v>76</v>
      </c>
      <c r="F32" s="8" t="s">
        <v>15</v>
      </c>
      <c r="G32" s="8" t="s">
        <v>830</v>
      </c>
      <c r="H32" s="8">
        <f>300*117/100</f>
        <v>351</v>
      </c>
      <c r="I32" s="16">
        <f>H32*300</f>
        <v>105300</v>
      </c>
      <c r="J32" s="174" t="s">
        <v>16</v>
      </c>
      <c r="K32" s="272"/>
      <c r="L32" s="269"/>
      <c r="M32" s="270"/>
    </row>
    <row r="33" spans="1:13" ht="14.25" customHeight="1" x14ac:dyDescent="0.25">
      <c r="A33" s="260"/>
      <c r="B33" s="248"/>
      <c r="C33" s="249"/>
      <c r="D33" s="249"/>
      <c r="E33" s="249"/>
      <c r="F33" s="249"/>
      <c r="G33" s="249"/>
      <c r="H33" s="249"/>
      <c r="I33" s="249"/>
      <c r="J33" s="249"/>
      <c r="K33" s="249"/>
      <c r="L33" s="249"/>
      <c r="M33" s="250"/>
    </row>
    <row r="34" spans="1:13" ht="15.6" x14ac:dyDescent="0.25">
      <c r="A34" s="251" t="s">
        <v>823</v>
      </c>
      <c r="B34" s="252"/>
      <c r="C34" s="252"/>
      <c r="D34" s="252"/>
      <c r="E34" s="252"/>
      <c r="F34" s="252"/>
      <c r="G34" s="252"/>
      <c r="H34" s="252"/>
      <c r="I34" s="252"/>
      <c r="J34" s="252"/>
      <c r="K34" s="252"/>
      <c r="L34" s="252"/>
      <c r="M34" s="253"/>
    </row>
    <row r="35" spans="1:13" ht="38.25" customHeight="1" x14ac:dyDescent="0.25">
      <c r="A35" s="264">
        <v>7</v>
      </c>
      <c r="B35" s="265" t="s">
        <v>824</v>
      </c>
      <c r="C35" s="278" t="s">
        <v>19</v>
      </c>
      <c r="D35" s="17" t="s">
        <v>768</v>
      </c>
      <c r="E35" s="18">
        <v>100</v>
      </c>
      <c r="F35" s="177" t="s">
        <v>20</v>
      </c>
      <c r="G35" s="19" t="s">
        <v>20</v>
      </c>
      <c r="H35" s="19">
        <f>215000*117/100</f>
        <v>251550</v>
      </c>
      <c r="I35" s="177">
        <f>H35</f>
        <v>251550</v>
      </c>
      <c r="J35" s="17" t="s">
        <v>16</v>
      </c>
      <c r="K35" s="271" t="s">
        <v>45</v>
      </c>
      <c r="L35" s="266" t="s">
        <v>48</v>
      </c>
      <c r="M35" s="267">
        <v>253012</v>
      </c>
    </row>
    <row r="36" spans="1:13" ht="38.25" customHeight="1" x14ac:dyDescent="0.25">
      <c r="A36" s="259"/>
      <c r="B36" s="261"/>
      <c r="C36" s="279"/>
      <c r="D36" s="73" t="s">
        <v>804</v>
      </c>
      <c r="E36" s="74">
        <v>98</v>
      </c>
      <c r="F36" s="16" t="s">
        <v>20</v>
      </c>
      <c r="G36" s="16" t="s">
        <v>20</v>
      </c>
      <c r="H36" s="16">
        <f>220000*117/100</f>
        <v>257400</v>
      </c>
      <c r="I36" s="16">
        <f>H36</f>
        <v>257400</v>
      </c>
      <c r="J36" s="73" t="s">
        <v>16</v>
      </c>
      <c r="K36" s="262"/>
      <c r="L36" s="263"/>
      <c r="M36" s="247"/>
    </row>
    <row r="37" spans="1:13" ht="14.25" customHeight="1" x14ac:dyDescent="0.25">
      <c r="A37" s="259"/>
      <c r="B37" s="261"/>
      <c r="C37" s="279"/>
      <c r="D37" s="171" t="s">
        <v>144</v>
      </c>
      <c r="E37" s="7">
        <v>78</v>
      </c>
      <c r="F37" s="16" t="s">
        <v>20</v>
      </c>
      <c r="G37" s="8" t="s">
        <v>20</v>
      </c>
      <c r="H37" s="8">
        <f>310000*117/100</f>
        <v>362700</v>
      </c>
      <c r="I37" s="16">
        <f>H37</f>
        <v>362700</v>
      </c>
      <c r="J37" s="171" t="s">
        <v>16</v>
      </c>
      <c r="K37" s="262"/>
      <c r="L37" s="263"/>
      <c r="M37" s="247"/>
    </row>
    <row r="38" spans="1:13" ht="14.25" customHeight="1" x14ac:dyDescent="0.25">
      <c r="A38" s="259"/>
      <c r="B38" s="261"/>
      <c r="C38" s="279"/>
      <c r="D38" s="171" t="s">
        <v>53</v>
      </c>
      <c r="E38" s="7">
        <v>65</v>
      </c>
      <c r="F38" s="16" t="s">
        <v>20</v>
      </c>
      <c r="G38" s="8" t="s">
        <v>20</v>
      </c>
      <c r="H38" s="8">
        <f>370000*117/100</f>
        <v>432900</v>
      </c>
      <c r="I38" s="16">
        <f>H38</f>
        <v>432900</v>
      </c>
      <c r="J38" s="171" t="s">
        <v>16</v>
      </c>
      <c r="K38" s="262"/>
      <c r="L38" s="263"/>
      <c r="M38" s="247"/>
    </row>
    <row r="39" spans="1:13" ht="14.25" customHeight="1" x14ac:dyDescent="0.25">
      <c r="A39" s="260"/>
      <c r="B39" s="248"/>
      <c r="C39" s="249"/>
      <c r="D39" s="249"/>
      <c r="E39" s="249"/>
      <c r="F39" s="249"/>
      <c r="G39" s="249"/>
      <c r="H39" s="249"/>
      <c r="I39" s="249"/>
      <c r="J39" s="249"/>
      <c r="K39" s="249"/>
      <c r="L39" s="249"/>
      <c r="M39" s="250"/>
    </row>
    <row r="40" spans="1:13" ht="15.6" x14ac:dyDescent="0.25">
      <c r="A40" s="251" t="s">
        <v>825</v>
      </c>
      <c r="B40" s="252"/>
      <c r="C40" s="252"/>
      <c r="D40" s="252"/>
      <c r="E40" s="252"/>
      <c r="F40" s="252"/>
      <c r="G40" s="252"/>
      <c r="H40" s="252"/>
      <c r="I40" s="252"/>
      <c r="J40" s="252"/>
      <c r="K40" s="252"/>
      <c r="L40" s="252"/>
      <c r="M40" s="253"/>
    </row>
    <row r="41" spans="1:13" ht="25.5" customHeight="1" x14ac:dyDescent="0.25">
      <c r="A41" s="264">
        <v>8</v>
      </c>
      <c r="B41" s="265" t="s">
        <v>782</v>
      </c>
      <c r="C41" s="278" t="s">
        <v>783</v>
      </c>
      <c r="D41" s="22" t="s">
        <v>791</v>
      </c>
      <c r="E41" s="23">
        <v>100</v>
      </c>
      <c r="F41" s="24" t="s">
        <v>20</v>
      </c>
      <c r="G41" s="24" t="s">
        <v>20</v>
      </c>
      <c r="H41" s="176">
        <f>191000*117/100</f>
        <v>223470</v>
      </c>
      <c r="I41" s="24">
        <f>H41</f>
        <v>223470</v>
      </c>
      <c r="J41" s="22" t="s">
        <v>16</v>
      </c>
      <c r="K41" s="271" t="s">
        <v>45</v>
      </c>
      <c r="L41" s="266" t="s">
        <v>48</v>
      </c>
      <c r="M41" s="267" t="s">
        <v>786</v>
      </c>
    </row>
    <row r="42" spans="1:13" ht="14.25" customHeight="1" x14ac:dyDescent="0.25">
      <c r="A42" s="259"/>
      <c r="B42" s="261"/>
      <c r="C42" s="279"/>
      <c r="D42" s="170" t="s">
        <v>784</v>
      </c>
      <c r="E42" s="7">
        <v>73</v>
      </c>
      <c r="F42" s="159" t="s">
        <v>20</v>
      </c>
      <c r="G42" s="159" t="s">
        <v>20</v>
      </c>
      <c r="H42" s="28">
        <f>313000*117/100</f>
        <v>366210</v>
      </c>
      <c r="I42" s="68">
        <f t="shared" ref="I42:I43" si="3">H42</f>
        <v>366210</v>
      </c>
      <c r="J42" s="80" t="s">
        <v>16</v>
      </c>
      <c r="K42" s="262"/>
      <c r="L42" s="263"/>
      <c r="M42" s="247"/>
    </row>
    <row r="43" spans="1:13" ht="14.25" customHeight="1" x14ac:dyDescent="0.25">
      <c r="A43" s="259"/>
      <c r="B43" s="268"/>
      <c r="C43" s="280"/>
      <c r="D43" s="170" t="s">
        <v>785</v>
      </c>
      <c r="E43" s="7">
        <v>69</v>
      </c>
      <c r="F43" s="159" t="s">
        <v>20</v>
      </c>
      <c r="G43" s="159" t="s">
        <v>20</v>
      </c>
      <c r="H43" s="28">
        <f>300000*117/100</f>
        <v>351000</v>
      </c>
      <c r="I43" s="68">
        <f t="shared" si="3"/>
        <v>351000</v>
      </c>
      <c r="J43" s="80" t="s">
        <v>16</v>
      </c>
      <c r="K43" s="272"/>
      <c r="L43" s="269"/>
      <c r="M43" s="270"/>
    </row>
    <row r="44" spans="1:13" ht="14.25" customHeight="1" x14ac:dyDescent="0.25">
      <c r="A44" s="260"/>
      <c r="B44" s="248" t="s">
        <v>827</v>
      </c>
      <c r="C44" s="249"/>
      <c r="D44" s="249"/>
      <c r="E44" s="249"/>
      <c r="F44" s="249"/>
      <c r="G44" s="249"/>
      <c r="H44" s="249"/>
      <c r="I44" s="249"/>
      <c r="J44" s="249"/>
      <c r="K44" s="249"/>
      <c r="L44" s="249"/>
      <c r="M44" s="250"/>
    </row>
    <row r="45" spans="1:13" ht="15.6" x14ac:dyDescent="0.25">
      <c r="A45" s="251" t="s">
        <v>826</v>
      </c>
      <c r="B45" s="252"/>
      <c r="C45" s="252"/>
      <c r="D45" s="252"/>
      <c r="E45" s="252"/>
      <c r="F45" s="252"/>
      <c r="G45" s="252"/>
      <c r="H45" s="252"/>
      <c r="I45" s="252"/>
      <c r="J45" s="252"/>
      <c r="K45" s="252"/>
      <c r="L45" s="252"/>
      <c r="M45" s="253"/>
    </row>
    <row r="46" spans="1:13" ht="25.5" customHeight="1" x14ac:dyDescent="0.25">
      <c r="A46" s="264">
        <v>9</v>
      </c>
      <c r="B46" s="265" t="s">
        <v>788</v>
      </c>
      <c r="C46" s="278" t="s">
        <v>783</v>
      </c>
      <c r="D46" s="22" t="s">
        <v>791</v>
      </c>
      <c r="E46" s="23">
        <v>100</v>
      </c>
      <c r="F46" s="24" t="s">
        <v>20</v>
      </c>
      <c r="G46" s="24" t="s">
        <v>20</v>
      </c>
      <c r="H46" s="176">
        <f>176000*117/100</f>
        <v>205920</v>
      </c>
      <c r="I46" s="24">
        <f>H46</f>
        <v>205920</v>
      </c>
      <c r="J46" s="22" t="s">
        <v>16</v>
      </c>
      <c r="K46" s="271" t="s">
        <v>45</v>
      </c>
      <c r="L46" s="266"/>
      <c r="M46" s="267" t="s">
        <v>790</v>
      </c>
    </row>
    <row r="47" spans="1:13" ht="14.25" customHeight="1" x14ac:dyDescent="0.25">
      <c r="A47" s="259"/>
      <c r="B47" s="261"/>
      <c r="C47" s="279"/>
      <c r="D47" s="170" t="s">
        <v>784</v>
      </c>
      <c r="E47" s="7">
        <v>80</v>
      </c>
      <c r="F47" s="159" t="s">
        <v>20</v>
      </c>
      <c r="G47" s="159" t="s">
        <v>20</v>
      </c>
      <c r="H47" s="28">
        <f>247000*117/100</f>
        <v>288990</v>
      </c>
      <c r="I47" s="68">
        <f t="shared" ref="I47:I48" si="4">H47</f>
        <v>288990</v>
      </c>
      <c r="J47" s="80" t="s">
        <v>16</v>
      </c>
      <c r="K47" s="262"/>
      <c r="L47" s="263"/>
      <c r="M47" s="247"/>
    </row>
    <row r="48" spans="1:13" ht="14.25" customHeight="1" x14ac:dyDescent="0.25">
      <c r="A48" s="259"/>
      <c r="B48" s="268"/>
      <c r="C48" s="280"/>
      <c r="D48" s="170" t="s">
        <v>785</v>
      </c>
      <c r="E48" s="7">
        <v>69</v>
      </c>
      <c r="F48" s="159" t="s">
        <v>20</v>
      </c>
      <c r="G48" s="159" t="s">
        <v>20</v>
      </c>
      <c r="H48" s="28">
        <f>275000*117/100</f>
        <v>321750</v>
      </c>
      <c r="I48" s="68">
        <f t="shared" si="4"/>
        <v>321750</v>
      </c>
      <c r="J48" s="80" t="s">
        <v>16</v>
      </c>
      <c r="K48" s="272"/>
      <c r="L48" s="269"/>
      <c r="M48" s="270"/>
    </row>
    <row r="49" spans="1:13" ht="14.25" customHeight="1" x14ac:dyDescent="0.25">
      <c r="A49" s="260"/>
      <c r="B49" s="248" t="s">
        <v>828</v>
      </c>
      <c r="C49" s="249"/>
      <c r="D49" s="249"/>
      <c r="E49" s="249"/>
      <c r="F49" s="249"/>
      <c r="G49" s="249"/>
      <c r="H49" s="249"/>
      <c r="I49" s="249"/>
      <c r="J49" s="249"/>
      <c r="K49" s="249"/>
      <c r="L49" s="249"/>
      <c r="M49" s="250"/>
    </row>
    <row r="50" spans="1:13" ht="15.6" x14ac:dyDescent="0.25">
      <c r="A50" s="251" t="s">
        <v>829</v>
      </c>
      <c r="B50" s="252"/>
      <c r="C50" s="252"/>
      <c r="D50" s="252"/>
      <c r="E50" s="252"/>
      <c r="F50" s="252"/>
      <c r="G50" s="252"/>
      <c r="H50" s="252"/>
      <c r="I50" s="252"/>
      <c r="J50" s="252"/>
      <c r="K50" s="252"/>
      <c r="L50" s="252"/>
      <c r="M50" s="253"/>
    </row>
    <row r="51" spans="1:13" ht="25.5" customHeight="1" x14ac:dyDescent="0.25">
      <c r="A51" s="264">
        <v>10</v>
      </c>
      <c r="B51" s="265" t="s">
        <v>831</v>
      </c>
      <c r="C51" s="278" t="s">
        <v>783</v>
      </c>
      <c r="D51" s="22" t="s">
        <v>832</v>
      </c>
      <c r="E51" s="23">
        <v>100</v>
      </c>
      <c r="F51" s="19" t="s">
        <v>15</v>
      </c>
      <c r="G51" s="24" t="s">
        <v>833</v>
      </c>
      <c r="H51" s="24">
        <f>220*117/100</f>
        <v>257.39999999999998</v>
      </c>
      <c r="I51" s="24">
        <f>H51*720</f>
        <v>185327.99999999997</v>
      </c>
      <c r="J51" s="22" t="s">
        <v>16</v>
      </c>
      <c r="K51" s="271" t="s">
        <v>45</v>
      </c>
      <c r="L51" s="266" t="s">
        <v>48</v>
      </c>
      <c r="M51" s="267" t="s">
        <v>837</v>
      </c>
    </row>
    <row r="52" spans="1:13" ht="14.25" customHeight="1" x14ac:dyDescent="0.25">
      <c r="A52" s="259"/>
      <c r="B52" s="261"/>
      <c r="C52" s="279"/>
      <c r="D52" s="171" t="s">
        <v>834</v>
      </c>
      <c r="E52" s="7">
        <v>92</v>
      </c>
      <c r="F52" s="8" t="s">
        <v>15</v>
      </c>
      <c r="G52" s="16" t="s">
        <v>833</v>
      </c>
      <c r="H52" s="16">
        <f>250*117/100</f>
        <v>292.5</v>
      </c>
      <c r="I52" s="16">
        <f>H52*720</f>
        <v>210600</v>
      </c>
      <c r="J52" s="80" t="s">
        <v>16</v>
      </c>
      <c r="K52" s="262"/>
      <c r="L52" s="263"/>
      <c r="M52" s="247"/>
    </row>
    <row r="53" spans="1:13" ht="14.25" customHeight="1" x14ac:dyDescent="0.25">
      <c r="A53" s="259"/>
      <c r="B53" s="261"/>
      <c r="C53" s="279"/>
      <c r="D53" s="171" t="s">
        <v>835</v>
      </c>
      <c r="E53" s="7">
        <v>90</v>
      </c>
      <c r="F53" s="8" t="s">
        <v>15</v>
      </c>
      <c r="G53" s="16" t="s">
        <v>833</v>
      </c>
      <c r="H53" s="16">
        <f>260*117/100</f>
        <v>304.2</v>
      </c>
      <c r="I53" s="16">
        <f t="shared" ref="I53:I54" si="5">H53*720</f>
        <v>219024</v>
      </c>
      <c r="J53" s="80"/>
      <c r="K53" s="262"/>
      <c r="L53" s="263"/>
      <c r="M53" s="247"/>
    </row>
    <row r="54" spans="1:13" ht="14.25" customHeight="1" x14ac:dyDescent="0.25">
      <c r="A54" s="259"/>
      <c r="B54" s="268"/>
      <c r="C54" s="280"/>
      <c r="D54" s="171" t="s">
        <v>836</v>
      </c>
      <c r="E54" s="7">
        <v>87</v>
      </c>
      <c r="F54" s="8" t="s">
        <v>15</v>
      </c>
      <c r="G54" s="16" t="s">
        <v>833</v>
      </c>
      <c r="H54" s="16">
        <f>271.2*117/100</f>
        <v>317.30399999999997</v>
      </c>
      <c r="I54" s="16">
        <f t="shared" si="5"/>
        <v>228458.87999999998</v>
      </c>
      <c r="J54" s="80" t="s">
        <v>16</v>
      </c>
      <c r="K54" s="272"/>
      <c r="L54" s="269"/>
      <c r="M54" s="270"/>
    </row>
    <row r="55" spans="1:13" ht="14.25" customHeight="1" x14ac:dyDescent="0.25">
      <c r="A55" s="260"/>
      <c r="B55" s="248"/>
      <c r="C55" s="249"/>
      <c r="D55" s="249"/>
      <c r="E55" s="249"/>
      <c r="F55" s="249"/>
      <c r="G55" s="249"/>
      <c r="H55" s="249"/>
      <c r="I55" s="249"/>
      <c r="J55" s="249"/>
      <c r="K55" s="249"/>
      <c r="L55" s="249"/>
      <c r="M55" s="250"/>
    </row>
    <row r="56" spans="1:13" ht="15.6" x14ac:dyDescent="0.25">
      <c r="A56" s="251" t="s">
        <v>981</v>
      </c>
      <c r="B56" s="252"/>
      <c r="C56" s="252"/>
      <c r="D56" s="252"/>
      <c r="E56" s="252"/>
      <c r="F56" s="252"/>
      <c r="G56" s="252"/>
      <c r="H56" s="252"/>
      <c r="I56" s="252"/>
      <c r="J56" s="252"/>
      <c r="K56" s="252"/>
      <c r="L56" s="252"/>
      <c r="M56" s="253"/>
    </row>
    <row r="57" spans="1:13" ht="25.5" customHeight="1" x14ac:dyDescent="0.25">
      <c r="A57" s="264">
        <v>11</v>
      </c>
      <c r="B57" s="265" t="s">
        <v>500</v>
      </c>
      <c r="C57" s="265" t="s">
        <v>840</v>
      </c>
      <c r="D57" s="17" t="s">
        <v>502</v>
      </c>
      <c r="E57" s="18">
        <v>100</v>
      </c>
      <c r="F57" s="19" t="s">
        <v>15</v>
      </c>
      <c r="G57" s="24" t="s">
        <v>830</v>
      </c>
      <c r="H57" s="24">
        <f>230*117/100</f>
        <v>269.10000000000002</v>
      </c>
      <c r="I57" s="24">
        <f>H57*300</f>
        <v>80730</v>
      </c>
      <c r="J57" s="17" t="s">
        <v>16</v>
      </c>
      <c r="K57" s="271" t="s">
        <v>45</v>
      </c>
      <c r="L57" s="266" t="s">
        <v>48</v>
      </c>
      <c r="M57" s="267"/>
    </row>
    <row r="58" spans="1:13" ht="26.4" x14ac:dyDescent="0.25">
      <c r="A58" s="259"/>
      <c r="B58" s="261"/>
      <c r="C58" s="261"/>
      <c r="D58" s="73" t="s">
        <v>501</v>
      </c>
      <c r="E58" s="74">
        <v>99</v>
      </c>
      <c r="F58" s="16" t="s">
        <v>15</v>
      </c>
      <c r="G58" s="16" t="s">
        <v>830</v>
      </c>
      <c r="H58" s="16">
        <f>235*117/100</f>
        <v>274.95</v>
      </c>
      <c r="I58" s="16">
        <f>H58*300</f>
        <v>82485</v>
      </c>
      <c r="J58" s="73" t="s">
        <v>16</v>
      </c>
      <c r="K58" s="262"/>
      <c r="L58" s="263"/>
      <c r="M58" s="247"/>
    </row>
    <row r="59" spans="1:13" ht="26.4" x14ac:dyDescent="0.25">
      <c r="A59" s="259"/>
      <c r="B59" s="261"/>
      <c r="C59" s="261"/>
      <c r="D59" s="80" t="s">
        <v>503</v>
      </c>
      <c r="E59" s="81">
        <v>97</v>
      </c>
      <c r="F59" s="8" t="s">
        <v>15</v>
      </c>
      <c r="G59" s="16" t="s">
        <v>830</v>
      </c>
      <c r="H59" s="16">
        <f>240*117/100</f>
        <v>280.8</v>
      </c>
      <c r="I59" s="16">
        <f>H59*300</f>
        <v>84240</v>
      </c>
      <c r="J59" s="208" t="s">
        <v>16</v>
      </c>
      <c r="K59" s="262"/>
      <c r="L59" s="263"/>
      <c r="M59" s="247"/>
    </row>
    <row r="60" spans="1:13" ht="26.4" x14ac:dyDescent="0.25">
      <c r="A60" s="259"/>
      <c r="B60" s="261"/>
      <c r="C60" s="261"/>
      <c r="D60" s="80" t="s">
        <v>504</v>
      </c>
      <c r="E60" s="81">
        <v>95</v>
      </c>
      <c r="F60" s="8" t="s">
        <v>15</v>
      </c>
      <c r="G60" s="16" t="s">
        <v>830</v>
      </c>
      <c r="H60" s="16">
        <f>248*117/100</f>
        <v>290.16000000000003</v>
      </c>
      <c r="I60" s="16">
        <f>H60*300</f>
        <v>87048.000000000015</v>
      </c>
      <c r="J60" s="208" t="s">
        <v>16</v>
      </c>
      <c r="K60" s="272"/>
      <c r="L60" s="263"/>
      <c r="M60" s="247"/>
    </row>
    <row r="61" spans="1:13" ht="14.25" customHeight="1" x14ac:dyDescent="0.25">
      <c r="A61" s="260"/>
      <c r="B61" s="248" t="s">
        <v>838</v>
      </c>
      <c r="C61" s="249"/>
      <c r="D61" s="249"/>
      <c r="E61" s="249"/>
      <c r="F61" s="249"/>
      <c r="G61" s="249"/>
      <c r="H61" s="249"/>
      <c r="I61" s="249"/>
      <c r="J61" s="249"/>
      <c r="K61" s="249"/>
      <c r="L61" s="249"/>
      <c r="M61" s="250"/>
    </row>
    <row r="62" spans="1:13" ht="15.6" x14ac:dyDescent="0.25">
      <c r="A62" s="251" t="s">
        <v>839</v>
      </c>
      <c r="B62" s="252"/>
      <c r="C62" s="252"/>
      <c r="D62" s="252"/>
      <c r="E62" s="252"/>
      <c r="F62" s="252"/>
      <c r="G62" s="252"/>
      <c r="H62" s="252"/>
      <c r="I62" s="252"/>
      <c r="J62" s="252"/>
      <c r="K62" s="252"/>
      <c r="L62" s="252"/>
      <c r="M62" s="253"/>
    </row>
    <row r="63" spans="1:13" ht="25.5" customHeight="1" x14ac:dyDescent="0.25">
      <c r="A63" s="264">
        <v>12</v>
      </c>
      <c r="B63" s="265" t="s">
        <v>500</v>
      </c>
      <c r="C63" s="265" t="s">
        <v>840</v>
      </c>
      <c r="D63" s="173" t="s">
        <v>502</v>
      </c>
      <c r="E63" s="7">
        <v>100</v>
      </c>
      <c r="F63" s="8" t="s">
        <v>15</v>
      </c>
      <c r="G63" s="16" t="s">
        <v>830</v>
      </c>
      <c r="H63" s="16">
        <f>230*117/100</f>
        <v>269.10000000000002</v>
      </c>
      <c r="I63" s="16">
        <f>H63*300</f>
        <v>80730</v>
      </c>
      <c r="J63" s="173" t="s">
        <v>16</v>
      </c>
      <c r="K63" s="271" t="s">
        <v>855</v>
      </c>
      <c r="L63" s="266" t="s">
        <v>48</v>
      </c>
      <c r="M63" s="267"/>
    </row>
    <row r="64" spans="1:13" ht="26.4" x14ac:dyDescent="0.25">
      <c r="A64" s="259"/>
      <c r="B64" s="261"/>
      <c r="C64" s="261"/>
      <c r="D64" s="22" t="s">
        <v>501</v>
      </c>
      <c r="E64" s="23">
        <v>99</v>
      </c>
      <c r="F64" s="24" t="s">
        <v>15</v>
      </c>
      <c r="G64" s="24" t="s">
        <v>830</v>
      </c>
      <c r="H64" s="24">
        <f>235*117/100</f>
        <v>274.95</v>
      </c>
      <c r="I64" s="24">
        <f>H64*300</f>
        <v>82485</v>
      </c>
      <c r="J64" s="22" t="s">
        <v>16</v>
      </c>
      <c r="K64" s="262"/>
      <c r="L64" s="263"/>
      <c r="M64" s="247"/>
    </row>
    <row r="65" spans="1:13" ht="26.4" x14ac:dyDescent="0.25">
      <c r="A65" s="259"/>
      <c r="B65" s="261"/>
      <c r="C65" s="261"/>
      <c r="D65" s="80" t="s">
        <v>503</v>
      </c>
      <c r="E65" s="81">
        <v>97</v>
      </c>
      <c r="F65" s="8" t="s">
        <v>15</v>
      </c>
      <c r="G65" s="16" t="s">
        <v>830</v>
      </c>
      <c r="H65" s="16">
        <f>240*117/100</f>
        <v>280.8</v>
      </c>
      <c r="I65" s="16">
        <f>H65*300</f>
        <v>84240</v>
      </c>
      <c r="J65" s="173" t="s">
        <v>16</v>
      </c>
      <c r="K65" s="262"/>
      <c r="L65" s="263"/>
      <c r="M65" s="247"/>
    </row>
    <row r="66" spans="1:13" ht="26.4" x14ac:dyDescent="0.25">
      <c r="A66" s="259"/>
      <c r="B66" s="261"/>
      <c r="C66" s="261"/>
      <c r="D66" s="80" t="s">
        <v>504</v>
      </c>
      <c r="E66" s="81">
        <v>95</v>
      </c>
      <c r="F66" s="8" t="s">
        <v>15</v>
      </c>
      <c r="G66" s="16" t="s">
        <v>830</v>
      </c>
      <c r="H66" s="16">
        <f>248*117/100</f>
        <v>290.16000000000003</v>
      </c>
      <c r="I66" s="16">
        <f>H66*300</f>
        <v>87048.000000000015</v>
      </c>
      <c r="J66" s="173" t="s">
        <v>16</v>
      </c>
      <c r="K66" s="272"/>
      <c r="L66" s="263"/>
      <c r="M66" s="247"/>
    </row>
    <row r="67" spans="1:13" ht="14.25" customHeight="1" x14ac:dyDescent="0.25">
      <c r="A67" s="260"/>
      <c r="B67" s="248" t="s">
        <v>838</v>
      </c>
      <c r="C67" s="249"/>
      <c r="D67" s="249"/>
      <c r="E67" s="249"/>
      <c r="F67" s="249"/>
      <c r="G67" s="249"/>
      <c r="H67" s="249"/>
      <c r="I67" s="249"/>
      <c r="J67" s="249"/>
      <c r="K67" s="249"/>
      <c r="L67" s="249"/>
      <c r="M67" s="250"/>
    </row>
    <row r="68" spans="1:13" ht="15.6" x14ac:dyDescent="0.25">
      <c r="A68" s="251" t="s">
        <v>841</v>
      </c>
      <c r="B68" s="252"/>
      <c r="C68" s="252"/>
      <c r="D68" s="252"/>
      <c r="E68" s="252"/>
      <c r="F68" s="252"/>
      <c r="G68" s="252"/>
      <c r="H68" s="252"/>
      <c r="I68" s="252"/>
      <c r="J68" s="252"/>
      <c r="K68" s="252"/>
      <c r="L68" s="252"/>
      <c r="M68" s="253"/>
    </row>
    <row r="69" spans="1:13" ht="25.5" customHeight="1" x14ac:dyDescent="0.25">
      <c r="A69" s="264">
        <v>13</v>
      </c>
      <c r="B69" s="265" t="s">
        <v>842</v>
      </c>
      <c r="C69" s="265" t="s">
        <v>540</v>
      </c>
      <c r="D69" s="17" t="s">
        <v>843</v>
      </c>
      <c r="E69" s="18">
        <v>100</v>
      </c>
      <c r="F69" s="19" t="s">
        <v>15</v>
      </c>
      <c r="G69" s="24" t="s">
        <v>687</v>
      </c>
      <c r="H69" s="24">
        <f>237.6*117/100</f>
        <v>277.99200000000002</v>
      </c>
      <c r="I69" s="24">
        <f>H69*150</f>
        <v>41698.800000000003</v>
      </c>
      <c r="J69" s="17" t="s">
        <v>16</v>
      </c>
      <c r="K69" s="271" t="s">
        <v>45</v>
      </c>
      <c r="L69" s="266" t="s">
        <v>48</v>
      </c>
      <c r="M69" s="267"/>
    </row>
    <row r="70" spans="1:13" ht="26.4" x14ac:dyDescent="0.25">
      <c r="A70" s="259"/>
      <c r="B70" s="261"/>
      <c r="C70" s="261"/>
      <c r="D70" s="73" t="s">
        <v>814</v>
      </c>
      <c r="E70" s="74">
        <v>79</v>
      </c>
      <c r="F70" s="16" t="s">
        <v>15</v>
      </c>
      <c r="G70" s="16" t="s">
        <v>687</v>
      </c>
      <c r="H70" s="16">
        <f>340*117/100</f>
        <v>397.8</v>
      </c>
      <c r="I70" s="16">
        <f t="shared" ref="I70:I71" si="6">H70*150</f>
        <v>59670</v>
      </c>
      <c r="J70" s="73" t="s">
        <v>16</v>
      </c>
      <c r="K70" s="262"/>
      <c r="L70" s="263"/>
      <c r="M70" s="247"/>
    </row>
    <row r="71" spans="1:13" ht="26.4" x14ac:dyDescent="0.25">
      <c r="A71" s="259"/>
      <c r="B71" s="261"/>
      <c r="C71" s="261"/>
      <c r="D71" s="143" t="s">
        <v>816</v>
      </c>
      <c r="E71" s="81">
        <v>64</v>
      </c>
      <c r="F71" s="8" t="s">
        <v>15</v>
      </c>
      <c r="G71" s="16" t="s">
        <v>687</v>
      </c>
      <c r="H71" s="16">
        <f>484*117/100</f>
        <v>566.28</v>
      </c>
      <c r="I71" s="16">
        <f t="shared" si="6"/>
        <v>84942</v>
      </c>
      <c r="J71" s="173" t="s">
        <v>16</v>
      </c>
      <c r="K71" s="262"/>
      <c r="L71" s="263"/>
      <c r="M71" s="247"/>
    </row>
    <row r="72" spans="1:13" ht="14.25" customHeight="1" x14ac:dyDescent="0.25">
      <c r="A72" s="260"/>
      <c r="B72" s="248" t="s">
        <v>844</v>
      </c>
      <c r="C72" s="249"/>
      <c r="D72" s="249"/>
      <c r="E72" s="249"/>
      <c r="F72" s="249"/>
      <c r="G72" s="249"/>
      <c r="H72" s="249"/>
      <c r="I72" s="249"/>
      <c r="J72" s="249"/>
      <c r="K72" s="249"/>
      <c r="L72" s="249"/>
      <c r="M72" s="250"/>
    </row>
    <row r="73" spans="1:13" ht="15.6" x14ac:dyDescent="0.25">
      <c r="A73" s="251" t="s">
        <v>846</v>
      </c>
      <c r="B73" s="252"/>
      <c r="C73" s="252"/>
      <c r="D73" s="252"/>
      <c r="E73" s="252"/>
      <c r="F73" s="252"/>
      <c r="G73" s="252"/>
      <c r="H73" s="252"/>
      <c r="I73" s="252"/>
      <c r="J73" s="252"/>
      <c r="K73" s="252"/>
      <c r="L73" s="252"/>
      <c r="M73" s="253"/>
    </row>
    <row r="74" spans="1:13" ht="25.5" customHeight="1" x14ac:dyDescent="0.25">
      <c r="A74" s="264">
        <v>14</v>
      </c>
      <c r="B74" s="265" t="s">
        <v>847</v>
      </c>
      <c r="C74" s="265" t="s">
        <v>798</v>
      </c>
      <c r="D74" s="17" t="s">
        <v>849</v>
      </c>
      <c r="E74" s="18">
        <v>100</v>
      </c>
      <c r="F74" s="19" t="s">
        <v>20</v>
      </c>
      <c r="G74" s="24" t="s">
        <v>20</v>
      </c>
      <c r="H74" s="24">
        <f>140000*117/100</f>
        <v>163800</v>
      </c>
      <c r="I74" s="24">
        <f>H74</f>
        <v>163800</v>
      </c>
      <c r="J74" s="17" t="s">
        <v>16</v>
      </c>
      <c r="K74" s="271" t="s">
        <v>45</v>
      </c>
      <c r="L74" s="266" t="s">
        <v>48</v>
      </c>
      <c r="M74" s="267"/>
    </row>
    <row r="75" spans="1:13" ht="13.8" x14ac:dyDescent="0.25">
      <c r="A75" s="259"/>
      <c r="B75" s="261"/>
      <c r="C75" s="261"/>
      <c r="D75" s="73" t="s">
        <v>850</v>
      </c>
      <c r="E75" s="74">
        <v>94</v>
      </c>
      <c r="F75" s="8" t="s">
        <v>20</v>
      </c>
      <c r="G75" s="16" t="s">
        <v>20</v>
      </c>
      <c r="H75" s="16">
        <f t="shared" ref="H75:H76" si="7">140000*117/100</f>
        <v>163800</v>
      </c>
      <c r="I75" s="16">
        <f t="shared" ref="I75" si="8">H75</f>
        <v>163800</v>
      </c>
      <c r="J75" s="73"/>
      <c r="K75" s="262"/>
      <c r="L75" s="263"/>
      <c r="M75" s="247"/>
    </row>
    <row r="76" spans="1:13" ht="13.8" x14ac:dyDescent="0.25">
      <c r="A76" s="259"/>
      <c r="B76" s="261"/>
      <c r="C76" s="261"/>
      <c r="D76" s="73" t="s">
        <v>851</v>
      </c>
      <c r="E76" s="7">
        <v>94</v>
      </c>
      <c r="F76" s="8" t="s">
        <v>20</v>
      </c>
      <c r="G76" s="16" t="s">
        <v>20</v>
      </c>
      <c r="H76" s="16">
        <f t="shared" si="7"/>
        <v>163800</v>
      </c>
      <c r="I76" s="16">
        <f>H76</f>
        <v>163800</v>
      </c>
      <c r="J76" s="174" t="s">
        <v>16</v>
      </c>
      <c r="K76" s="262"/>
      <c r="L76" s="263"/>
      <c r="M76" s="247"/>
    </row>
    <row r="77" spans="1:13" ht="13.8" x14ac:dyDescent="0.25">
      <c r="A77" s="259"/>
      <c r="B77" s="261"/>
      <c r="C77" s="261"/>
      <c r="D77" s="73" t="s">
        <v>852</v>
      </c>
      <c r="E77" s="7">
        <v>94</v>
      </c>
      <c r="F77" s="8" t="s">
        <v>20</v>
      </c>
      <c r="G77" s="16" t="s">
        <v>20</v>
      </c>
      <c r="H77" s="16">
        <f>152250*117/100</f>
        <v>178132.5</v>
      </c>
      <c r="I77" s="16">
        <f>H77</f>
        <v>178132.5</v>
      </c>
      <c r="J77" s="174" t="s">
        <v>16</v>
      </c>
      <c r="K77" s="262"/>
      <c r="L77" s="263"/>
      <c r="M77" s="247"/>
    </row>
    <row r="78" spans="1:13" ht="14.25" customHeight="1" x14ac:dyDescent="0.25">
      <c r="A78" s="260"/>
      <c r="B78" s="248" t="s">
        <v>848</v>
      </c>
      <c r="C78" s="249"/>
      <c r="D78" s="249"/>
      <c r="E78" s="249"/>
      <c r="F78" s="249"/>
      <c r="G78" s="249"/>
      <c r="H78" s="249"/>
      <c r="I78" s="249"/>
      <c r="J78" s="249"/>
      <c r="K78" s="249"/>
      <c r="L78" s="249"/>
      <c r="M78" s="250"/>
    </row>
  </sheetData>
  <mergeCells count="108">
    <mergeCell ref="A34:M34"/>
    <mergeCell ref="A35:A39"/>
    <mergeCell ref="B35:B38"/>
    <mergeCell ref="B23:M23"/>
    <mergeCell ref="K30:K32"/>
    <mergeCell ref="M30:M32"/>
    <mergeCell ref="B33:M33"/>
    <mergeCell ref="L30:L32"/>
    <mergeCell ref="C35:C38"/>
    <mergeCell ref="K35:K38"/>
    <mergeCell ref="L35:L38"/>
    <mergeCell ref="M35:M38"/>
    <mergeCell ref="B39:M39"/>
    <mergeCell ref="B78:M78"/>
    <mergeCell ref="A7:M7"/>
    <mergeCell ref="A8:A9"/>
    <mergeCell ref="B9:M9"/>
    <mergeCell ref="A10:M10"/>
    <mergeCell ref="A11:A12"/>
    <mergeCell ref="B12:M12"/>
    <mergeCell ref="A18:M18"/>
    <mergeCell ref="A45:M45"/>
    <mergeCell ref="A46:A49"/>
    <mergeCell ref="B46:B48"/>
    <mergeCell ref="C46:C48"/>
    <mergeCell ref="K46:K48"/>
    <mergeCell ref="B19:B22"/>
    <mergeCell ref="A25:A28"/>
    <mergeCell ref="A74:A78"/>
    <mergeCell ref="L74:L77"/>
    <mergeCell ref="M74:M77"/>
    <mergeCell ref="B74:B77"/>
    <mergeCell ref="C74:C77"/>
    <mergeCell ref="K74:K77"/>
    <mergeCell ref="A73:M73"/>
    <mergeCell ref="A41:A44"/>
    <mergeCell ref="B41:B43"/>
    <mergeCell ref="M19:M22"/>
    <mergeCell ref="A29:M29"/>
    <mergeCell ref="A30:A33"/>
    <mergeCell ref="B30:B32"/>
    <mergeCell ref="C30:C32"/>
    <mergeCell ref="A24:M24"/>
    <mergeCell ref="C19:C22"/>
    <mergeCell ref="K19:K22"/>
    <mergeCell ref="L19:L22"/>
    <mergeCell ref="A19:A23"/>
    <mergeCell ref="B25:B27"/>
    <mergeCell ref="C25:C27"/>
    <mergeCell ref="K25:K27"/>
    <mergeCell ref="L25:L27"/>
    <mergeCell ref="M25:M27"/>
    <mergeCell ref="B28:M28"/>
    <mergeCell ref="A1:A6"/>
    <mergeCell ref="B1:M1"/>
    <mergeCell ref="B2:M2"/>
    <mergeCell ref="B3:M3"/>
    <mergeCell ref="B4:M4"/>
    <mergeCell ref="B5:M5"/>
    <mergeCell ref="A13:M13"/>
    <mergeCell ref="A14:A17"/>
    <mergeCell ref="B14:B16"/>
    <mergeCell ref="C14:C16"/>
    <mergeCell ref="K14:K16"/>
    <mergeCell ref="L14:L16"/>
    <mergeCell ref="M14:M16"/>
    <mergeCell ref="B17:M17"/>
    <mergeCell ref="A40:M40"/>
    <mergeCell ref="A50:M50"/>
    <mergeCell ref="A51:A55"/>
    <mergeCell ref="B51:B54"/>
    <mergeCell ref="C51:C54"/>
    <mergeCell ref="K51:K54"/>
    <mergeCell ref="L51:L54"/>
    <mergeCell ref="M51:M54"/>
    <mergeCell ref="B55:M55"/>
    <mergeCell ref="C41:C43"/>
    <mergeCell ref="K41:K43"/>
    <mergeCell ref="L41:L43"/>
    <mergeCell ref="B44:M44"/>
    <mergeCell ref="L46:L48"/>
    <mergeCell ref="M46:M48"/>
    <mergeCell ref="B49:M49"/>
    <mergeCell ref="M41:M43"/>
    <mergeCell ref="A69:A72"/>
    <mergeCell ref="B69:B71"/>
    <mergeCell ref="C69:C71"/>
    <mergeCell ref="K69:K71"/>
    <mergeCell ref="L69:L71"/>
    <mergeCell ref="C63:C66"/>
    <mergeCell ref="K63:K66"/>
    <mergeCell ref="L63:L66"/>
    <mergeCell ref="M63:M66"/>
    <mergeCell ref="B67:M67"/>
    <mergeCell ref="M69:M71"/>
    <mergeCell ref="B72:M72"/>
    <mergeCell ref="A63:A67"/>
    <mergeCell ref="B63:B66"/>
    <mergeCell ref="A56:M56"/>
    <mergeCell ref="A57:A61"/>
    <mergeCell ref="B57:B60"/>
    <mergeCell ref="C57:C60"/>
    <mergeCell ref="K57:K60"/>
    <mergeCell ref="L57:L60"/>
    <mergeCell ref="M57:M60"/>
    <mergeCell ref="B61:M61"/>
    <mergeCell ref="A68:M68"/>
    <mergeCell ref="A62:M62"/>
  </mergeCells>
  <pageMargins left="0.23622047244094491" right="0.23622047244094491" top="0.55118110236220474" bottom="0.55118110236220474" header="0.31496062992125984" footer="0.31496062992125984"/>
  <pageSetup paperSize="9" scale="79" fitToHeight="0" orientation="landscape" r:id="rId1"/>
  <rowBreaks count="1" manualBreakCount="1">
    <brk id="2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1"/>
  <sheetViews>
    <sheetView rightToLeft="1" zoomScaleNormal="100" zoomScaleSheetLayoutView="75" workbookViewId="0">
      <pane ySplit="6" topLeftCell="A7" activePane="bottomLeft" state="frozen"/>
      <selection pane="bottomLeft" activeCell="B2" sqref="B2:M2"/>
    </sheetView>
  </sheetViews>
  <sheetFormatPr defaultColWidth="8.69921875" defaultRowHeight="15" x14ac:dyDescent="0.25"/>
  <cols>
    <col min="1" max="1" width="4.19921875" customWidth="1"/>
    <col min="2" max="2" width="21.09765625" style="10" bestFit="1" customWidth="1"/>
    <col min="4" max="4" width="10.19921875" customWidth="1"/>
    <col min="5" max="5" width="7.69921875" customWidth="1"/>
    <col min="6" max="6" width="10.19921875" bestFit="1" customWidth="1"/>
    <col min="7" max="7" width="12.09765625" style="11" bestFit="1" customWidth="1"/>
    <col min="8" max="8" width="13.59765625" style="12" bestFit="1" customWidth="1"/>
    <col min="9" max="9" width="14.59765625" style="12" bestFit="1" customWidth="1"/>
    <col min="10" max="10" width="9" customWidth="1"/>
    <col min="11" max="11" width="23.59765625" style="13" customWidth="1"/>
    <col min="12" max="12" width="10.09765625" style="14" customWidth="1"/>
    <col min="13" max="13" width="19.69921875" style="15" customWidth="1"/>
  </cols>
  <sheetData>
    <row r="1" spans="1:13" ht="21" x14ac:dyDescent="0.25">
      <c r="A1" s="254"/>
      <c r="B1" s="255" t="s">
        <v>803</v>
      </c>
      <c r="C1" s="255"/>
      <c r="D1" s="255"/>
      <c r="E1" s="255"/>
      <c r="F1" s="255"/>
      <c r="G1" s="255"/>
      <c r="H1" s="255"/>
      <c r="I1" s="255"/>
      <c r="J1" s="255"/>
      <c r="K1" s="255"/>
      <c r="L1" s="255"/>
      <c r="M1" s="255"/>
    </row>
    <row r="2" spans="1:13" ht="29.4" customHeight="1" x14ac:dyDescent="0.25">
      <c r="A2" s="254"/>
      <c r="B2" s="256" t="s">
        <v>663</v>
      </c>
      <c r="C2" s="256"/>
      <c r="D2" s="256"/>
      <c r="E2" s="256"/>
      <c r="F2" s="256"/>
      <c r="G2" s="256"/>
      <c r="H2" s="256"/>
      <c r="I2" s="256"/>
      <c r="J2" s="256"/>
      <c r="K2" s="256"/>
      <c r="L2" s="256"/>
      <c r="M2" s="256"/>
    </row>
    <row r="3" spans="1:13" ht="15.6" x14ac:dyDescent="0.25">
      <c r="A3" s="254"/>
      <c r="B3" s="257"/>
      <c r="C3" s="257"/>
      <c r="D3" s="257"/>
      <c r="E3" s="257"/>
      <c r="F3" s="257"/>
      <c r="G3" s="257"/>
      <c r="H3" s="257"/>
      <c r="I3" s="257"/>
      <c r="J3" s="257"/>
      <c r="K3" s="257"/>
      <c r="L3" s="257"/>
      <c r="M3" s="257"/>
    </row>
    <row r="4" spans="1:13" ht="13.8" x14ac:dyDescent="0.25">
      <c r="A4" s="254"/>
      <c r="B4" s="258" t="s">
        <v>793</v>
      </c>
      <c r="C4" s="258"/>
      <c r="D4" s="258"/>
      <c r="E4" s="258"/>
      <c r="F4" s="258"/>
      <c r="G4" s="258"/>
      <c r="H4" s="258"/>
      <c r="I4" s="258"/>
      <c r="J4" s="258"/>
      <c r="K4" s="258"/>
      <c r="L4" s="258"/>
      <c r="M4" s="258"/>
    </row>
    <row r="5" spans="1:13" ht="13.8" x14ac:dyDescent="0.25">
      <c r="A5" s="254"/>
      <c r="B5" s="258" t="s">
        <v>792</v>
      </c>
      <c r="C5" s="258"/>
      <c r="D5" s="258"/>
      <c r="E5" s="258"/>
      <c r="F5" s="258"/>
      <c r="G5" s="258"/>
      <c r="H5" s="258"/>
      <c r="I5" s="258"/>
      <c r="J5" s="258"/>
      <c r="K5" s="258"/>
      <c r="L5" s="258"/>
      <c r="M5" s="258"/>
    </row>
    <row r="6" spans="1:13" ht="46.8" x14ac:dyDescent="0.25">
      <c r="A6" s="254"/>
      <c r="B6" s="1" t="s">
        <v>3</v>
      </c>
      <c r="C6" s="2" t="s">
        <v>4</v>
      </c>
      <c r="D6" s="3" t="s">
        <v>5</v>
      </c>
      <c r="E6" s="3" t="s">
        <v>6</v>
      </c>
      <c r="F6" s="3" t="s">
        <v>7</v>
      </c>
      <c r="G6" s="3" t="s">
        <v>8</v>
      </c>
      <c r="H6" s="4" t="s">
        <v>9</v>
      </c>
      <c r="I6" s="5" t="s">
        <v>10</v>
      </c>
      <c r="J6" s="3" t="s">
        <v>11</v>
      </c>
      <c r="K6" s="3" t="s">
        <v>12</v>
      </c>
      <c r="L6" s="6" t="s">
        <v>13</v>
      </c>
      <c r="M6" s="3" t="s">
        <v>14</v>
      </c>
    </row>
    <row r="7" spans="1:13" ht="15.6" x14ac:dyDescent="0.25">
      <c r="A7" s="251" t="s">
        <v>753</v>
      </c>
      <c r="B7" s="252"/>
      <c r="C7" s="252"/>
      <c r="D7" s="252"/>
      <c r="E7" s="252"/>
      <c r="F7" s="252"/>
      <c r="G7" s="252"/>
      <c r="H7" s="252"/>
      <c r="I7" s="252"/>
      <c r="J7" s="252"/>
      <c r="K7" s="252"/>
      <c r="L7" s="252"/>
      <c r="M7" s="253"/>
    </row>
    <row r="8" spans="1:13" ht="92.4" x14ac:dyDescent="0.25">
      <c r="A8" s="264">
        <v>1</v>
      </c>
      <c r="B8" s="150" t="s">
        <v>476</v>
      </c>
      <c r="C8" s="150" t="s">
        <v>477</v>
      </c>
      <c r="D8" s="22" t="s">
        <v>479</v>
      </c>
      <c r="E8" s="23">
        <v>100</v>
      </c>
      <c r="F8" s="24" t="s">
        <v>20</v>
      </c>
      <c r="G8" s="24" t="s">
        <v>20</v>
      </c>
      <c r="H8" s="24">
        <f>30000*117/100</f>
        <v>35100</v>
      </c>
      <c r="I8" s="24">
        <f>H8</f>
        <v>35100</v>
      </c>
      <c r="J8" s="22" t="s">
        <v>16</v>
      </c>
      <c r="K8" s="161" t="s">
        <v>46</v>
      </c>
      <c r="L8" s="152" t="s">
        <v>48</v>
      </c>
      <c r="M8" s="151">
        <v>2130022761</v>
      </c>
    </row>
    <row r="9" spans="1:13" ht="14.25" customHeight="1" x14ac:dyDescent="0.25">
      <c r="A9" s="260"/>
      <c r="B9" s="248" t="s">
        <v>752</v>
      </c>
      <c r="C9" s="249"/>
      <c r="D9" s="249"/>
      <c r="E9" s="249"/>
      <c r="F9" s="249"/>
      <c r="G9" s="249"/>
      <c r="H9" s="249"/>
      <c r="I9" s="249"/>
      <c r="J9" s="249"/>
      <c r="K9" s="249"/>
      <c r="L9" s="249"/>
      <c r="M9" s="250"/>
    </row>
    <row r="10" spans="1:13" ht="15.6" x14ac:dyDescent="0.25">
      <c r="A10" s="251" t="s">
        <v>754</v>
      </c>
      <c r="B10" s="252"/>
      <c r="C10" s="252"/>
      <c r="D10" s="252"/>
      <c r="E10" s="252"/>
      <c r="F10" s="252"/>
      <c r="G10" s="252"/>
      <c r="H10" s="252"/>
      <c r="I10" s="252"/>
      <c r="J10" s="252"/>
      <c r="K10" s="252"/>
      <c r="L10" s="252"/>
      <c r="M10" s="253"/>
    </row>
    <row r="11" spans="1:13" ht="38.25" customHeight="1" x14ac:dyDescent="0.25">
      <c r="A11" s="264">
        <v>2</v>
      </c>
      <c r="B11" s="265" t="s">
        <v>755</v>
      </c>
      <c r="C11" s="278" t="s">
        <v>19</v>
      </c>
      <c r="D11" s="22" t="s">
        <v>804</v>
      </c>
      <c r="E11" s="23">
        <v>100</v>
      </c>
      <c r="F11" s="24" t="s">
        <v>20</v>
      </c>
      <c r="G11" s="24" t="s">
        <v>20</v>
      </c>
      <c r="H11" s="24">
        <f>25000*117/100</f>
        <v>29250</v>
      </c>
      <c r="I11" s="24">
        <f>H11</f>
        <v>29250</v>
      </c>
      <c r="J11" s="22" t="s">
        <v>16</v>
      </c>
      <c r="K11" s="271" t="s">
        <v>45</v>
      </c>
      <c r="L11" s="266" t="s">
        <v>48</v>
      </c>
      <c r="M11" s="267">
        <v>203009</v>
      </c>
    </row>
    <row r="12" spans="1:13" ht="14.25" customHeight="1" x14ac:dyDescent="0.25">
      <c r="A12" s="259"/>
      <c r="B12" s="261"/>
      <c r="C12" s="279"/>
      <c r="D12" s="153" t="s">
        <v>59</v>
      </c>
      <c r="E12" s="7">
        <v>100</v>
      </c>
      <c r="F12" s="16" t="s">
        <v>20</v>
      </c>
      <c r="G12" s="8" t="s">
        <v>20</v>
      </c>
      <c r="H12" s="8">
        <f>25000*117/100</f>
        <v>29250</v>
      </c>
      <c r="I12" s="16">
        <f>H12</f>
        <v>29250</v>
      </c>
      <c r="J12" s="153" t="s">
        <v>16</v>
      </c>
      <c r="K12" s="262"/>
      <c r="L12" s="263"/>
      <c r="M12" s="247"/>
    </row>
    <row r="13" spans="1:13" ht="14.25" customHeight="1" x14ac:dyDescent="0.25">
      <c r="A13" s="259"/>
      <c r="B13" s="261"/>
      <c r="C13" s="279"/>
      <c r="D13" s="154" t="s">
        <v>58</v>
      </c>
      <c r="E13" s="7">
        <v>88</v>
      </c>
      <c r="F13" s="16" t="s">
        <v>20</v>
      </c>
      <c r="G13" s="8" t="s">
        <v>20</v>
      </c>
      <c r="H13" s="8">
        <f>30000*117/100</f>
        <v>35100</v>
      </c>
      <c r="I13" s="16">
        <f>H13</f>
        <v>35100</v>
      </c>
      <c r="J13" s="154" t="s">
        <v>16</v>
      </c>
      <c r="K13" s="262"/>
      <c r="L13" s="263"/>
      <c r="M13" s="247"/>
    </row>
    <row r="14" spans="1:13" ht="14.25" customHeight="1" x14ac:dyDescent="0.25">
      <c r="A14" s="259"/>
      <c r="B14" s="261"/>
      <c r="C14" s="279"/>
      <c r="D14" s="154" t="s">
        <v>630</v>
      </c>
      <c r="E14" s="7">
        <v>69</v>
      </c>
      <c r="F14" s="16" t="s">
        <v>20</v>
      </c>
      <c r="G14" s="8" t="s">
        <v>20</v>
      </c>
      <c r="H14" s="8">
        <f>45000*117/100</f>
        <v>52650</v>
      </c>
      <c r="I14" s="16">
        <f t="shared" ref="I14:I15" si="0">H14</f>
        <v>52650</v>
      </c>
      <c r="J14" s="154" t="s">
        <v>16</v>
      </c>
      <c r="K14" s="262"/>
      <c r="L14" s="263"/>
      <c r="M14" s="247"/>
    </row>
    <row r="15" spans="1:13" ht="14.25" customHeight="1" x14ac:dyDescent="0.25">
      <c r="A15" s="259"/>
      <c r="B15" s="261"/>
      <c r="C15" s="279"/>
      <c r="D15" s="154" t="s">
        <v>768</v>
      </c>
      <c r="E15" s="7">
        <v>67</v>
      </c>
      <c r="F15" s="16" t="s">
        <v>20</v>
      </c>
      <c r="G15" s="8" t="s">
        <v>20</v>
      </c>
      <c r="H15" s="8">
        <f>47500*117/100</f>
        <v>55575</v>
      </c>
      <c r="I15" s="16">
        <f t="shared" si="0"/>
        <v>55575</v>
      </c>
      <c r="J15" s="154" t="s">
        <v>16</v>
      </c>
      <c r="K15" s="262"/>
      <c r="L15" s="263"/>
      <c r="M15" s="247"/>
    </row>
    <row r="16" spans="1:13" ht="18.75" customHeight="1" x14ac:dyDescent="0.25">
      <c r="A16" s="259"/>
      <c r="B16" s="268"/>
      <c r="C16" s="280"/>
      <c r="D16" s="153" t="s">
        <v>144</v>
      </c>
      <c r="E16" s="7">
        <v>65</v>
      </c>
      <c r="F16" s="16" t="s">
        <v>20</v>
      </c>
      <c r="G16" s="8" t="s">
        <v>20</v>
      </c>
      <c r="H16" s="8">
        <f>50000*117/100</f>
        <v>58500</v>
      </c>
      <c r="I16" s="16">
        <f>H16</f>
        <v>58500</v>
      </c>
      <c r="J16" s="153" t="s">
        <v>16</v>
      </c>
      <c r="K16" s="272"/>
      <c r="L16" s="269"/>
      <c r="M16" s="270"/>
    </row>
    <row r="17" spans="1:13" ht="14.25" customHeight="1" x14ac:dyDescent="0.25">
      <c r="A17" s="260"/>
      <c r="B17" s="248"/>
      <c r="C17" s="249"/>
      <c r="D17" s="249"/>
      <c r="E17" s="249"/>
      <c r="F17" s="249"/>
      <c r="G17" s="249"/>
      <c r="H17" s="249"/>
      <c r="I17" s="249"/>
      <c r="J17" s="249"/>
      <c r="K17" s="249"/>
      <c r="L17" s="249"/>
      <c r="M17" s="250"/>
    </row>
    <row r="18" spans="1:13" ht="15.6" x14ac:dyDescent="0.25">
      <c r="A18" s="251" t="s">
        <v>769</v>
      </c>
      <c r="B18" s="252"/>
      <c r="C18" s="252"/>
      <c r="D18" s="252"/>
      <c r="E18" s="252"/>
      <c r="F18" s="252"/>
      <c r="G18" s="252"/>
      <c r="H18" s="252"/>
      <c r="I18" s="252"/>
      <c r="J18" s="252"/>
      <c r="K18" s="252"/>
      <c r="L18" s="252"/>
      <c r="M18" s="253"/>
    </row>
    <row r="19" spans="1:13" ht="25.5" customHeight="1" x14ac:dyDescent="0.25">
      <c r="A19" s="264">
        <v>3</v>
      </c>
      <c r="B19" s="265" t="s">
        <v>794</v>
      </c>
      <c r="C19" s="265" t="s">
        <v>751</v>
      </c>
      <c r="D19" s="22" t="s">
        <v>770</v>
      </c>
      <c r="E19" s="23">
        <v>100</v>
      </c>
      <c r="F19" s="24" t="s">
        <v>409</v>
      </c>
      <c r="G19" s="24" t="s">
        <v>771</v>
      </c>
      <c r="H19" s="24">
        <f>29000*117/100</f>
        <v>33930</v>
      </c>
      <c r="I19" s="24">
        <f>H19*7</f>
        <v>237510</v>
      </c>
      <c r="J19" s="22" t="s">
        <v>16</v>
      </c>
      <c r="K19" s="271" t="s">
        <v>45</v>
      </c>
      <c r="L19" s="266" t="s">
        <v>48</v>
      </c>
      <c r="M19" s="267">
        <v>1092000540</v>
      </c>
    </row>
    <row r="20" spans="1:13" ht="26.4" x14ac:dyDescent="0.25">
      <c r="A20" s="259"/>
      <c r="B20" s="261"/>
      <c r="C20" s="261"/>
      <c r="D20" s="155" t="s">
        <v>772</v>
      </c>
      <c r="E20" s="7">
        <v>83</v>
      </c>
      <c r="F20" s="16" t="s">
        <v>409</v>
      </c>
      <c r="G20" s="8" t="s">
        <v>771</v>
      </c>
      <c r="H20" s="8">
        <f>38000*117/100</f>
        <v>44460</v>
      </c>
      <c r="I20" s="16">
        <f>H20*7</f>
        <v>311220</v>
      </c>
      <c r="J20" s="155"/>
      <c r="K20" s="262"/>
      <c r="L20" s="263"/>
      <c r="M20" s="247"/>
    </row>
    <row r="21" spans="1:13" ht="26.4" x14ac:dyDescent="0.25">
      <c r="A21" s="259"/>
      <c r="B21" s="268"/>
      <c r="C21" s="268"/>
      <c r="D21" s="155" t="s">
        <v>773</v>
      </c>
      <c r="E21" s="7">
        <v>83</v>
      </c>
      <c r="F21" s="16" t="s">
        <v>647</v>
      </c>
      <c r="G21" s="8" t="s">
        <v>771</v>
      </c>
      <c r="H21" s="8">
        <f>38571*117/100</f>
        <v>45128.07</v>
      </c>
      <c r="I21" s="16">
        <f>H21*7</f>
        <v>315896.49</v>
      </c>
      <c r="J21" s="155"/>
      <c r="K21" s="272"/>
      <c r="L21" s="269"/>
      <c r="M21" s="270"/>
    </row>
    <row r="22" spans="1:13" ht="14.25" customHeight="1" x14ac:dyDescent="0.25">
      <c r="A22" s="260"/>
      <c r="B22" s="248" t="s">
        <v>747</v>
      </c>
      <c r="C22" s="249"/>
      <c r="D22" s="249"/>
      <c r="E22" s="249"/>
      <c r="F22" s="249"/>
      <c r="G22" s="249"/>
      <c r="H22" s="249"/>
      <c r="I22" s="249"/>
      <c r="J22" s="249"/>
      <c r="K22" s="249"/>
      <c r="L22" s="249"/>
      <c r="M22" s="250"/>
    </row>
    <row r="23" spans="1:13" ht="15.6" x14ac:dyDescent="0.25">
      <c r="A23" s="251" t="s">
        <v>774</v>
      </c>
      <c r="B23" s="252"/>
      <c r="C23" s="252"/>
      <c r="D23" s="252"/>
      <c r="E23" s="252"/>
      <c r="F23" s="252"/>
      <c r="G23" s="252"/>
      <c r="H23" s="252"/>
      <c r="I23" s="252"/>
      <c r="J23" s="252"/>
      <c r="K23" s="252"/>
      <c r="L23" s="252"/>
      <c r="M23" s="253"/>
    </row>
    <row r="24" spans="1:13" ht="14.25" customHeight="1" x14ac:dyDescent="0.25">
      <c r="A24" s="264">
        <v>4</v>
      </c>
      <c r="B24" s="265" t="s">
        <v>201</v>
      </c>
      <c r="C24" s="265" t="s">
        <v>202</v>
      </c>
      <c r="D24" s="17" t="s">
        <v>204</v>
      </c>
      <c r="E24" s="18">
        <v>100</v>
      </c>
      <c r="F24" s="24" t="s">
        <v>205</v>
      </c>
      <c r="G24" s="24" t="s">
        <v>799</v>
      </c>
      <c r="H24" s="24">
        <f>3500*117/100</f>
        <v>4095</v>
      </c>
      <c r="I24" s="24">
        <f>H24*14</f>
        <v>57330</v>
      </c>
      <c r="J24" s="17" t="s">
        <v>16</v>
      </c>
      <c r="K24" s="271" t="s">
        <v>45</v>
      </c>
      <c r="L24" s="284" t="s">
        <v>48</v>
      </c>
      <c r="M24" s="267" t="s">
        <v>203</v>
      </c>
    </row>
    <row r="25" spans="1:13" ht="14.25" customHeight="1" x14ac:dyDescent="0.25">
      <c r="A25" s="259"/>
      <c r="B25" s="261"/>
      <c r="C25" s="261"/>
      <c r="D25" s="156" t="s">
        <v>183</v>
      </c>
      <c r="E25" s="7">
        <v>91</v>
      </c>
      <c r="F25" s="16" t="s">
        <v>205</v>
      </c>
      <c r="G25" s="16" t="s">
        <v>799</v>
      </c>
      <c r="H25" s="16">
        <f>4000*117/100</f>
        <v>4680</v>
      </c>
      <c r="I25" s="16">
        <f>H25*14</f>
        <v>65520</v>
      </c>
      <c r="J25" s="156" t="s">
        <v>16</v>
      </c>
      <c r="K25" s="262"/>
      <c r="L25" s="285"/>
      <c r="M25" s="247"/>
    </row>
    <row r="26" spans="1:13" ht="14.25" customHeight="1" x14ac:dyDescent="0.25">
      <c r="A26" s="259"/>
      <c r="B26" s="268"/>
      <c r="C26" s="268"/>
      <c r="D26" s="156" t="s">
        <v>485</v>
      </c>
      <c r="E26" s="7">
        <v>78</v>
      </c>
      <c r="F26" s="16" t="s">
        <v>205</v>
      </c>
      <c r="G26" s="16" t="s">
        <v>799</v>
      </c>
      <c r="H26" s="16">
        <f>5100*117/100</f>
        <v>5967</v>
      </c>
      <c r="I26" s="16">
        <f>H26*14</f>
        <v>83538</v>
      </c>
      <c r="J26" s="156" t="s">
        <v>16</v>
      </c>
      <c r="K26" s="272"/>
      <c r="L26" s="286"/>
      <c r="M26" s="270"/>
    </row>
    <row r="27" spans="1:13" ht="14.25" customHeight="1" x14ac:dyDescent="0.25">
      <c r="A27" s="260"/>
      <c r="B27" s="248" t="s">
        <v>173</v>
      </c>
      <c r="C27" s="249"/>
      <c r="D27" s="249"/>
      <c r="E27" s="249"/>
      <c r="F27" s="249"/>
      <c r="G27" s="249"/>
      <c r="H27" s="249"/>
      <c r="I27" s="249"/>
      <c r="J27" s="249"/>
      <c r="K27" s="249"/>
      <c r="L27" s="249"/>
      <c r="M27" s="250"/>
    </row>
    <row r="28" spans="1:13" ht="15.6" x14ac:dyDescent="0.25">
      <c r="A28" s="251" t="s">
        <v>775</v>
      </c>
      <c r="B28" s="252"/>
      <c r="C28" s="252"/>
      <c r="D28" s="252"/>
      <c r="E28" s="252"/>
      <c r="F28" s="252"/>
      <c r="G28" s="252"/>
      <c r="H28" s="252"/>
      <c r="I28" s="252"/>
      <c r="J28" s="252"/>
      <c r="K28" s="252"/>
      <c r="L28" s="252"/>
      <c r="M28" s="253"/>
    </row>
    <row r="29" spans="1:13" ht="39.6" x14ac:dyDescent="0.25">
      <c r="A29" s="264">
        <v>5</v>
      </c>
      <c r="B29" s="265" t="s">
        <v>777</v>
      </c>
      <c r="C29" s="265" t="s">
        <v>776</v>
      </c>
      <c r="D29" s="116" t="s">
        <v>228</v>
      </c>
      <c r="E29" s="128">
        <v>100</v>
      </c>
      <c r="F29" s="129" t="s">
        <v>15</v>
      </c>
      <c r="G29" s="129" t="s">
        <v>779</v>
      </c>
      <c r="H29" s="130">
        <f>180*117/100</f>
        <v>210.6</v>
      </c>
      <c r="I29" s="129">
        <f>H29*180*12</f>
        <v>454896</v>
      </c>
      <c r="J29" s="116" t="s">
        <v>16</v>
      </c>
      <c r="K29" s="271" t="s">
        <v>618</v>
      </c>
      <c r="L29" s="266" t="s">
        <v>48</v>
      </c>
      <c r="M29" s="267"/>
    </row>
    <row r="30" spans="1:13" ht="39.6" x14ac:dyDescent="0.25">
      <c r="A30" s="259"/>
      <c r="B30" s="261"/>
      <c r="C30" s="261"/>
      <c r="D30" s="157" t="s">
        <v>778</v>
      </c>
      <c r="E30" s="7">
        <v>89</v>
      </c>
      <c r="F30" s="8" t="s">
        <v>15</v>
      </c>
      <c r="G30" s="8" t="s">
        <v>779</v>
      </c>
      <c r="H30" s="8">
        <f>215*117/100</f>
        <v>251.55</v>
      </c>
      <c r="I30" s="8">
        <f>180*12*H30</f>
        <v>543348</v>
      </c>
      <c r="J30" s="157" t="s">
        <v>16</v>
      </c>
      <c r="K30" s="262"/>
      <c r="L30" s="263"/>
      <c r="M30" s="247"/>
    </row>
    <row r="31" spans="1:13" ht="39.6" x14ac:dyDescent="0.25">
      <c r="A31" s="259"/>
      <c r="B31" s="268"/>
      <c r="C31" s="268"/>
      <c r="D31" s="157" t="s">
        <v>209</v>
      </c>
      <c r="E31" s="7">
        <v>85</v>
      </c>
      <c r="F31" s="8" t="s">
        <v>15</v>
      </c>
      <c r="G31" s="8" t="s">
        <v>779</v>
      </c>
      <c r="H31" s="8">
        <f>230*117/100</f>
        <v>269.10000000000002</v>
      </c>
      <c r="I31" s="8">
        <f>180*12*H31</f>
        <v>581256</v>
      </c>
      <c r="J31" s="157" t="s">
        <v>16</v>
      </c>
      <c r="K31" s="272"/>
      <c r="L31" s="269"/>
      <c r="M31" s="270"/>
    </row>
    <row r="32" spans="1:13" ht="14.25" customHeight="1" x14ac:dyDescent="0.25">
      <c r="A32" s="260"/>
      <c r="B32" s="248"/>
      <c r="C32" s="249"/>
      <c r="D32" s="249"/>
      <c r="E32" s="249"/>
      <c r="F32" s="249"/>
      <c r="G32" s="249"/>
      <c r="H32" s="249"/>
      <c r="I32" s="249"/>
      <c r="J32" s="249"/>
      <c r="K32" s="249"/>
      <c r="L32" s="249"/>
      <c r="M32" s="250"/>
    </row>
    <row r="33" spans="1:13" ht="15.6" x14ac:dyDescent="0.25">
      <c r="A33" s="251" t="s">
        <v>780</v>
      </c>
      <c r="B33" s="252"/>
      <c r="C33" s="252"/>
      <c r="D33" s="252"/>
      <c r="E33" s="252"/>
      <c r="F33" s="252"/>
      <c r="G33" s="252"/>
      <c r="H33" s="252"/>
      <c r="I33" s="252"/>
      <c r="J33" s="252"/>
      <c r="K33" s="252"/>
      <c r="L33" s="252"/>
      <c r="M33" s="253"/>
    </row>
    <row r="34" spans="1:13" ht="25.5" customHeight="1" x14ac:dyDescent="0.25">
      <c r="A34" s="264">
        <v>6</v>
      </c>
      <c r="B34" s="265" t="s">
        <v>723</v>
      </c>
      <c r="C34" s="278" t="s">
        <v>35</v>
      </c>
      <c r="D34" s="116" t="s">
        <v>724</v>
      </c>
      <c r="E34" s="128">
        <v>100</v>
      </c>
      <c r="F34" s="129" t="s">
        <v>20</v>
      </c>
      <c r="G34" s="129" t="s">
        <v>20</v>
      </c>
      <c r="H34" s="130">
        <f>420000*117/100</f>
        <v>491400</v>
      </c>
      <c r="I34" s="129">
        <f>H34</f>
        <v>491400</v>
      </c>
      <c r="J34" s="116" t="s">
        <v>16</v>
      </c>
      <c r="K34" s="271" t="s">
        <v>800</v>
      </c>
      <c r="L34" s="266" t="s">
        <v>48</v>
      </c>
      <c r="M34" s="267">
        <v>44007</v>
      </c>
    </row>
    <row r="35" spans="1:13" ht="26.4" x14ac:dyDescent="0.25">
      <c r="A35" s="259"/>
      <c r="B35" s="261"/>
      <c r="C35" s="279"/>
      <c r="D35" s="143" t="s">
        <v>725</v>
      </c>
      <c r="E35" s="74">
        <v>97</v>
      </c>
      <c r="F35" s="16" t="s">
        <v>20</v>
      </c>
      <c r="G35" s="16" t="s">
        <v>20</v>
      </c>
      <c r="H35" s="16">
        <f>439600*117/100</f>
        <v>514332</v>
      </c>
      <c r="I35" s="16">
        <f t="shared" ref="I35" si="1">H35</f>
        <v>514332</v>
      </c>
      <c r="J35" s="73" t="s">
        <v>16</v>
      </c>
      <c r="K35" s="262"/>
      <c r="L35" s="263"/>
      <c r="M35" s="247"/>
    </row>
    <row r="36" spans="1:13" ht="26.4" x14ac:dyDescent="0.25">
      <c r="A36" s="259"/>
      <c r="B36" s="261"/>
      <c r="C36" s="279"/>
      <c r="D36" s="143" t="s">
        <v>720</v>
      </c>
      <c r="E36" s="74">
        <v>92</v>
      </c>
      <c r="F36" s="16" t="s">
        <v>20</v>
      </c>
      <c r="G36" s="16" t="s">
        <v>20</v>
      </c>
      <c r="H36" s="16">
        <f>476000*117/100</f>
        <v>556920</v>
      </c>
      <c r="I36" s="16">
        <f t="shared" ref="I36:I37" si="2">H36</f>
        <v>556920</v>
      </c>
      <c r="J36" s="73" t="s">
        <v>16</v>
      </c>
      <c r="K36" s="262"/>
      <c r="L36" s="263"/>
      <c r="M36" s="247"/>
    </row>
    <row r="37" spans="1:13" ht="26.4" x14ac:dyDescent="0.25">
      <c r="A37" s="259"/>
      <c r="B37" s="268"/>
      <c r="C37" s="280"/>
      <c r="D37" s="143" t="s">
        <v>781</v>
      </c>
      <c r="E37" s="74">
        <v>83</v>
      </c>
      <c r="F37" s="16" t="s">
        <v>20</v>
      </c>
      <c r="G37" s="16" t="s">
        <v>20</v>
      </c>
      <c r="H37" s="16">
        <f>560000*117/100</f>
        <v>655200</v>
      </c>
      <c r="I37" s="16">
        <f t="shared" si="2"/>
        <v>655200</v>
      </c>
      <c r="J37" s="73" t="s">
        <v>16</v>
      </c>
      <c r="K37" s="272"/>
      <c r="L37" s="269"/>
      <c r="M37" s="270"/>
    </row>
    <row r="38" spans="1:13" ht="14.25" customHeight="1" x14ac:dyDescent="0.25">
      <c r="A38" s="260"/>
      <c r="B38" s="248"/>
      <c r="C38" s="249"/>
      <c r="D38" s="249"/>
      <c r="E38" s="249"/>
      <c r="F38" s="249"/>
      <c r="G38" s="249"/>
      <c r="H38" s="249"/>
      <c r="I38" s="249"/>
      <c r="J38" s="249"/>
      <c r="K38" s="249"/>
      <c r="L38" s="249"/>
      <c r="M38" s="250"/>
    </row>
    <row r="39" spans="1:13" ht="15.6" x14ac:dyDescent="0.25">
      <c r="A39" s="251" t="s">
        <v>787</v>
      </c>
      <c r="B39" s="252"/>
      <c r="C39" s="252"/>
      <c r="D39" s="252"/>
      <c r="E39" s="252"/>
      <c r="F39" s="252"/>
      <c r="G39" s="252"/>
      <c r="H39" s="252"/>
      <c r="I39" s="252"/>
      <c r="J39" s="252"/>
      <c r="K39" s="252"/>
      <c r="L39" s="252"/>
      <c r="M39" s="253"/>
    </row>
    <row r="40" spans="1:13" ht="25.5" customHeight="1" x14ac:dyDescent="0.25">
      <c r="A40" s="264">
        <v>7</v>
      </c>
      <c r="B40" s="265" t="s">
        <v>782</v>
      </c>
      <c r="C40" s="278" t="s">
        <v>783</v>
      </c>
      <c r="D40" s="116" t="s">
        <v>791</v>
      </c>
      <c r="E40" s="128">
        <v>100</v>
      </c>
      <c r="F40" s="129" t="s">
        <v>20</v>
      </c>
      <c r="G40" s="129" t="s">
        <v>20</v>
      </c>
      <c r="H40" s="130">
        <f>191000*117/100</f>
        <v>223470</v>
      </c>
      <c r="I40" s="129">
        <f>H40</f>
        <v>223470</v>
      </c>
      <c r="J40" s="116" t="s">
        <v>16</v>
      </c>
      <c r="K40" s="271" t="s">
        <v>801</v>
      </c>
      <c r="L40" s="266" t="s">
        <v>48</v>
      </c>
      <c r="M40" s="267" t="s">
        <v>786</v>
      </c>
    </row>
    <row r="41" spans="1:13" ht="14.25" customHeight="1" x14ac:dyDescent="0.25">
      <c r="A41" s="259"/>
      <c r="B41" s="261"/>
      <c r="C41" s="279"/>
      <c r="D41" s="155" t="s">
        <v>784</v>
      </c>
      <c r="E41" s="7">
        <v>73</v>
      </c>
      <c r="F41" s="159" t="s">
        <v>20</v>
      </c>
      <c r="G41" s="159" t="s">
        <v>20</v>
      </c>
      <c r="H41" s="28">
        <f>313000*117/100</f>
        <v>366210</v>
      </c>
      <c r="I41" s="68">
        <f t="shared" ref="I41:I42" si="3">H41</f>
        <v>366210</v>
      </c>
      <c r="J41" s="80" t="s">
        <v>16</v>
      </c>
      <c r="K41" s="262"/>
      <c r="L41" s="263"/>
      <c r="M41" s="247"/>
    </row>
    <row r="42" spans="1:13" ht="14.25" customHeight="1" x14ac:dyDescent="0.25">
      <c r="A42" s="259"/>
      <c r="B42" s="268"/>
      <c r="C42" s="280"/>
      <c r="D42" s="155" t="s">
        <v>785</v>
      </c>
      <c r="E42" s="7">
        <v>69</v>
      </c>
      <c r="F42" s="159" t="s">
        <v>20</v>
      </c>
      <c r="G42" s="159" t="s">
        <v>20</v>
      </c>
      <c r="H42" s="28">
        <f>300000*117/100</f>
        <v>351000</v>
      </c>
      <c r="I42" s="68">
        <f t="shared" si="3"/>
        <v>351000</v>
      </c>
      <c r="J42" s="80" t="s">
        <v>16</v>
      </c>
      <c r="K42" s="272"/>
      <c r="L42" s="269"/>
      <c r="M42" s="270"/>
    </row>
    <row r="43" spans="1:13" ht="14.25" customHeight="1" x14ac:dyDescent="0.25">
      <c r="A43" s="260"/>
      <c r="B43" s="248" t="s">
        <v>747</v>
      </c>
      <c r="C43" s="249"/>
      <c r="D43" s="249"/>
      <c r="E43" s="249"/>
      <c r="F43" s="249"/>
      <c r="G43" s="249"/>
      <c r="H43" s="249"/>
      <c r="I43" s="249"/>
      <c r="J43" s="249"/>
      <c r="K43" s="249"/>
      <c r="L43" s="249"/>
      <c r="M43" s="250"/>
    </row>
    <row r="44" spans="1:13" ht="15.6" x14ac:dyDescent="0.25">
      <c r="A44" s="251" t="s">
        <v>789</v>
      </c>
      <c r="B44" s="252"/>
      <c r="C44" s="252"/>
      <c r="D44" s="252"/>
      <c r="E44" s="252"/>
      <c r="F44" s="252"/>
      <c r="G44" s="252"/>
      <c r="H44" s="252"/>
      <c r="I44" s="252"/>
      <c r="J44" s="252"/>
      <c r="K44" s="252"/>
      <c r="L44" s="252"/>
      <c r="M44" s="253"/>
    </row>
    <row r="45" spans="1:13" ht="25.5" customHeight="1" x14ac:dyDescent="0.25">
      <c r="A45" s="264">
        <v>8</v>
      </c>
      <c r="B45" s="265" t="s">
        <v>788</v>
      </c>
      <c r="C45" s="278" t="s">
        <v>783</v>
      </c>
      <c r="D45" s="116" t="s">
        <v>791</v>
      </c>
      <c r="E45" s="128">
        <v>100</v>
      </c>
      <c r="F45" s="129" t="s">
        <v>20</v>
      </c>
      <c r="G45" s="129" t="s">
        <v>20</v>
      </c>
      <c r="H45" s="130">
        <f>176000*117/100</f>
        <v>205920</v>
      </c>
      <c r="I45" s="129">
        <f>H45</f>
        <v>205920</v>
      </c>
      <c r="J45" s="116" t="s">
        <v>16</v>
      </c>
      <c r="K45" s="271" t="s">
        <v>801</v>
      </c>
      <c r="L45" s="266" t="s">
        <v>48</v>
      </c>
      <c r="M45" s="267" t="s">
        <v>790</v>
      </c>
    </row>
    <row r="46" spans="1:13" ht="14.25" customHeight="1" x14ac:dyDescent="0.25">
      <c r="A46" s="259"/>
      <c r="B46" s="261"/>
      <c r="C46" s="279"/>
      <c r="D46" s="158" t="s">
        <v>784</v>
      </c>
      <c r="E46" s="7">
        <v>80</v>
      </c>
      <c r="F46" s="159" t="s">
        <v>20</v>
      </c>
      <c r="G46" s="159" t="s">
        <v>20</v>
      </c>
      <c r="H46" s="28">
        <f>247000*117/100</f>
        <v>288990</v>
      </c>
      <c r="I46" s="68">
        <f t="shared" ref="I46:I47" si="4">H46</f>
        <v>288990</v>
      </c>
      <c r="J46" s="80" t="s">
        <v>16</v>
      </c>
      <c r="K46" s="262"/>
      <c r="L46" s="263"/>
      <c r="M46" s="247"/>
    </row>
    <row r="47" spans="1:13" ht="14.25" customHeight="1" x14ac:dyDescent="0.25">
      <c r="A47" s="259"/>
      <c r="B47" s="268"/>
      <c r="C47" s="280"/>
      <c r="D47" s="158" t="s">
        <v>785</v>
      </c>
      <c r="E47" s="7">
        <v>69</v>
      </c>
      <c r="F47" s="159" t="s">
        <v>20</v>
      </c>
      <c r="G47" s="159" t="s">
        <v>20</v>
      </c>
      <c r="H47" s="28">
        <f>275000*117/100</f>
        <v>321750</v>
      </c>
      <c r="I47" s="68">
        <f t="shared" si="4"/>
        <v>321750</v>
      </c>
      <c r="J47" s="80" t="s">
        <v>16</v>
      </c>
      <c r="K47" s="272"/>
      <c r="L47" s="269"/>
      <c r="M47" s="270"/>
    </row>
    <row r="48" spans="1:13" ht="14.25" customHeight="1" x14ac:dyDescent="0.25">
      <c r="A48" s="260"/>
      <c r="B48" s="248" t="s">
        <v>747</v>
      </c>
      <c r="C48" s="249"/>
      <c r="D48" s="249"/>
      <c r="E48" s="249"/>
      <c r="F48" s="249"/>
      <c r="G48" s="249"/>
      <c r="H48" s="249"/>
      <c r="I48" s="249"/>
      <c r="J48" s="249"/>
      <c r="K48" s="249"/>
      <c r="L48" s="249"/>
      <c r="M48" s="250"/>
    </row>
    <row r="49" spans="1:13" ht="15.6" x14ac:dyDescent="0.25">
      <c r="A49" s="251" t="s">
        <v>796</v>
      </c>
      <c r="B49" s="252"/>
      <c r="C49" s="252"/>
      <c r="D49" s="252"/>
      <c r="E49" s="252"/>
      <c r="F49" s="252"/>
      <c r="G49" s="252"/>
      <c r="H49" s="252"/>
      <c r="I49" s="252"/>
      <c r="J49" s="252"/>
      <c r="K49" s="252"/>
      <c r="L49" s="252"/>
      <c r="M49" s="253"/>
    </row>
    <row r="50" spans="1:13" ht="52.8" x14ac:dyDescent="0.25">
      <c r="A50" s="264">
        <v>9</v>
      </c>
      <c r="B50" s="160" t="s">
        <v>802</v>
      </c>
      <c r="C50" s="160" t="s">
        <v>798</v>
      </c>
      <c r="D50" s="22" t="s">
        <v>797</v>
      </c>
      <c r="E50" s="23">
        <v>80</v>
      </c>
      <c r="F50" s="24" t="s">
        <v>20</v>
      </c>
      <c r="G50" s="24" t="s">
        <v>20</v>
      </c>
      <c r="H50" s="24">
        <f>(122000+2700*5)*(117/100)</f>
        <v>158535</v>
      </c>
      <c r="I50" s="24">
        <f>H50</f>
        <v>158535</v>
      </c>
      <c r="J50" s="22" t="s">
        <v>16</v>
      </c>
      <c r="K50" s="164" t="s">
        <v>46</v>
      </c>
      <c r="L50" s="162" t="s">
        <v>48</v>
      </c>
      <c r="M50" s="163"/>
    </row>
    <row r="51" spans="1:13" ht="14.25" customHeight="1" x14ac:dyDescent="0.25">
      <c r="A51" s="260"/>
      <c r="B51" s="248" t="s">
        <v>971</v>
      </c>
      <c r="C51" s="249"/>
      <c r="D51" s="249"/>
      <c r="E51" s="249"/>
      <c r="F51" s="249"/>
      <c r="G51" s="249"/>
      <c r="H51" s="249"/>
      <c r="I51" s="249"/>
      <c r="J51" s="249"/>
      <c r="K51" s="249"/>
      <c r="L51" s="249"/>
      <c r="M51" s="250"/>
    </row>
  </sheetData>
  <mergeCells count="68">
    <mergeCell ref="A29:A32"/>
    <mergeCell ref="B32:M32"/>
    <mergeCell ref="M29:M31"/>
    <mergeCell ref="L29:L31"/>
    <mergeCell ref="K29:K31"/>
    <mergeCell ref="C29:C31"/>
    <mergeCell ref="B29:B31"/>
    <mergeCell ref="A49:M49"/>
    <mergeCell ref="A50:A51"/>
    <mergeCell ref="B51:M51"/>
    <mergeCell ref="B43:M43"/>
    <mergeCell ref="A1:A6"/>
    <mergeCell ref="B1:M1"/>
    <mergeCell ref="B2:M2"/>
    <mergeCell ref="B3:M3"/>
    <mergeCell ref="B4:M4"/>
    <mergeCell ref="B5:M5"/>
    <mergeCell ref="A7:M7"/>
    <mergeCell ref="A8:A9"/>
    <mergeCell ref="B9:M9"/>
    <mergeCell ref="A10:M10"/>
    <mergeCell ref="A11:A17"/>
    <mergeCell ref="B11:B16"/>
    <mergeCell ref="C11:C16"/>
    <mergeCell ref="K40:K42"/>
    <mergeCell ref="C40:C42"/>
    <mergeCell ref="K11:K16"/>
    <mergeCell ref="L11:L16"/>
    <mergeCell ref="A18:M18"/>
    <mergeCell ref="A23:M23"/>
    <mergeCell ref="B22:M22"/>
    <mergeCell ref="M19:M21"/>
    <mergeCell ref="L19:L21"/>
    <mergeCell ref="K19:K21"/>
    <mergeCell ref="C19:C21"/>
    <mergeCell ref="B19:B21"/>
    <mergeCell ref="A19:A22"/>
    <mergeCell ref="A40:A43"/>
    <mergeCell ref="A39:M39"/>
    <mergeCell ref="M11:M16"/>
    <mergeCell ref="B17:M17"/>
    <mergeCell ref="L40:L42"/>
    <mergeCell ref="M40:M42"/>
    <mergeCell ref="B40:B42"/>
    <mergeCell ref="A28:M28"/>
    <mergeCell ref="M24:M26"/>
    <mergeCell ref="B27:M27"/>
    <mergeCell ref="A33:M33"/>
    <mergeCell ref="A34:A38"/>
    <mergeCell ref="B34:B37"/>
    <mergeCell ref="C34:C37"/>
    <mergeCell ref="K34:K37"/>
    <mergeCell ref="L34:L37"/>
    <mergeCell ref="M34:M37"/>
    <mergeCell ref="B38:M38"/>
    <mergeCell ref="A24:A27"/>
    <mergeCell ref="B24:B26"/>
    <mergeCell ref="C24:C26"/>
    <mergeCell ref="K24:K26"/>
    <mergeCell ref="L24:L26"/>
    <mergeCell ref="A44:M44"/>
    <mergeCell ref="A45:A48"/>
    <mergeCell ref="B45:B47"/>
    <mergeCell ref="C45:C47"/>
    <mergeCell ref="K45:K47"/>
    <mergeCell ref="L45:L47"/>
    <mergeCell ref="M45:M47"/>
    <mergeCell ref="B48:M48"/>
  </mergeCells>
  <pageMargins left="0.23622047244094491" right="0.23622047244094491" top="0.55118110236220474" bottom="0.55118110236220474" header="0.31496062992125984" footer="0.31496062992125984"/>
  <pageSetup paperSize="9" scale="79" fitToHeight="0" orientation="landscape" r:id="rId1"/>
  <rowBreaks count="1" manualBreakCount="1">
    <brk id="2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18</vt:i4>
      </vt:variant>
      <vt:variant>
        <vt:lpstr>טווחים בעלי שם</vt:lpstr>
      </vt:variant>
      <vt:variant>
        <vt:i4>4</vt:i4>
      </vt:variant>
    </vt:vector>
  </HeadingPairs>
  <TitlesOfParts>
    <vt:vector size="22" baseType="lpstr">
      <vt:lpstr>2019-18</vt:lpstr>
      <vt:lpstr>2019-17</vt:lpstr>
      <vt:lpstr>2019-16</vt:lpstr>
      <vt:lpstr>2019-15</vt:lpstr>
      <vt:lpstr>2019-14</vt:lpstr>
      <vt:lpstr>2019-13</vt:lpstr>
      <vt:lpstr>12-2019</vt:lpstr>
      <vt:lpstr>11-2019</vt:lpstr>
      <vt:lpstr>10-2019</vt:lpstr>
      <vt:lpstr>09-2019</vt:lpstr>
      <vt:lpstr>08-2019</vt:lpstr>
      <vt:lpstr>07-2019</vt:lpstr>
      <vt:lpstr>06-2019</vt:lpstr>
      <vt:lpstr>05-2019</vt:lpstr>
      <vt:lpstr>04-2019</vt:lpstr>
      <vt:lpstr>03-2019</vt:lpstr>
      <vt:lpstr>02-2019</vt:lpstr>
      <vt:lpstr>01-2019</vt:lpstr>
      <vt:lpstr>'02-2019'!WPrint_Area_W</vt:lpstr>
      <vt:lpstr>'05-2019'!WPrint_Area_W</vt:lpstr>
      <vt:lpstr>'06-2019'!WPrint_Area_W</vt:lpstr>
      <vt:lpstr>'07-2019'!WPrint_Area_W</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ועדת התקשרויות 2019</dc:title>
  <dc:subject>443838</dc:subject>
  <dc:creator>reuts</dc:creator>
  <cp:keywords/>
  <dc:description/>
  <cp:lastModifiedBy>ksuser</cp:lastModifiedBy>
  <cp:lastPrinted>2020-01-06T13:50:36Z</cp:lastPrinted>
  <dcterms:created xsi:type="dcterms:W3CDTF">2019-01-03T09:46:04Z</dcterms:created>
  <dcterms:modified xsi:type="dcterms:W3CDTF">2020-01-09T13:24:13Z</dcterms:modified>
</cp:coreProperties>
</file>