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mc:AlternateContent xmlns:mc="http://schemas.openxmlformats.org/markup-compatibility/2006">
    <mc:Choice Requires="x15">
      <x15ac:absPath xmlns:x15ac="http://schemas.microsoft.com/office/spreadsheetml/2010/11/ac" url="D:\אתר\"/>
    </mc:Choice>
  </mc:AlternateContent>
  <xr:revisionPtr revIDLastSave="0" documentId="8_{08B5C28C-D552-465A-81BD-EA500B904D8F}" xr6:coauthVersionLast="45" xr6:coauthVersionMax="45" xr10:uidLastSave="{00000000-0000-0000-0000-000000000000}"/>
  <bookViews>
    <workbookView xWindow="-120" yWindow="-120" windowWidth="29040" windowHeight="15840" firstSheet="7" activeTab="19" xr2:uid="{00000000-000D-0000-FFFF-FFFF00000000}"/>
  </bookViews>
  <sheets>
    <sheet name="2020-20" sheetId="40" r:id="rId1"/>
    <sheet name="2020-19" sheetId="39" r:id="rId2"/>
    <sheet name="2020-18" sheetId="36" r:id="rId3"/>
    <sheet name="2020-17" sheetId="35" r:id="rId4"/>
    <sheet name="2020-16" sheetId="34" r:id="rId5"/>
    <sheet name="2020-15" sheetId="33" r:id="rId6"/>
    <sheet name="2020-14" sheetId="32" r:id="rId7"/>
    <sheet name="2020-13" sheetId="30" r:id="rId8"/>
    <sheet name="2020-12" sheetId="29" r:id="rId9"/>
    <sheet name="2020-11" sheetId="28" r:id="rId10"/>
    <sheet name="2020-10" sheetId="27" r:id="rId11"/>
    <sheet name="2020-09" sheetId="26" r:id="rId12"/>
    <sheet name="2020-08" sheetId="25" r:id="rId13"/>
    <sheet name="2020-07" sheetId="24" r:id="rId14"/>
    <sheet name="2020-06" sheetId="20" r:id="rId15"/>
    <sheet name="2020-05" sheetId="23" r:id="rId16"/>
    <sheet name="2020-04" sheetId="22" r:id="rId17"/>
    <sheet name="2020-03" sheetId="21" r:id="rId18"/>
    <sheet name="2020-02" sheetId="16" r:id="rId19"/>
    <sheet name="2020-01" sheetId="2" r:id="rId20"/>
  </sheets>
  <definedNames>
    <definedName name="_xlnm._FilterDatabase" localSheetId="18" hidden="1">'2020-02'!$A$1:$M$22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8" i="40" l="1"/>
  <c r="I8" i="40" s="1"/>
  <c r="M8" i="40"/>
  <c r="H9" i="40"/>
  <c r="I9" i="40"/>
  <c r="H10" i="40"/>
  <c r="I10" i="40" s="1"/>
  <c r="H11" i="40"/>
  <c r="I11" i="40"/>
  <c r="H14" i="40"/>
  <c r="I14" i="40" s="1"/>
  <c r="H17" i="40"/>
  <c r="I17" i="40"/>
  <c r="M17" i="40"/>
  <c r="H18" i="40"/>
  <c r="I18" i="40"/>
  <c r="H19" i="40"/>
  <c r="I19" i="40" s="1"/>
  <c r="H20" i="40"/>
  <c r="I20" i="40" s="1"/>
  <c r="H21" i="40"/>
  <c r="I21" i="40"/>
  <c r="H22" i="40"/>
  <c r="I22" i="40"/>
  <c r="H25" i="40"/>
  <c r="I25" i="40" s="1"/>
  <c r="H28" i="40"/>
  <c r="I28" i="40"/>
  <c r="M28" i="40"/>
  <c r="I31" i="40"/>
  <c r="M31" i="40"/>
  <c r="I32" i="40"/>
  <c r="I33" i="40"/>
  <c r="I34" i="40"/>
  <c r="H37" i="40"/>
  <c r="I37" i="40"/>
  <c r="M37" i="40"/>
  <c r="H40" i="40"/>
  <c r="I40" i="40"/>
  <c r="M40" i="40"/>
  <c r="I47" i="40"/>
  <c r="M47" i="40" s="1"/>
  <c r="M43" i="40"/>
  <c r="M25" i="40" l="1"/>
  <c r="H16" i="35"/>
  <c r="H44" i="40" l="1"/>
  <c r="H43" i="40"/>
  <c r="I43" i="40" s="1"/>
  <c r="H8" i="36" l="1"/>
  <c r="I8" i="36"/>
  <c r="M8" i="36" s="1"/>
  <c r="H9" i="36"/>
  <c r="I9" i="36"/>
  <c r="H10" i="36"/>
  <c r="I10" i="36" s="1"/>
  <c r="H13" i="36"/>
  <c r="I13" i="36"/>
  <c r="M13" i="36"/>
  <c r="H16" i="36"/>
  <c r="I16" i="36"/>
  <c r="M16" i="36"/>
  <c r="H26" i="36"/>
  <c r="I26" i="36" s="1"/>
  <c r="M26" i="36" s="1"/>
  <c r="H27" i="36"/>
  <c r="I27" i="36"/>
  <c r="H28" i="36"/>
  <c r="I28" i="36" s="1"/>
  <c r="H31" i="36"/>
  <c r="I31" i="36"/>
  <c r="M31" i="36"/>
  <c r="I57" i="39" l="1"/>
  <c r="H57" i="39"/>
  <c r="H53" i="39"/>
  <c r="I53" i="39" s="1"/>
  <c r="H52" i="39"/>
  <c r="I52" i="39" s="1"/>
  <c r="H51" i="39"/>
  <c r="I51" i="39" s="1"/>
  <c r="M51" i="39" s="1"/>
  <c r="H48" i="39"/>
  <c r="I48" i="39" s="1"/>
  <c r="H47" i="39"/>
  <c r="I47" i="39" s="1"/>
  <c r="H46" i="39"/>
  <c r="I46" i="39" s="1"/>
  <c r="H45" i="39"/>
  <c r="I45" i="39" s="1"/>
  <c r="M45" i="39" s="1"/>
  <c r="H42" i="39"/>
  <c r="I42" i="39" s="1"/>
  <c r="H41" i="39"/>
  <c r="I41" i="39" s="1"/>
  <c r="H40" i="39"/>
  <c r="I40" i="39" s="1"/>
  <c r="M40" i="39" s="1"/>
  <c r="H37" i="39"/>
  <c r="I37" i="39" s="1"/>
  <c r="H36" i="39"/>
  <c r="I36" i="39" s="1"/>
  <c r="H35" i="39"/>
  <c r="I35" i="39" s="1"/>
  <c r="H34" i="39"/>
  <c r="I34" i="39" s="1"/>
  <c r="H33" i="39"/>
  <c r="I33" i="39" s="1"/>
  <c r="M33" i="39" s="1"/>
  <c r="H30" i="39"/>
  <c r="I30" i="39" s="1"/>
  <c r="M30" i="39" s="1"/>
  <c r="I27" i="39"/>
  <c r="I26" i="39"/>
  <c r="I25" i="39"/>
  <c r="I24" i="39"/>
  <c r="I23" i="39"/>
  <c r="M23" i="39" s="1"/>
  <c r="H20" i="39"/>
  <c r="I20" i="39" s="1"/>
  <c r="H19" i="39"/>
  <c r="I19" i="39" s="1"/>
  <c r="H18" i="39"/>
  <c r="I18" i="39" s="1"/>
  <c r="H17" i="39"/>
  <c r="I17" i="39" s="1"/>
  <c r="H16" i="39"/>
  <c r="I16" i="39" s="1"/>
  <c r="H15" i="39"/>
  <c r="I15" i="39" s="1"/>
  <c r="H14" i="39"/>
  <c r="I14" i="39" s="1"/>
  <c r="M14" i="39" s="1"/>
  <c r="I11" i="39"/>
  <c r="H11" i="39"/>
  <c r="H10" i="39"/>
  <c r="I10" i="39" s="1"/>
  <c r="H9" i="39"/>
  <c r="I9" i="39" s="1"/>
  <c r="H8" i="39"/>
  <c r="I8" i="39" s="1"/>
  <c r="M8" i="39" s="1"/>
  <c r="H20" i="36" l="1"/>
  <c r="I20" i="36" s="1"/>
  <c r="M20" i="36" s="1"/>
  <c r="H21" i="36"/>
  <c r="I21" i="36" s="1"/>
  <c r="M21" i="36" s="1"/>
  <c r="I44" i="34" l="1"/>
  <c r="H44" i="34"/>
  <c r="H19" i="36" l="1"/>
  <c r="H22" i="36" l="1"/>
  <c r="I22" i="36" s="1"/>
  <c r="I19" i="36"/>
  <c r="M19" i="36" s="1"/>
  <c r="H8" i="34" l="1"/>
  <c r="I8" i="34" s="1"/>
  <c r="M8" i="34"/>
  <c r="H9" i="34"/>
  <c r="I9" i="34" s="1"/>
  <c r="H10" i="34"/>
  <c r="I10" i="34" s="1"/>
  <c r="H13" i="34"/>
  <c r="I13" i="34" s="1"/>
  <c r="M13" i="34"/>
  <c r="H14" i="34"/>
  <c r="I14" i="34"/>
  <c r="H15" i="34"/>
  <c r="I15" i="34" s="1"/>
  <c r="I18" i="34"/>
  <c r="M18" i="34" s="1"/>
  <c r="H21" i="34"/>
  <c r="I21" i="34" s="1"/>
  <c r="M21" i="34" s="1"/>
  <c r="H24" i="34"/>
  <c r="I24" i="34" s="1"/>
  <c r="H25" i="34"/>
  <c r="I25" i="34" s="1"/>
  <c r="H26" i="34"/>
  <c r="I26" i="34" s="1"/>
  <c r="I37" i="34"/>
  <c r="M37" i="34"/>
  <c r="I38" i="34"/>
  <c r="I39" i="34"/>
  <c r="I40" i="34"/>
  <c r="I41" i="34"/>
  <c r="M44" i="34"/>
  <c r="H47" i="34"/>
  <c r="I47" i="34" s="1"/>
  <c r="M47" i="34" s="1"/>
  <c r="H51" i="34"/>
  <c r="I51" i="34"/>
  <c r="M51" i="34" s="1"/>
  <c r="H52" i="34"/>
  <c r="I52" i="34" s="1"/>
  <c r="H53" i="34"/>
  <c r="I53" i="34" s="1"/>
  <c r="H54" i="34"/>
  <c r="I54" i="34" s="1"/>
  <c r="H57" i="34"/>
  <c r="I57" i="34" s="1"/>
  <c r="M57" i="34" s="1"/>
  <c r="H58" i="34"/>
  <c r="I58" i="34" s="1"/>
  <c r="H59" i="34"/>
  <c r="I59" i="34" s="1"/>
  <c r="H60" i="34"/>
  <c r="I60" i="34"/>
  <c r="H34" i="34"/>
  <c r="I34" i="34" s="1"/>
  <c r="H33" i="34"/>
  <c r="I33" i="34" s="1"/>
  <c r="H47" i="35" l="1"/>
  <c r="I47" i="35" l="1"/>
  <c r="M47" i="35" s="1"/>
  <c r="H44" i="35"/>
  <c r="I44" i="35" s="1"/>
  <c r="H43" i="35"/>
  <c r="I43" i="35" s="1"/>
  <c r="H42" i="35"/>
  <c r="I42" i="35" s="1"/>
  <c r="H39" i="35"/>
  <c r="I39" i="35" s="1"/>
  <c r="M39" i="35" s="1"/>
  <c r="H36" i="35" l="1"/>
  <c r="H35" i="35" l="1"/>
  <c r="H34" i="35"/>
  <c r="H30" i="35" l="1"/>
  <c r="H29" i="35"/>
  <c r="H28" i="35"/>
  <c r="H31" i="35"/>
  <c r="H24" i="35"/>
  <c r="I24" i="35" s="1"/>
  <c r="H23" i="35"/>
  <c r="I23" i="35" s="1"/>
  <c r="H22" i="35"/>
  <c r="I22" i="35" s="1"/>
  <c r="M22" i="35" s="1"/>
  <c r="H25" i="35"/>
  <c r="I25" i="35" s="1"/>
  <c r="H19" i="35"/>
  <c r="I19" i="35" s="1"/>
  <c r="H18" i="35"/>
  <c r="I18" i="35" s="1"/>
  <c r="H17" i="35"/>
  <c r="I17" i="35" s="1"/>
  <c r="I16" i="35"/>
  <c r="H12" i="35"/>
  <c r="I12" i="35" s="1"/>
  <c r="H11" i="35"/>
  <c r="I11" i="35" s="1"/>
  <c r="H8" i="35"/>
  <c r="I8" i="35" s="1"/>
  <c r="M8" i="35" s="1"/>
  <c r="H11" i="33" l="1"/>
  <c r="I11" i="33" s="1"/>
  <c r="M11" i="33" s="1"/>
  <c r="H12" i="33"/>
  <c r="I12" i="33" s="1"/>
  <c r="H13" i="33"/>
  <c r="I13" i="33"/>
  <c r="H14" i="33"/>
  <c r="I14" i="33" s="1"/>
  <c r="H15" i="33"/>
  <c r="I15" i="33" s="1"/>
  <c r="H18" i="33"/>
  <c r="I18" i="33" s="1"/>
  <c r="H19" i="33"/>
  <c r="I19" i="33" s="1"/>
  <c r="H20" i="33"/>
  <c r="I20" i="33" s="1"/>
  <c r="H23" i="33"/>
  <c r="I23" i="33" s="1"/>
  <c r="H24" i="33"/>
  <c r="I24" i="33" s="1"/>
  <c r="H25" i="33"/>
  <c r="I25" i="33" s="1"/>
  <c r="H28" i="33"/>
  <c r="I28" i="33" s="1"/>
  <c r="M28" i="33" s="1"/>
  <c r="H29" i="33"/>
  <c r="I29" i="33" s="1"/>
  <c r="H30" i="33"/>
  <c r="I30" i="33" s="1"/>
  <c r="H31" i="33"/>
  <c r="I31" i="33" s="1"/>
  <c r="H32" i="33"/>
  <c r="I32" i="33" s="1"/>
  <c r="H33" i="33"/>
  <c r="I33" i="33"/>
  <c r="H36" i="33"/>
  <c r="I36" i="33"/>
  <c r="M36" i="33" s="1"/>
  <c r="H37" i="33"/>
  <c r="I37" i="33" s="1"/>
  <c r="H38" i="33"/>
  <c r="I38" i="33" s="1"/>
  <c r="H41" i="33"/>
  <c r="I41" i="33" s="1"/>
  <c r="M41" i="33" s="1"/>
  <c r="H42" i="33"/>
  <c r="I42" i="33"/>
  <c r="H43" i="33"/>
  <c r="I43" i="33"/>
  <c r="H44" i="33"/>
  <c r="I44" i="33" s="1"/>
  <c r="H47" i="33"/>
  <c r="I47" i="33" s="1"/>
  <c r="M47" i="33" s="1"/>
  <c r="H48" i="33"/>
  <c r="I48" i="33" s="1"/>
  <c r="H49" i="33"/>
  <c r="I49" i="33" s="1"/>
  <c r="H50" i="33"/>
  <c r="I50" i="33" s="1"/>
  <c r="H51" i="33"/>
  <c r="I51" i="33" s="1"/>
  <c r="H54" i="33"/>
  <c r="I54" i="33" s="1"/>
  <c r="M54" i="33" s="1"/>
  <c r="H55" i="33"/>
  <c r="I55" i="33" s="1"/>
  <c r="H56" i="33"/>
  <c r="I56" i="33" s="1"/>
  <c r="H57" i="33"/>
  <c r="I57" i="33" s="1"/>
  <c r="H58" i="33"/>
  <c r="I58" i="33"/>
  <c r="H61" i="33"/>
  <c r="I61" i="33" s="1"/>
  <c r="M61" i="33" s="1"/>
  <c r="H62" i="33"/>
  <c r="I62" i="33"/>
  <c r="H63" i="33"/>
  <c r="I63" i="33" s="1"/>
  <c r="H64" i="33"/>
  <c r="I64" i="33" s="1"/>
  <c r="H67" i="33"/>
  <c r="I67" i="33" s="1"/>
  <c r="M67" i="33" s="1"/>
  <c r="H68" i="33"/>
  <c r="I68" i="33" s="1"/>
  <c r="H69" i="33"/>
  <c r="I69" i="33"/>
  <c r="H70" i="33"/>
  <c r="I70" i="33" s="1"/>
  <c r="H71" i="33"/>
  <c r="I71" i="33" s="1"/>
  <c r="H72" i="33"/>
  <c r="I72" i="33" s="1"/>
  <c r="H75" i="33"/>
  <c r="I75" i="33" s="1"/>
  <c r="M75" i="33" s="1"/>
  <c r="H76" i="33"/>
  <c r="I76" i="33" s="1"/>
  <c r="H79" i="33"/>
  <c r="I79" i="33" s="1"/>
  <c r="M79" i="33" s="1"/>
  <c r="H80" i="33"/>
  <c r="I80" i="33" s="1"/>
  <c r="H81" i="33"/>
  <c r="I81" i="33" s="1"/>
  <c r="H82" i="33"/>
  <c r="I82" i="33" s="1"/>
  <c r="H83" i="33"/>
  <c r="I83" i="33" s="1"/>
  <c r="H86" i="33"/>
  <c r="I86" i="33" s="1"/>
  <c r="M86" i="33" s="1"/>
  <c r="H87" i="33"/>
  <c r="I87" i="33" s="1"/>
  <c r="H88" i="33"/>
  <c r="I88" i="33" s="1"/>
  <c r="H89" i="33"/>
  <c r="I89" i="33" s="1"/>
  <c r="H92" i="33"/>
  <c r="I92" i="33" s="1"/>
  <c r="H95" i="33"/>
  <c r="I95" i="33" s="1"/>
  <c r="M95" i="33" s="1"/>
  <c r="H96" i="33"/>
  <c r="I96" i="33" s="1"/>
  <c r="H97" i="33"/>
  <c r="I97" i="33" s="1"/>
  <c r="H98" i="33"/>
  <c r="I98" i="33" s="1"/>
  <c r="H99" i="33"/>
  <c r="I99" i="33" s="1"/>
  <c r="H100" i="33"/>
  <c r="I100" i="33" s="1"/>
  <c r="H103" i="33"/>
  <c r="I103" i="33"/>
  <c r="M103" i="33" s="1"/>
  <c r="H104" i="33"/>
  <c r="I104" i="33" s="1"/>
  <c r="H105" i="33"/>
  <c r="I105" i="33" s="1"/>
  <c r="H106" i="33"/>
  <c r="I106" i="33" s="1"/>
  <c r="H107" i="33"/>
  <c r="I107" i="33" s="1"/>
  <c r="H108" i="33"/>
  <c r="I108" i="33" s="1"/>
  <c r="H109" i="33"/>
  <c r="I109" i="33"/>
  <c r="H112" i="33"/>
  <c r="I112" i="33" s="1"/>
  <c r="M112" i="33" s="1"/>
  <c r="H113" i="33"/>
  <c r="I113" i="33" s="1"/>
  <c r="H114" i="33"/>
  <c r="I114" i="33" s="1"/>
  <c r="H115" i="33"/>
  <c r="I115" i="33"/>
  <c r="H118" i="33"/>
  <c r="I118" i="33"/>
  <c r="M118" i="33"/>
  <c r="H121" i="33"/>
  <c r="I121" i="33" s="1"/>
  <c r="M121" i="33" s="1"/>
  <c r="H122" i="33"/>
  <c r="I122" i="33" s="1"/>
  <c r="H123" i="33"/>
  <c r="I123" i="33" s="1"/>
  <c r="H126" i="33"/>
  <c r="I126" i="33" s="1"/>
  <c r="H129" i="33"/>
  <c r="I129" i="33"/>
  <c r="M129" i="33" s="1"/>
  <c r="H130" i="33"/>
  <c r="I130" i="33" s="1"/>
  <c r="H131" i="33"/>
  <c r="I131" i="33" s="1"/>
  <c r="H134" i="33"/>
  <c r="I134" i="33" s="1"/>
  <c r="M134" i="33" s="1"/>
  <c r="H135" i="33"/>
  <c r="I135" i="33"/>
  <c r="H136" i="33"/>
  <c r="I136" i="33" s="1"/>
  <c r="H8" i="30" l="1"/>
  <c r="I8" i="30" s="1"/>
  <c r="M8" i="30" s="1"/>
  <c r="H9" i="30"/>
  <c r="I9" i="30" s="1"/>
  <c r="H10" i="30"/>
  <c r="I10" i="30" s="1"/>
  <c r="H11" i="30"/>
  <c r="I11" i="30" s="1"/>
  <c r="H14" i="30"/>
  <c r="I14" i="30"/>
  <c r="M14" i="30" s="1"/>
  <c r="H15" i="30"/>
  <c r="I15" i="30" s="1"/>
  <c r="H16" i="30"/>
  <c r="I16" i="30" s="1"/>
  <c r="H17" i="30"/>
  <c r="I17" i="30" s="1"/>
  <c r="H20" i="30"/>
  <c r="I20" i="30" s="1"/>
  <c r="M20" i="30" s="1"/>
  <c r="H8" i="33" l="1"/>
  <c r="I8" i="33" s="1"/>
  <c r="I41" i="32" l="1"/>
  <c r="I42" i="32"/>
  <c r="I43" i="32"/>
  <c r="I44" i="32"/>
  <c r="I40" i="32"/>
  <c r="I39" i="32"/>
  <c r="M39" i="32" s="1"/>
  <c r="H24" i="30"/>
  <c r="I24" i="30" s="1"/>
  <c r="H57" i="32"/>
  <c r="H58" i="32"/>
  <c r="H56" i="32"/>
  <c r="H55" i="32"/>
  <c r="H52" i="32" l="1"/>
  <c r="I52" i="32" s="1"/>
  <c r="M52" i="32" s="1"/>
  <c r="H49" i="32"/>
  <c r="I49" i="32" s="1"/>
  <c r="H48" i="32"/>
  <c r="I48" i="32" s="1"/>
  <c r="H47" i="32"/>
  <c r="I47" i="32" s="1"/>
  <c r="M47" i="32" s="1"/>
  <c r="H33" i="32" l="1"/>
  <c r="I33" i="32" s="1"/>
  <c r="H32" i="32"/>
  <c r="I32" i="32" s="1"/>
  <c r="M32" i="32" s="1"/>
  <c r="H29" i="32"/>
  <c r="I29" i="32" s="1"/>
  <c r="H28" i="32"/>
  <c r="I28" i="32" s="1"/>
  <c r="H27" i="32"/>
  <c r="I27" i="32" s="1"/>
  <c r="H26" i="32"/>
  <c r="I26" i="32" s="1"/>
  <c r="M26" i="32" s="1"/>
  <c r="H17" i="32"/>
  <c r="I17" i="32" s="1"/>
  <c r="H16" i="32"/>
  <c r="I16" i="32" s="1"/>
  <c r="H15" i="32"/>
  <c r="I15" i="32" s="1"/>
  <c r="H14" i="32"/>
  <c r="I14" i="32" s="1"/>
  <c r="M14" i="32" s="1"/>
  <c r="H23" i="32"/>
  <c r="I23" i="32" s="1"/>
  <c r="H22" i="32"/>
  <c r="I22" i="32" s="1"/>
  <c r="H21" i="32"/>
  <c r="I21" i="32" s="1"/>
  <c r="H20" i="32"/>
  <c r="I20" i="32" s="1"/>
  <c r="M20" i="32" s="1"/>
  <c r="H11" i="32"/>
  <c r="I11" i="32" s="1"/>
  <c r="H10" i="32"/>
  <c r="I10" i="32" s="1"/>
  <c r="H9" i="32"/>
  <c r="I9" i="32" s="1"/>
  <c r="H8" i="32"/>
  <c r="I8" i="32" s="1"/>
  <c r="M8" i="32" s="1"/>
  <c r="H8" i="20" l="1"/>
  <c r="I8" i="20" s="1"/>
  <c r="H11" i="20"/>
  <c r="I11" i="20" s="1"/>
  <c r="H12" i="20"/>
  <c r="I12" i="20" s="1"/>
  <c r="H13" i="20"/>
  <c r="I13" i="20" s="1"/>
  <c r="H14" i="20"/>
  <c r="I14" i="20" s="1"/>
  <c r="H15" i="20"/>
  <c r="I15" i="20" s="1"/>
  <c r="H16" i="20"/>
  <c r="I16" i="20" s="1"/>
  <c r="H17" i="20"/>
  <c r="I17" i="20" s="1"/>
  <c r="H20" i="20"/>
  <c r="I20" i="20" s="1"/>
  <c r="H21" i="20"/>
  <c r="I21" i="20" s="1"/>
  <c r="H22" i="20"/>
  <c r="I22" i="20" s="1"/>
  <c r="H23" i="20"/>
  <c r="I23" i="20" s="1"/>
  <c r="H24" i="20"/>
  <c r="I24" i="20" s="1"/>
  <c r="H38" i="20"/>
  <c r="I38" i="20" s="1"/>
  <c r="M38" i="20"/>
  <c r="H39" i="20"/>
  <c r="I39" i="20" s="1"/>
  <c r="H40" i="20"/>
  <c r="I40" i="20" s="1"/>
  <c r="H41" i="20"/>
  <c r="I41" i="20" s="1"/>
  <c r="H42" i="20"/>
  <c r="I42" i="20" s="1"/>
  <c r="H45" i="20"/>
  <c r="I45" i="20" s="1"/>
  <c r="H46" i="20"/>
  <c r="I46" i="20" s="1"/>
  <c r="H47" i="20"/>
  <c r="I47" i="20" s="1"/>
  <c r="H48" i="20"/>
  <c r="I48" i="20" s="1"/>
  <c r="H49" i="20"/>
  <c r="I49" i="20" s="1"/>
  <c r="H52" i="20"/>
  <c r="I52" i="20" s="1"/>
  <c r="H55" i="20"/>
  <c r="I55" i="20" s="1"/>
  <c r="M55" i="20" s="1"/>
  <c r="H56" i="20"/>
  <c r="I56" i="20" s="1"/>
  <c r="H57" i="20"/>
  <c r="I57" i="20" s="1"/>
  <c r="H58" i="20"/>
  <c r="I58" i="20" s="1"/>
  <c r="H59" i="20"/>
  <c r="I59" i="20" s="1"/>
  <c r="H62" i="20"/>
  <c r="I62" i="20" s="1"/>
  <c r="M62" i="20" s="1"/>
  <c r="H63" i="20"/>
  <c r="I63" i="20" s="1"/>
  <c r="H64" i="20"/>
  <c r="I64" i="20" s="1"/>
  <c r="H70" i="20"/>
  <c r="I70" i="20" s="1"/>
  <c r="H73" i="20"/>
  <c r="I73" i="20" s="1"/>
  <c r="H67" i="20"/>
  <c r="I67" i="20" s="1"/>
  <c r="M67" i="20" s="1"/>
  <c r="H13" i="29" l="1"/>
  <c r="I13" i="29" s="1"/>
  <c r="M13" i="29" s="1"/>
  <c r="H14" i="29"/>
  <c r="I14" i="29" s="1"/>
  <c r="H15" i="29"/>
  <c r="I15" i="29" s="1"/>
  <c r="H16" i="29"/>
  <c r="I16" i="29" s="1"/>
  <c r="H19" i="29"/>
  <c r="I19" i="29" s="1"/>
  <c r="M19" i="29" s="1"/>
  <c r="H22" i="29"/>
  <c r="I22" i="29" s="1"/>
  <c r="M22" i="29" s="1"/>
  <c r="H25" i="29"/>
  <c r="I25" i="29" s="1"/>
  <c r="M25" i="29" s="1"/>
  <c r="I28" i="29"/>
  <c r="H31" i="29"/>
  <c r="I31" i="29" s="1"/>
  <c r="M31" i="29" s="1"/>
  <c r="H32" i="29"/>
  <c r="I32" i="29" s="1"/>
  <c r="H33" i="29"/>
  <c r="I33" i="29" s="1"/>
  <c r="H34" i="29"/>
  <c r="I34" i="29" s="1"/>
  <c r="H35" i="29"/>
  <c r="I35" i="29" s="1"/>
  <c r="H38" i="29"/>
  <c r="I38" i="29" s="1"/>
  <c r="M38" i="29" s="1"/>
  <c r="H39" i="29"/>
  <c r="I39" i="29" s="1"/>
  <c r="H40" i="29"/>
  <c r="I40" i="29" s="1"/>
  <c r="H41" i="29"/>
  <c r="I41" i="29" s="1"/>
  <c r="H44" i="29"/>
  <c r="I44" i="29" s="1"/>
  <c r="M44" i="29" s="1"/>
  <c r="H45" i="29"/>
  <c r="I45" i="29" s="1"/>
  <c r="H46" i="29"/>
  <c r="I46" i="29" s="1"/>
  <c r="H47" i="29"/>
  <c r="I47" i="29" s="1"/>
  <c r="H50" i="29"/>
  <c r="I50" i="29" s="1"/>
  <c r="M50" i="29" s="1"/>
  <c r="H51" i="29"/>
  <c r="I51" i="29" s="1"/>
  <c r="H52" i="29"/>
  <c r="I52" i="29" s="1"/>
  <c r="H53" i="29"/>
  <c r="I53" i="29" s="1"/>
  <c r="H54" i="29"/>
  <c r="I54" i="29" s="1"/>
  <c r="H57" i="29"/>
  <c r="I57" i="29" s="1"/>
  <c r="M57" i="29" s="1"/>
  <c r="H58" i="29"/>
  <c r="I58" i="29" s="1"/>
  <c r="H59" i="29"/>
  <c r="I59" i="29" s="1"/>
  <c r="H60" i="29"/>
  <c r="I60" i="29" s="1"/>
  <c r="H61" i="29"/>
  <c r="I61" i="29" s="1"/>
  <c r="H64" i="29"/>
  <c r="I64" i="29" s="1"/>
  <c r="M64" i="29" s="1"/>
  <c r="H65" i="29"/>
  <c r="I65" i="29" s="1"/>
  <c r="H66" i="29"/>
  <c r="I66" i="29" s="1"/>
  <c r="H67" i="29"/>
  <c r="I67" i="29" s="1"/>
  <c r="H70" i="29"/>
  <c r="I70" i="29" s="1"/>
  <c r="M70" i="29" s="1"/>
  <c r="H71" i="29"/>
  <c r="I71" i="29" s="1"/>
  <c r="H72" i="29"/>
  <c r="I72" i="29" s="1"/>
  <c r="H73" i="29"/>
  <c r="I73" i="29"/>
  <c r="H76" i="29"/>
  <c r="I76" i="29" s="1"/>
  <c r="M76" i="29" s="1"/>
  <c r="H77" i="29"/>
  <c r="I77" i="29" s="1"/>
  <c r="H78" i="29"/>
  <c r="I78" i="29" s="1"/>
  <c r="H79" i="29"/>
  <c r="I79" i="29" s="1"/>
  <c r="I83" i="29"/>
  <c r="I84" i="29"/>
  <c r="M83" i="29" s="1"/>
  <c r="I85" i="29"/>
  <c r="I86" i="29"/>
  <c r="I87" i="29"/>
  <c r="I88" i="29"/>
  <c r="H91" i="29"/>
  <c r="I91" i="29" s="1"/>
  <c r="H10" i="29" l="1"/>
  <c r="I10" i="29" s="1"/>
  <c r="H9" i="29"/>
  <c r="I9" i="29" s="1"/>
  <c r="H8" i="29"/>
  <c r="M8" i="29" s="1"/>
  <c r="I8" i="29" l="1"/>
  <c r="I131" i="28" l="1"/>
  <c r="M131" i="28" s="1"/>
  <c r="H128" i="28" l="1"/>
  <c r="H125" i="28" l="1"/>
  <c r="I125" i="28" s="1"/>
  <c r="I128" i="28"/>
  <c r="H122" i="28"/>
  <c r="I122" i="28" s="1"/>
  <c r="H121" i="28"/>
  <c r="I121" i="28" s="1"/>
  <c r="H120" i="28"/>
  <c r="I120" i="28" s="1"/>
  <c r="H119" i="28"/>
  <c r="I119" i="28" s="1"/>
  <c r="H116" i="28"/>
  <c r="I116" i="28" s="1"/>
  <c r="H115" i="28"/>
  <c r="I115" i="28" s="1"/>
  <c r="H114" i="28"/>
  <c r="I114" i="28" s="1"/>
  <c r="H99" i="28"/>
  <c r="I99" i="28" s="1"/>
  <c r="H98" i="28"/>
  <c r="I98" i="28" s="1"/>
  <c r="H97" i="28"/>
  <c r="I97" i="28" s="1"/>
  <c r="H96" i="28"/>
  <c r="I96" i="28" s="1"/>
  <c r="H95" i="28"/>
  <c r="I95" i="28" s="1"/>
  <c r="M95" i="28" s="1"/>
  <c r="H111" i="28"/>
  <c r="I111" i="28" s="1"/>
  <c r="H110" i="28"/>
  <c r="I110" i="28" s="1"/>
  <c r="H108" i="28"/>
  <c r="I108" i="28" s="1"/>
  <c r="M108" i="28" s="1"/>
  <c r="H109" i="28"/>
  <c r="I109" i="28" s="1"/>
  <c r="H105" i="28"/>
  <c r="I105" i="28" s="1"/>
  <c r="H104" i="28"/>
  <c r="I104" i="28" s="1"/>
  <c r="H103" i="28"/>
  <c r="I103" i="28" s="1"/>
  <c r="H102" i="28"/>
  <c r="I102" i="28" s="1"/>
  <c r="M102" i="28" s="1"/>
  <c r="H92" i="28"/>
  <c r="I92" i="28" s="1"/>
  <c r="H91" i="28"/>
  <c r="I91" i="28" s="1"/>
  <c r="H90" i="28"/>
  <c r="I90" i="28" s="1"/>
  <c r="H89" i="28"/>
  <c r="I89" i="28" s="1"/>
  <c r="H88" i="28"/>
  <c r="I88" i="28" s="1"/>
  <c r="M88" i="28" s="1"/>
  <c r="H85" i="28"/>
  <c r="I85" i="28" s="1"/>
  <c r="H84" i="28"/>
  <c r="I84" i="28" s="1"/>
  <c r="H83" i="28"/>
  <c r="I83" i="28" s="1"/>
  <c r="H82" i="28"/>
  <c r="I82" i="28" s="1"/>
  <c r="M82" i="28" s="1"/>
  <c r="H79" i="28"/>
  <c r="I79" i="28" s="1"/>
  <c r="H78" i="28"/>
  <c r="I78" i="28" s="1"/>
  <c r="H77" i="28"/>
  <c r="I77" i="28" s="1"/>
  <c r="H76" i="28"/>
  <c r="I76" i="28" s="1"/>
  <c r="M76" i="28" s="1"/>
  <c r="H73" i="28"/>
  <c r="I73" i="28" s="1"/>
  <c r="H72" i="28"/>
  <c r="I72" i="28" s="1"/>
  <c r="H70" i="28"/>
  <c r="I70" i="28" s="1"/>
  <c r="M70" i="28" s="1"/>
  <c r="H71" i="28"/>
  <c r="I71" i="28" s="1"/>
  <c r="H66" i="28"/>
  <c r="I66" i="28" s="1"/>
  <c r="H67" i="28"/>
  <c r="I67" i="28" s="1"/>
  <c r="H65" i="28"/>
  <c r="I65" i="28" s="1"/>
  <c r="H64" i="28"/>
  <c r="I64" i="28" s="1"/>
  <c r="M64" i="28" s="1"/>
  <c r="H61" i="28"/>
  <c r="I61" i="28" s="1"/>
  <c r="H60" i="28"/>
  <c r="I60" i="28" s="1"/>
  <c r="H59" i="28"/>
  <c r="I59" i="28" s="1"/>
  <c r="H58" i="28"/>
  <c r="I58" i="28" s="1"/>
  <c r="M58" i="28" s="1"/>
  <c r="H55" i="28"/>
  <c r="I55" i="28" s="1"/>
  <c r="H54" i="28"/>
  <c r="I54" i="28" s="1"/>
  <c r="H53" i="28"/>
  <c r="I53" i="28" s="1"/>
  <c r="H52" i="28"/>
  <c r="I52" i="28" s="1"/>
  <c r="M52" i="28" s="1"/>
  <c r="H49" i="28"/>
  <c r="I49" i="28" s="1"/>
  <c r="H48" i="28"/>
  <c r="I48" i="28" s="1"/>
  <c r="H47" i="28"/>
  <c r="I47" i="28" s="1"/>
  <c r="H46" i="28"/>
  <c r="I46" i="28" s="1"/>
  <c r="M46" i="28" s="1"/>
  <c r="I41" i="28"/>
  <c r="I42" i="28"/>
  <c r="I43" i="28"/>
  <c r="I40" i="28"/>
  <c r="I39" i="28"/>
  <c r="M39" i="28" s="1"/>
  <c r="H36" i="28"/>
  <c r="I36" i="28" s="1"/>
  <c r="H35" i="28"/>
  <c r="I35" i="28" s="1"/>
  <c r="H34" i="28"/>
  <c r="I34" i="28" s="1"/>
  <c r="H33" i="28"/>
  <c r="I33" i="28" s="1"/>
  <c r="M33" i="28" s="1"/>
  <c r="I28" i="28"/>
  <c r="I29" i="28"/>
  <c r="I30" i="28"/>
  <c r="I27" i="28"/>
  <c r="I26" i="28"/>
  <c r="M26" i="28" s="1"/>
  <c r="H23" i="28"/>
  <c r="I23" i="28" s="1"/>
  <c r="H22" i="28"/>
  <c r="I22" i="28" s="1"/>
  <c r="H21" i="28"/>
  <c r="I21" i="28" s="1"/>
  <c r="H20" i="28"/>
  <c r="I20" i="28" s="1"/>
  <c r="M20" i="28" s="1"/>
  <c r="I16" i="28"/>
  <c r="I17" i="28"/>
  <c r="I15" i="28"/>
  <c r="I14" i="28"/>
  <c r="M14" i="28" s="1"/>
  <c r="H11" i="28"/>
  <c r="I11" i="28" s="1"/>
  <c r="H10" i="28"/>
  <c r="I10" i="28" s="1"/>
  <c r="H9" i="28"/>
  <c r="I9" i="28" s="1"/>
  <c r="H8" i="28"/>
  <c r="I8" i="28" s="1"/>
  <c r="M8" i="28" s="1"/>
  <c r="H8" i="27" l="1"/>
  <c r="I8" i="27" s="1"/>
  <c r="M8" i="27" s="1"/>
  <c r="H9" i="27"/>
  <c r="I9" i="27" s="1"/>
  <c r="H10" i="27"/>
  <c r="I10" i="27" s="1"/>
  <c r="I13" i="27"/>
  <c r="M13" i="27" s="1"/>
  <c r="I14" i="27"/>
  <c r="I15" i="27"/>
  <c r="I16" i="27"/>
  <c r="I17" i="27"/>
  <c r="H20" i="27"/>
  <c r="I20" i="27" s="1"/>
  <c r="M20" i="27" s="1"/>
  <c r="H23" i="27"/>
  <c r="I23" i="27" s="1"/>
  <c r="M23" i="27" s="1"/>
  <c r="H24" i="27"/>
  <c r="I24" i="27" s="1"/>
  <c r="H25" i="27"/>
  <c r="I25" i="27" s="1"/>
  <c r="H26" i="27"/>
  <c r="I26" i="27" s="1"/>
  <c r="H27" i="27"/>
  <c r="I27" i="27" s="1"/>
  <c r="H30" i="27"/>
  <c r="I30" i="27" s="1"/>
  <c r="H33" i="27" l="1"/>
  <c r="I33" i="27" s="1"/>
  <c r="M33" i="27" s="1"/>
  <c r="H37" i="21" l="1"/>
  <c r="H11" i="22" l="1"/>
  <c r="I11" i="22" s="1"/>
  <c r="H12" i="22"/>
  <c r="I12" i="22" s="1"/>
  <c r="H13" i="22"/>
  <c r="I13" i="22" s="1"/>
  <c r="H16" i="22"/>
  <c r="I16" i="22" s="1"/>
  <c r="H17" i="22"/>
  <c r="I17" i="22" s="1"/>
  <c r="H18" i="22"/>
  <c r="I18" i="22" s="1"/>
  <c r="H19" i="22"/>
  <c r="I19" i="22" s="1"/>
  <c r="H22" i="22"/>
  <c r="I22" i="22" s="1"/>
  <c r="H23" i="22"/>
  <c r="I23" i="22"/>
  <c r="H24" i="22"/>
  <c r="I24" i="22" s="1"/>
  <c r="H25" i="22"/>
  <c r="I25" i="22"/>
  <c r="H28" i="22"/>
  <c r="I28" i="22" s="1"/>
  <c r="H29" i="22"/>
  <c r="I29" i="22" s="1"/>
  <c r="H30" i="22"/>
  <c r="I30" i="22" s="1"/>
  <c r="H31" i="22"/>
  <c r="I31" i="22"/>
  <c r="H32" i="22"/>
  <c r="I32" i="22" s="1"/>
  <c r="H35" i="22"/>
  <c r="I35" i="22" s="1"/>
  <c r="H38" i="22"/>
  <c r="I38" i="22" s="1"/>
  <c r="H41" i="22"/>
  <c r="I41" i="22" s="1"/>
  <c r="H44" i="22"/>
  <c r="I44" i="22" s="1"/>
  <c r="H45" i="22"/>
  <c r="I45" i="22" s="1"/>
  <c r="H46" i="22"/>
  <c r="I46" i="22" s="1"/>
  <c r="H49" i="22"/>
  <c r="I49" i="22" s="1"/>
  <c r="H52" i="22"/>
  <c r="I52" i="22" s="1"/>
  <c r="H55" i="22"/>
  <c r="I55" i="22" s="1"/>
  <c r="H56" i="22"/>
  <c r="I56" i="22" s="1"/>
  <c r="H57" i="22"/>
  <c r="I57" i="22" s="1"/>
  <c r="H8" i="22"/>
  <c r="H8" i="26" l="1"/>
  <c r="I8" i="26" s="1"/>
  <c r="M8" i="26" s="1"/>
  <c r="H11" i="26"/>
  <c r="I11" i="26" s="1"/>
  <c r="M11" i="26" s="1"/>
  <c r="H14" i="26" l="1"/>
  <c r="I14" i="26" s="1"/>
  <c r="M14" i="26" s="1"/>
  <c r="H43" i="2" l="1"/>
  <c r="I43" i="2" s="1"/>
  <c r="H15" i="24" l="1"/>
  <c r="H22" i="25" l="1"/>
  <c r="I22" i="25" s="1"/>
  <c r="H21" i="25"/>
  <c r="I21" i="25" s="1"/>
  <c r="H20" i="25"/>
  <c r="I20" i="25" s="1"/>
  <c r="H19" i="25"/>
  <c r="I19" i="25" s="1"/>
  <c r="H23" i="24"/>
  <c r="I23" i="24" s="1"/>
  <c r="H15" i="25" l="1"/>
  <c r="I15" i="25" s="1"/>
  <c r="H16" i="25"/>
  <c r="I16" i="25" s="1"/>
  <c r="H14" i="25"/>
  <c r="I14" i="25" s="1"/>
  <c r="H13" i="25"/>
  <c r="I13" i="25" s="1"/>
  <c r="H10" i="25"/>
  <c r="I10" i="25" s="1"/>
  <c r="H9" i="25"/>
  <c r="I9" i="25" s="1"/>
  <c r="H8" i="25"/>
  <c r="I8" i="25" s="1"/>
  <c r="H26" i="24" l="1"/>
  <c r="I26" i="24" s="1"/>
  <c r="H25" i="24"/>
  <c r="I25" i="24" s="1"/>
  <c r="H24" i="24"/>
  <c r="I24" i="24" s="1"/>
  <c r="H20" i="24"/>
  <c r="I20" i="24" s="1"/>
  <c r="H19" i="24"/>
  <c r="I19" i="24" s="1"/>
  <c r="H18" i="24"/>
  <c r="I18" i="24" s="1"/>
  <c r="H17" i="24"/>
  <c r="I17" i="24" s="1"/>
  <c r="H16" i="24"/>
  <c r="I16" i="24" s="1"/>
  <c r="I15" i="24"/>
  <c r="H12" i="24"/>
  <c r="I12" i="24" s="1"/>
  <c r="H11" i="24"/>
  <c r="I11" i="24" s="1"/>
  <c r="H10" i="24"/>
  <c r="I10" i="24" s="1"/>
  <c r="H9" i="24"/>
  <c r="I9" i="24" s="1"/>
  <c r="H8" i="24"/>
  <c r="I8" i="24" s="1"/>
  <c r="H21" i="23" l="1"/>
  <c r="I21" i="23" s="1"/>
  <c r="H20" i="23"/>
  <c r="I20" i="23" s="1"/>
  <c r="H19" i="23"/>
  <c r="I19" i="23" s="1"/>
  <c r="H18" i="23"/>
  <c r="I18" i="23" s="1"/>
  <c r="H26" i="23" l="1"/>
  <c r="I26" i="23" s="1"/>
  <c r="H25" i="23"/>
  <c r="I25" i="23" s="1"/>
  <c r="H24" i="23"/>
  <c r="I24" i="23" s="1"/>
  <c r="H15" i="23"/>
  <c r="I15" i="23" s="1"/>
  <c r="H14" i="23"/>
  <c r="I14" i="23" s="1"/>
  <c r="H13" i="23"/>
  <c r="I13" i="23" s="1"/>
  <c r="H10" i="23"/>
  <c r="I10" i="23" s="1"/>
  <c r="H9" i="23"/>
  <c r="I9" i="23" s="1"/>
  <c r="H8" i="23"/>
  <c r="I8" i="23" s="1"/>
  <c r="I8" i="22"/>
  <c r="H64" i="21"/>
  <c r="I64" i="21" s="1"/>
  <c r="H63" i="21"/>
  <c r="I63" i="21" s="1"/>
  <c r="H62" i="21"/>
  <c r="I62" i="21" s="1"/>
  <c r="H61" i="21"/>
  <c r="I61" i="21" s="1"/>
  <c r="H58" i="21"/>
  <c r="I58" i="21" s="1"/>
  <c r="H57" i="21"/>
  <c r="I57" i="21" s="1"/>
  <c r="H56" i="21"/>
  <c r="I56" i="21" s="1"/>
  <c r="H55" i="21"/>
  <c r="I55" i="21" s="1"/>
  <c r="H52" i="21"/>
  <c r="I52" i="21" s="1"/>
  <c r="H51" i="21"/>
  <c r="I51" i="21" s="1"/>
  <c r="H50" i="21"/>
  <c r="I50" i="21" s="1"/>
  <c r="H49" i="21"/>
  <c r="I49" i="21" s="1"/>
  <c r="H46" i="21"/>
  <c r="I46" i="21" s="1"/>
  <c r="H45" i="21"/>
  <c r="I45" i="21" s="1"/>
  <c r="H44" i="21"/>
  <c r="I44" i="21" s="1"/>
  <c r="H43" i="21"/>
  <c r="I43" i="21" s="1"/>
  <c r="H40" i="21"/>
  <c r="I40" i="21" s="1"/>
  <c r="H39" i="21"/>
  <c r="I39" i="21" s="1"/>
  <c r="H38" i="21"/>
  <c r="I38" i="21" s="1"/>
  <c r="I37" i="21"/>
  <c r="H34" i="21"/>
  <c r="I34" i="21" s="1"/>
  <c r="H33" i="21"/>
  <c r="I33" i="21" s="1"/>
  <c r="H32" i="21"/>
  <c r="I32" i="21" s="1"/>
  <c r="H29" i="21"/>
  <c r="I29" i="21" s="1"/>
  <c r="H26" i="21"/>
  <c r="I26" i="21" s="1"/>
  <c r="H23" i="21"/>
  <c r="I23" i="21" s="1"/>
  <c r="H20" i="21"/>
  <c r="I20" i="21" s="1"/>
  <c r="H17" i="21"/>
  <c r="I17" i="21" s="1"/>
  <c r="H14" i="21"/>
  <c r="I14" i="21" s="1"/>
  <c r="H11" i="21"/>
  <c r="I11" i="21" s="1"/>
  <c r="H8" i="21"/>
  <c r="I8" i="21" s="1"/>
  <c r="H19" i="16" l="1"/>
  <c r="I19" i="16" s="1"/>
  <c r="H18" i="16"/>
  <c r="I18" i="16" s="1"/>
  <c r="H17" i="16"/>
  <c r="I17" i="16" s="1"/>
  <c r="H16" i="16"/>
  <c r="I16" i="16" s="1"/>
  <c r="E19" i="16" l="1"/>
  <c r="E17" i="16"/>
  <c r="E18" i="16"/>
  <c r="H13" i="16" l="1"/>
  <c r="H12" i="16"/>
  <c r="I12" i="16" s="1"/>
  <c r="H11" i="16"/>
  <c r="I11" i="16" s="1"/>
  <c r="I13" i="16"/>
  <c r="H8" i="16" l="1"/>
  <c r="I8" i="16" s="1"/>
  <c r="H142" i="2" l="1"/>
  <c r="I142" i="2" s="1"/>
  <c r="H141" i="2"/>
  <c r="I141" i="2" s="1"/>
  <c r="H140" i="2"/>
  <c r="I140" i="2" s="1"/>
  <c r="H139" i="2"/>
  <c r="I139" i="2" s="1"/>
  <c r="H138" i="2"/>
  <c r="I138" i="2" s="1"/>
  <c r="H133" i="2"/>
  <c r="I133" i="2" s="1"/>
  <c r="H130" i="2"/>
  <c r="I130" i="2" s="1"/>
  <c r="H129" i="2"/>
  <c r="I129" i="2" s="1"/>
  <c r="H128" i="2"/>
  <c r="I128" i="2" s="1"/>
  <c r="H119" i="2"/>
  <c r="I119" i="2" s="1"/>
  <c r="H118" i="2"/>
  <c r="I118" i="2" s="1"/>
  <c r="H117" i="2"/>
  <c r="I117" i="2" s="1"/>
  <c r="H114" i="2"/>
  <c r="I114" i="2" s="1"/>
  <c r="H111" i="2"/>
  <c r="I111" i="2" s="1"/>
  <c r="H108" i="2"/>
  <c r="I108" i="2" s="1"/>
  <c r="H105" i="2"/>
  <c r="I105" i="2" s="1"/>
  <c r="H102" i="2"/>
  <c r="I102" i="2" s="1"/>
  <c r="H99" i="2"/>
  <c r="I99" i="2" s="1"/>
  <c r="H98" i="2"/>
  <c r="I98" i="2" s="1"/>
  <c r="H97" i="2"/>
  <c r="I97" i="2" s="1"/>
  <c r="H94" i="2"/>
  <c r="I94" i="2" s="1"/>
  <c r="H93" i="2"/>
  <c r="I93" i="2" s="1"/>
  <c r="H92" i="2"/>
  <c r="I92" i="2" s="1"/>
  <c r="H89" i="2"/>
  <c r="I89" i="2" s="1"/>
  <c r="H88" i="2"/>
  <c r="I88" i="2" s="1"/>
  <c r="H87" i="2"/>
  <c r="I87" i="2" s="1"/>
  <c r="H86" i="2"/>
  <c r="I86" i="2" s="1"/>
  <c r="H83" i="2"/>
  <c r="I83" i="2" s="1"/>
  <c r="H80" i="2"/>
  <c r="I80" i="2" s="1"/>
  <c r="H79" i="2"/>
  <c r="I79" i="2" s="1"/>
  <c r="H78" i="2"/>
  <c r="I78" i="2" s="1"/>
  <c r="H75" i="2"/>
  <c r="I75" i="2" s="1"/>
  <c r="H74" i="2"/>
  <c r="I74" i="2" s="1"/>
  <c r="H73" i="2"/>
  <c r="I73" i="2" s="1"/>
  <c r="H72" i="2"/>
  <c r="I72" i="2" s="1"/>
  <c r="I69" i="2"/>
  <c r="I68" i="2"/>
  <c r="I67" i="2"/>
  <c r="H64" i="2"/>
  <c r="I64" i="2" s="1"/>
  <c r="H63" i="2"/>
  <c r="I63" i="2" s="1"/>
  <c r="H62" i="2"/>
  <c r="I62" i="2" s="1"/>
  <c r="H59" i="2"/>
  <c r="I59" i="2" s="1"/>
  <c r="H58" i="2"/>
  <c r="I58" i="2" s="1"/>
  <c r="H57" i="2"/>
  <c r="I57" i="2" s="1"/>
  <c r="H56" i="2"/>
  <c r="I56" i="2" s="1"/>
  <c r="H55" i="2"/>
  <c r="I55" i="2" s="1"/>
  <c r="H54" i="2"/>
  <c r="I54" i="2" s="1"/>
  <c r="H53" i="2"/>
  <c r="I53" i="2" s="1"/>
  <c r="H52" i="2"/>
  <c r="I52" i="2" s="1"/>
  <c r="K51" i="2"/>
  <c r="H51" i="2"/>
  <c r="I51" i="2" s="1"/>
  <c r="H48" i="2"/>
  <c r="I48" i="2" s="1"/>
  <c r="H47" i="2"/>
  <c r="I47" i="2" s="1"/>
  <c r="H46" i="2"/>
  <c r="I46" i="2" s="1"/>
  <c r="H45" i="2"/>
  <c r="I45" i="2" s="1"/>
  <c r="H44" i="2"/>
  <c r="I44" i="2" s="1"/>
  <c r="I40" i="2"/>
  <c r="H40" i="2"/>
  <c r="H37" i="2"/>
  <c r="I37" i="2" s="1"/>
  <c r="H36" i="2"/>
  <c r="I36" i="2" s="1"/>
  <c r="H35" i="2"/>
  <c r="I35" i="2" s="1"/>
  <c r="H34" i="2"/>
  <c r="I34" i="2" s="1"/>
  <c r="H33" i="2"/>
  <c r="I33" i="2" s="1"/>
  <c r="H30" i="2"/>
  <c r="I30" i="2" s="1"/>
  <c r="H29" i="2"/>
  <c r="I29" i="2" s="1"/>
  <c r="H28" i="2"/>
  <c r="I28" i="2" s="1"/>
  <c r="H27" i="2"/>
  <c r="I27" i="2" s="1"/>
  <c r="H26" i="2"/>
  <c r="I26" i="2" s="1"/>
  <c r="I23" i="2"/>
  <c r="I22" i="2"/>
  <c r="I21" i="2"/>
  <c r="H18" i="2"/>
  <c r="I18" i="2" s="1"/>
  <c r="H15" i="2"/>
  <c r="I15" i="2" s="1"/>
  <c r="H12" i="2"/>
  <c r="I12" i="2" s="1"/>
  <c r="H11" i="2"/>
  <c r="I11" i="2" s="1"/>
  <c r="H10" i="2"/>
  <c r="I10" i="2" s="1"/>
  <c r="H9" i="2"/>
  <c r="I9" i="2" s="1"/>
  <c r="H8" i="2"/>
  <c r="I8" i="2" s="1"/>
  <c r="E129" i="2" l="1"/>
  <c r="E130" i="2"/>
</calcChain>
</file>

<file path=xl/sharedStrings.xml><?xml version="1.0" encoding="utf-8"?>
<sst xmlns="http://schemas.openxmlformats.org/spreadsheetml/2006/main" count="4108" uniqueCount="1175">
  <si>
    <t>הערות:</t>
  </si>
  <si>
    <t>שם הפרויקט/העבודה</t>
  </si>
  <si>
    <t>המזמין</t>
  </si>
  <si>
    <t>שם המציע</t>
  </si>
  <si>
    <t>ציון סופי</t>
  </si>
  <si>
    <t>חישוב שכ"ט לפי</t>
  </si>
  <si>
    <t>היקף התקשרות משוער</t>
  </si>
  <si>
    <t>סכום/אחוז שכ"ט    (כולל מע"מ)</t>
  </si>
  <si>
    <t>סה"כ שכ"ט    (כולל מע"מ)</t>
  </si>
  <si>
    <t>מאגר יועצים</t>
  </si>
  <si>
    <t>החלטת ועדה</t>
  </si>
  <si>
    <t>סטטוס טיפול</t>
  </si>
  <si>
    <t xml:space="preserve">סעיף תקציבי </t>
  </si>
  <si>
    <t>לפי שעה</t>
  </si>
  <si>
    <t>V</t>
  </si>
  <si>
    <t>אחוז</t>
  </si>
  <si>
    <t>מנהל מח' בינוי ופיתוח מוסדות- מיכאל זלדין</t>
  </si>
  <si>
    <t>סכום קבוע</t>
  </si>
  <si>
    <t>אושרה ההצעה עם הציון המשוקלל הגבוה ביותר</t>
  </si>
  <si>
    <t>ברגמן חגית</t>
  </si>
  <si>
    <t>אושרה ההצעה עם הציון המשוקלל הגבוה ביותר.</t>
  </si>
  <si>
    <t>אושרה ההצעה לפי סעיף 3.21 לנוהל התקשרויות.</t>
  </si>
  <si>
    <t>הופץ</t>
  </si>
  <si>
    <t>אדם בקר</t>
  </si>
  <si>
    <t>שירי פרץ</t>
  </si>
  <si>
    <t>מירון לוי</t>
  </si>
  <si>
    <t>לפי כיתה</t>
  </si>
  <si>
    <t>30 כיתות</t>
  </si>
  <si>
    <t>א.עדי אקוסטיקה</t>
  </si>
  <si>
    <t>אלכס ברגמן</t>
  </si>
  <si>
    <t>אהרון ברגר</t>
  </si>
  <si>
    <t>יוליה אבטן</t>
  </si>
  <si>
    <t>גיורא גור ושות' אדריכלים בע"מ</t>
  </si>
  <si>
    <t>אורי אברהמי</t>
  </si>
  <si>
    <t>200 שעות</t>
  </si>
  <si>
    <t>הגדלת התקשרות - שירותי אגרונום עבור הפארק</t>
  </si>
  <si>
    <t>מנהל הפארק העירוני- מוטי מורי</t>
  </si>
  <si>
    <t>דרור ניסן</t>
  </si>
  <si>
    <t>לפי חודש</t>
  </si>
  <si>
    <t>יוסי שחר</t>
  </si>
  <si>
    <t>ירון קרני</t>
  </si>
  <si>
    <t>גושן אדריכלים</t>
  </si>
  <si>
    <t>12 חודשים</t>
  </si>
  <si>
    <t>דגש הנדסה</t>
  </si>
  <si>
    <t>100 שעות</t>
  </si>
  <si>
    <t xml:space="preserve">אושרה ההצעה לפי סעיף 3.21 לנוהל התקשרויות </t>
  </si>
  <si>
    <t>לפי אחוז</t>
  </si>
  <si>
    <t>היקף פרוייקט  3,300,000</t>
  </si>
  <si>
    <t>מנהלת מח' תשתיות- ניצה חן עובדיה</t>
  </si>
  <si>
    <t>סכום חודשי קבוע</t>
  </si>
  <si>
    <t>נחמה הירשברג</t>
  </si>
  <si>
    <t>50 שעות</t>
  </si>
  <si>
    <t>מהנדסת העיר- עליזה זיידלר גרנות</t>
  </si>
  <si>
    <t>מנהלת מחלקת תכנון אסטרטגי ושיתופיות- אופירה מור מזרחי</t>
  </si>
  <si>
    <t>היקף פרוייקט  7,000,000</t>
  </si>
  <si>
    <t>רנה בייל</t>
  </si>
  <si>
    <t>מנהל ניו מדיה</t>
  </si>
  <si>
    <t>סכום  חודשי קבוע</t>
  </si>
  <si>
    <t>מנהל אגף מחשוב ומערכות מידע- מוטי סרודי</t>
  </si>
  <si>
    <t>3 חודשים</t>
  </si>
  <si>
    <t>אירית גרינברג</t>
  </si>
  <si>
    <t>250 שעות</t>
  </si>
  <si>
    <t>הדסה לב</t>
  </si>
  <si>
    <t>150 שעות</t>
  </si>
  <si>
    <t>הכשרה, הדרכה וחומרי לימוד של שלוחת המוניטיסורי כפר סבא</t>
  </si>
  <si>
    <t>מנהלת מחלקת בית ספר יסודי- אורית ליבוביץ</t>
  </si>
  <si>
    <t>ענבר אופק</t>
  </si>
  <si>
    <t>224440052960</t>
  </si>
  <si>
    <t>מנכ"ל העיריה- איתי צחר</t>
  </si>
  <si>
    <t>אריק ברגנר</t>
  </si>
  <si>
    <t>2. בכל הנושאים הוועדה סבורה שאין עדיפות למכרז פומבי</t>
  </si>
  <si>
    <t>1. כל הנושאים אושרו ע"י היועמ"ש כפטורים ממכרז לפי תקנה 3(8) לתקנות העיריות (מכרזים) תשמ"ח- 1987</t>
  </si>
  <si>
    <t>מנהלת מחלקת תשתיות- ניצה חן עובדיה</t>
  </si>
  <si>
    <t>אסף לוי</t>
  </si>
  <si>
    <t>ציפי סלמה</t>
  </si>
  <si>
    <t>הגדלת התקשרות- בודק תוכניות רישוי ובקשות להיתר</t>
  </si>
  <si>
    <t>מנהלת מחלקת רישוי בניה- שרית שיליאן</t>
  </si>
  <si>
    <t>גונן- עצים וסביבה</t>
  </si>
  <si>
    <t xml:space="preserve"> סגנית מנהלת אגף קיימות וחדשנות- תמי קצבורג נבנצל</t>
  </si>
  <si>
    <t>הגדלת התקשרות - אדריכלית נוף</t>
  </si>
  <si>
    <t>100 שעות חודשיות לתקופה של שנה</t>
  </si>
  <si>
    <t>אורי חן ציון</t>
  </si>
  <si>
    <t>תלאווי מדידות בע"מ</t>
  </si>
  <si>
    <t xml:space="preserve"> תב"ר שצ"פים</t>
  </si>
  <si>
    <t>דניאל אזרד</t>
  </si>
  <si>
    <t>ג.ב מהנדסים</t>
  </si>
  <si>
    <t xml:space="preserve">אושרה ההצעה לפי סעיף 3.21 לנוהל התקשרויות. </t>
  </si>
  <si>
    <t>הגדלת התקשרות- יעוץ למפת סיפור (ישום GIS) לתכנית המתאר כפר סבא</t>
  </si>
  <si>
    <t xml:space="preserve">אושרה ההצעה עם הציון המשוקלל הגבוה ביותר. </t>
  </si>
  <si>
    <t>הגדלת התקשרות- ייעוץ תחום הסברה ותקשורת</t>
  </si>
  <si>
    <t>6 חודשים</t>
  </si>
  <si>
    <t>הקבינט</t>
  </si>
  <si>
    <t>סגנית גזבר- אורית דנאי גנדל</t>
  </si>
  <si>
    <t>ערן זילברמן</t>
  </si>
  <si>
    <t>ליווי משפטי למנהלת התחדשות עירונית</t>
  </si>
  <si>
    <t>מנהל התחדשות עירונית- איציק בן יצחק</t>
  </si>
  <si>
    <t>שרקון בן עמי</t>
  </si>
  <si>
    <t>סכום שעתי</t>
  </si>
  <si>
    <t>30 שעות חודשיות למשך שנתיים</t>
  </si>
  <si>
    <t>הרטבי בסון</t>
  </si>
  <si>
    <t>מינצר כרמון</t>
  </si>
  <si>
    <t>לוסטינגמן לפלר</t>
  </si>
  <si>
    <t>אגמון</t>
  </si>
  <si>
    <t>החלטה מס' 2020-01-01</t>
  </si>
  <si>
    <t>החלטה מס' 2020-01-02</t>
  </si>
  <si>
    <t>הגדלת התקשרות - שדרוג והרחבת בי"ס גולדה מאיר- תכנון אדריכלי</t>
  </si>
  <si>
    <t>253012, 256025</t>
  </si>
  <si>
    <t>בהמשך להחלטה 2019-04-06 מבוקשת הגדלה בשל הרחבת הפרויקט לשיפוץ במבנה הדרומי וכן תוספת כיתות.</t>
  </si>
  <si>
    <t>בהמשך להחלטה מס' 2019-13-03 מבקשים הגדלת התקשרות נוספת לפי סעיף 3.21 לנוהל התקשרויות.</t>
  </si>
  <si>
    <t>החלטה מס' 2020-01-03</t>
  </si>
  <si>
    <t>החלטה מס' 2020-01-04</t>
  </si>
  <si>
    <t>ניהול  ופיקוח פרויקט רח שילר</t>
  </si>
  <si>
    <t>היקף פרוייקט  900,000</t>
  </si>
  <si>
    <t>טופ האוס</t>
  </si>
  <si>
    <t>ארז חן</t>
  </si>
  <si>
    <t>רמי ישורון</t>
  </si>
  <si>
    <t>נשלחה בקשה להצעה ל-4 משרדים</t>
  </si>
  <si>
    <t>החלטה מס' 2020-01-05</t>
  </si>
  <si>
    <t>מתחם פינוי בינוי ששת הימים- יעוץ תכנוני+ נוף+ תנועה</t>
  </si>
  <si>
    <t>דרמן ורבקל אדריכלים</t>
  </si>
  <si>
    <t>רן בלנדר אדריכלים</t>
  </si>
  <si>
    <t>HQ ארכיטקטים</t>
  </si>
  <si>
    <t>מילבאואר אדריכלים</t>
  </si>
  <si>
    <t>החלטה מס' 2020-01-06</t>
  </si>
  <si>
    <t>מתחם פינוי בינוי סוקולוב- יעוץ תכנוני+ נוף+ תנועה</t>
  </si>
  <si>
    <t>החלטה מס' 2020-01-07</t>
  </si>
  <si>
    <t>שיפוץ עומק 10 גני ילדים</t>
  </si>
  <si>
    <t>סטודיו זיו</t>
  </si>
  <si>
    <t>גולדנברג אדריכלים</t>
  </si>
  <si>
    <t>בועז יגוזינסקי</t>
  </si>
  <si>
    <t>הוגשו 13 הצעות מחיר, אך 7 הצעות מתוכם אינן עומדות בקריטריוני הדרישה: ענת סמסונוב, מירון לוי, דיאנה סטארק, שירי פרץ, רבקה כרמי, ישראלוביץ אדריכלים, אדם בקר</t>
  </si>
  <si>
    <t>החלטה מס' 2020-01-08</t>
  </si>
  <si>
    <t>שמרית רז</t>
  </si>
  <si>
    <t>דפנה תמיר</t>
  </si>
  <si>
    <t>שגית קורן</t>
  </si>
  <si>
    <t>קרני גרשטיין</t>
  </si>
  <si>
    <t>ערן קולודיצקי</t>
  </si>
  <si>
    <t>רן מירון</t>
  </si>
  <si>
    <t>סבטלנה פישמן</t>
  </si>
  <si>
    <t>נטע שמר</t>
  </si>
  <si>
    <t>אמיר מילר</t>
  </si>
  <si>
    <t>החלטה מס' 2020-01-09</t>
  </si>
  <si>
    <t>עתיד מהנדסים</t>
  </si>
  <si>
    <t>היקף פרוייקט  5,000,000</t>
  </si>
  <si>
    <t xml:space="preserve">פיתוח חצרות 10 גני ילדים שעוברים שיפוץ עומק </t>
  </si>
  <si>
    <t>ניהול  פרויקט פיתוח רחובות ושצ"פים בשכונת הפארק</t>
  </si>
  <si>
    <t>החלטה מס' 2020-01-10</t>
  </si>
  <si>
    <t>מתכנן תנועה ופיזי בפרויקטים שונים</t>
  </si>
  <si>
    <t>דיא</t>
  </si>
  <si>
    <t>500 שעות</t>
  </si>
  <si>
    <t>מורן הנדסת דרכים</t>
  </si>
  <si>
    <t>ספיר</t>
  </si>
  <si>
    <t>תב"ר שצ"פים</t>
  </si>
  <si>
    <t xml:space="preserve">תכנון תכן מבנה וקרקע-צומת עתיר ידע </t>
  </si>
  <si>
    <t>החלטה מס' 2020-01-11</t>
  </si>
  <si>
    <t>החלטה מס' 2020-01-12</t>
  </si>
  <si>
    <t>הגדלת התקשרות - יעוץ חשמל ותאורה- צומת עתיר ידע/ כביש 40</t>
  </si>
  <si>
    <t>מנהל מח' תנועה- הילן דהרי</t>
  </si>
  <si>
    <t>בהמשך לחוזה 35/15 מבוקשת הגדלה עקב היותו של יועץ זה בפרויקט שביל אופניים עתיר ידע. מדובר בהגדלה ממעגל תנועה מזרחי עד לכביש 55</t>
  </si>
  <si>
    <t>ג.ב מהנדסים יועצים בע"מ</t>
  </si>
  <si>
    <t>החלטה מס' 2020-01-13</t>
  </si>
  <si>
    <t>תכנון פיסי ותאום מערכות- צומת עתיר ידע- כביש 40</t>
  </si>
  <si>
    <t>נתן תומר</t>
  </si>
  <si>
    <t>גיאומכניקה</t>
  </si>
  <si>
    <t>נויה</t>
  </si>
  <si>
    <t>דורון אשל</t>
  </si>
  <si>
    <t>מ.נ.מ</t>
  </si>
  <si>
    <t>החלטה מס' 2020-01-14</t>
  </si>
  <si>
    <t>בהמשך להחלטה מס' 2018-03-01 מבקשים הגדלת התקשרות לפי סעיף 3.21 לנוהל התקשרויות, הואיל והאגרונום מטפל בפרויקטי הגינון בפארק (גינה טיפולית, בוסתן, חקלאות חדשנית וכו...) ומדובר בהמשך עבודה קיימת.</t>
  </si>
  <si>
    <t>36 חודשים</t>
  </si>
  <si>
    <t>החלטה מס' 2020-01-15</t>
  </si>
  <si>
    <t>יועמ"ש העיריה- אלון בן זקן</t>
  </si>
  <si>
    <t>נקדימון, קיסר, משרד עו"ד</t>
  </si>
  <si>
    <t>בהמשך לחוזה מס' 230/15 מבקשים הגדלת התקשרות לפי סעיף 3.21 לנוהל התקשרויות, הואיל ומבוקשת תקופת גישור עד ליציאה לבקשה העסקה מחודשת.</t>
  </si>
  <si>
    <t>הגדלת התקשרות - מתן שירותי שמאות</t>
  </si>
  <si>
    <t>גיל סגל שמאות מקרקעין בע"מ</t>
  </si>
  <si>
    <t>בהמשך להחלטה 2018-20-13 מבקשים הגדלת התקשרות לפי סעיף 3.21 לנוהל התקשרויות, הואיל ומבוקשת הארכת חוזה עד לסיום הליכי המכרז או עד לתאריך 30/4/2020</t>
  </si>
  <si>
    <t>החלטה מס' 2020-01-16</t>
  </si>
  <si>
    <t>קו מגוון שמאות מקרקעין ושירותי נדל"ן בע"מ</t>
  </si>
  <si>
    <t>בהמשך להחלטה 2018-20-15 מבקשים הגדלת התקשרות לפי סעיף 3.21 לנוהל התקשרויות, הואיל ומבוקשת הארכת חוזה עד לסיום הליכי המכרז או עד לתאריך 30/4/2020</t>
  </si>
  <si>
    <t>החלטה מס' 2020-01-17</t>
  </si>
  <si>
    <t>נשלחה בקשה להצעה ל-5 משרדים</t>
  </si>
  <si>
    <t>337 שעות</t>
  </si>
  <si>
    <t>ברק פרישמן קפלנר שימקוביץ ושות'</t>
  </si>
  <si>
    <t>שי סקיף</t>
  </si>
  <si>
    <t>יאיר תורגמן</t>
  </si>
  <si>
    <t>רוזן בסיס גיא בן גל</t>
  </si>
  <si>
    <t>אחוז מגביה בפועל</t>
  </si>
  <si>
    <t>החלטה מס' 2020-01-18</t>
  </si>
  <si>
    <t>העמקת גביית ארנונה במרחב העיר כ"ס</t>
  </si>
  <si>
    <t>מנהלת מח' שומה- דינה באוור</t>
  </si>
  <si>
    <t>צומן, רוקח, לנקרי</t>
  </si>
  <si>
    <t>ברק, גיט, מיסטריאל</t>
  </si>
  <si>
    <t>עודד מהצרי</t>
  </si>
  <si>
    <t>החלטה מס' 2020-01-19</t>
  </si>
  <si>
    <t xml:space="preserve">שלמה פיג'ו רו"ח, עו"ד </t>
  </si>
  <si>
    <t>ארצי חיבה, רו"ח</t>
  </si>
  <si>
    <t>אלתר ושות'</t>
  </si>
  <si>
    <t>משתתפים: איתי צחר - מנכ"ל העירייה, צבי אפרת- ס/גזבר, אילה זיו - נציגת היועמ"ש, רעות סימונס -מ"מ רכזת הוועדה, מהנדסת העיר- עליזה זיידלר גרנות</t>
  </si>
  <si>
    <t>תכנון אסטרטגי של מערכת התחבורה הציבורית</t>
  </si>
  <si>
    <t>אליה הנדסה</t>
  </si>
  <si>
    <t>והבי סלים</t>
  </si>
  <si>
    <t>יפתח- אסטרטגיה, ניהול, והנדסה</t>
  </si>
  <si>
    <t>40 שעות חודשיות לתקופה של שנה</t>
  </si>
  <si>
    <t>נשלחה בקשה להצעה ל-8 משרדים</t>
  </si>
  <si>
    <t>שירותי אגרונום בפרויקט פיתוח רח' שילר</t>
  </si>
  <si>
    <t>ד.ב.ש פיקוח תכנון</t>
  </si>
  <si>
    <t>אהרון ברגר, אגרונום</t>
  </si>
  <si>
    <t>יעוץ ופיקוח ירוק בע"מ</t>
  </si>
  <si>
    <t>תכנון מטבח לבית אברהם</t>
  </si>
  <si>
    <t>עירית תכנון מערכות מזון</t>
  </si>
  <si>
    <t>ה.ל.מ- חברה לרישוי</t>
  </si>
  <si>
    <t>אביב ברישוי</t>
  </si>
  <si>
    <t>נשלחה בקשה להצעה ל-6 משרדים</t>
  </si>
  <si>
    <t>החלטה מס' 2020-01-20</t>
  </si>
  <si>
    <t>החלטה מס' 2020-01-21</t>
  </si>
  <si>
    <t>החלטה מס' 2020-01-22</t>
  </si>
  <si>
    <t>החלטה מס' 2020-01-23</t>
  </si>
  <si>
    <t>הגדלת התקשרות - כתיבת ועדכון חוקי עזר</t>
  </si>
  <si>
    <t>הררי טויסטר ושות'</t>
  </si>
  <si>
    <t>מבקשים הגדלת התקשרות לפי סעיף 3.21 לנוהל התקשרויות, הואיל והיועץ ערך בעבר את חוקי העזר ולכן נדרשת מומחיותו. מדובר על כתיבת חוק עזר חדש לשצ"פ וכן עדכון חוקי עזר קיימים לסלילה ותיעול</t>
  </si>
  <si>
    <t>הגדלת התקשרות- קידום מחודש של תכנית המתאר הכוללנית</t>
  </si>
  <si>
    <t>פירשט מזור אדריכלים</t>
  </si>
  <si>
    <t>תכנית המתאר</t>
  </si>
  <si>
    <t>בהמשך להחלטה 12 מיום 30.10.12 מבקשים הגדלת התקשרות לפי סעיף 3.21 לנוהל התקשרויות. ההגדלה נחוצה עבור: ניטור ובחינת השלכות של תוכניות מאושרות ותוכניות מקודמות, טיפול מחדש בהתנגדויות ושיתוף ציבור ובחינה מחודשת של נושא הגבולות.</t>
  </si>
  <si>
    <t>החלטה מס' 2020-01-24</t>
  </si>
  <si>
    <t>החלטה מס' 2020-01-25</t>
  </si>
  <si>
    <t>החלטה מס' 2019-17-07</t>
  </si>
  <si>
    <t>קנה מידה</t>
  </si>
  <si>
    <t>אפלבאום מדידות</t>
  </si>
  <si>
    <t>חוסאם</t>
  </si>
  <si>
    <t>אורי חן ציוון</t>
  </si>
  <si>
    <t>תיקון החלטה- מדידה בשכונת הפארק- רח' הר נבו/ הר תבור, אז"ר, עהר מירון והר שוקף/ הר עצמון, גוש 6434+ חלקות וחלק מ-559</t>
  </si>
  <si>
    <t>יש לתקן את ההחלטה עקב טעות סופר בסכום ההצעה מ-31,230 ל-33,930.</t>
  </si>
  <si>
    <t>.</t>
  </si>
  <si>
    <t>החלטה מס' 2020-01-26</t>
  </si>
  <si>
    <t>מבקשים הגדלת התקשרות לפי סעיף 3.21 לנוהל התקשרויות</t>
  </si>
  <si>
    <t>הגדלת התקשרות - בדיקת כדאיות כלכלית להפעלת המטווח</t>
  </si>
  <si>
    <t>מנהל מח' היטלים- דניאל פומרנץ</t>
  </si>
  <si>
    <t>מנהל אגף בטחון- שי זייד</t>
  </si>
  <si>
    <t>רו"ח איה שטיינר</t>
  </si>
  <si>
    <t>נשלחה בקשה להצעה ל-4 משרדים, טופ האוס שהינו ההצעה הנמוכה ביותר הינו המציע ההנמוך ביותר בפרויקט שילר, מנהלת המחלקה מעונינת לחלק את העבודה בין היועצים השונים.</t>
  </si>
  <si>
    <t>מבקשים חלוקה עבודה בין כלל המציעים</t>
  </si>
  <si>
    <t>פרוטוקול ועדת התקשרויות מס' 2020-01 תאריך: 6/1/20</t>
  </si>
  <si>
    <t>אושרה עקרונית ההצעה לפי סעיף 3.21 לנוהל התקשרויות. ביצוע בפועל בכפוף לאישור בכתב של מנכ"ל העיריה</t>
  </si>
  <si>
    <t xml:space="preserve">אושרה ההצעה לפי סעיף 3.21 לנוהל התקשרויות לתקופה של 6 חודשים. </t>
  </si>
  <si>
    <t>100 שעות חודשיות* 6 חודשים</t>
  </si>
  <si>
    <t>לפי גן</t>
  </si>
  <si>
    <t>10 גנים</t>
  </si>
  <si>
    <t xml:space="preserve">אושרה ההצעה עם הציון המשוקלל הגבוה ביותר בכפוף להשוואת אחוז ההתקשרות ל-3.3%. </t>
  </si>
  <si>
    <t>אושרה ההצעה עם הציון המשוקלל הגבוה ביותר בכפוף להשוואת מחיר ההתקשרות לסכום של 8,658 כולל מע"מ.</t>
  </si>
  <si>
    <t>אושרה ההצעה עם הציון המשוקלל הגבוה ביותר בכפוף לבדיקה ואישור מנהלת מח' תשתיות</t>
  </si>
  <si>
    <t>אושרה ההצעה לפי סעיף 3.21 לנוהל התקשרויות בכפוף סיום העסקה עד לתאריך 31/1/2020</t>
  </si>
  <si>
    <t xml:space="preserve">אושרה ההצעה עם הציון המשוקלל הגבוה ביותר </t>
  </si>
  <si>
    <t>הגדלת התקשרות - יעוץ משפטי בתחום דיני לשון הרע</t>
  </si>
  <si>
    <t>אושרה הבקשה לחלוקת העבודה בין המציעים השונים</t>
  </si>
  <si>
    <t>יעוץ בנושא מע"מ ומס הכנסה וסוגיות בנושא שכירות</t>
  </si>
  <si>
    <t>אושרה ההצעה לפי סעיף 3.21 לנוהל התקשרויות על סכום של 10,000 ₪ בלבד בתוספת מע"מ בעבור עדכון חוקי עזר קיימים. בנושא חוק עזר לשצ"פ יש לפנות בנוסח אחיד לקבלת הצעות מחיר</t>
  </si>
  <si>
    <t>לא מאושר</t>
  </si>
  <si>
    <t>לא מאושר. יש לקבל הבהרות ממנהל אגף חזות העיר</t>
  </si>
  <si>
    <t>לא מאושר. יש לפנות בנוסח אחיד לקבלת הצעות מחיר</t>
  </si>
  <si>
    <t>אושרה ההצעה עם הציון המשוקלל הגבוה ביותר בכפוף להתמחרות נוספת.</t>
  </si>
  <si>
    <t>אושרה ההצעה עם הציון המשוקלל הגבוה ביותר. יש לפעול להשגת הצעות מחיר נוספות וממציעים חדשים בכל פנייה עתידית.</t>
  </si>
  <si>
    <t>לא אושר. יש לבחון שנית את ההסכם המקורי ואת תכולת העבודה שכבר הוזמנה וכמו כן את התחומים בהם אין כל שינוי והוגשה לגביהם בקשה להגדלה נוספת. הערה חוזרת לטיפול מהנדסת העיר</t>
  </si>
  <si>
    <t>אושרה ההצעה עם הציון המשוקלל הגבוה ביותר אך לא לכמות הגנים שצויינה אלא פר גן כאשר ההתקשרות בפועל תתבצע במסגרת להיקף תכנית העבודה שתאושר.</t>
  </si>
  <si>
    <t>יעוץ שמאי מיוחד למנהל הכספים</t>
  </si>
  <si>
    <t>יעוץ בנושא ארנונה</t>
  </si>
  <si>
    <t>מנהל אגף הכנסות- צחי בן אדרת</t>
  </si>
  <si>
    <t>גל- י.מ בע"מ</t>
  </si>
  <si>
    <t>הערות: לאור הדחיפות מועבר בסבב מיילים</t>
  </si>
  <si>
    <t>10 שעות</t>
  </si>
  <si>
    <t>פרוטוקול ועדת התקשרויות מס' 2020-02 תאריך: 20/1/20</t>
  </si>
  <si>
    <t>מדובר בספק יחיד וזאת לאור ניהול הליך גישור בילתי פורמלי עם תושב וזאת לאור מומחיותו בעניין והיותו מקובל על הצדדים.</t>
  </si>
  <si>
    <t>החלטה מס' 2020-02-01</t>
  </si>
  <si>
    <t>החלטה מס' 2020-02-02</t>
  </si>
  <si>
    <t>דוברת העירייה- חלי סממה פדידה</t>
  </si>
  <si>
    <t>עידו שסטל</t>
  </si>
  <si>
    <t>גיא ארדיטי</t>
  </si>
  <si>
    <t>מייקל כץ</t>
  </si>
  <si>
    <t>החלטה מס' 2020-02-03</t>
  </si>
  <si>
    <t>מקסום הכנסות לבינוי מוס"ח</t>
  </si>
  <si>
    <t>מנהל אגף חינוך- אורי ארבל גנץ</t>
  </si>
  <si>
    <t>נתפ ניהול תקציבי פיתוח</t>
  </si>
  <si>
    <t>וולר ושות</t>
  </si>
  <si>
    <t>ליבה יעוץ ארגוני</t>
  </si>
  <si>
    <t>אול דיי ווי</t>
  </si>
  <si>
    <t>אדריכלית העיר- מיכל שרייבר</t>
  </si>
  <si>
    <t>מנהל מחלקת מבני ציבור- מיכאל זלדין</t>
  </si>
  <si>
    <t>אגם ניהול ופיקוח</t>
  </si>
  <si>
    <t>לודן תשתיות ובינוי</t>
  </si>
  <si>
    <t>700 שעות</t>
  </si>
  <si>
    <t>מרום הנדסה</t>
  </si>
  <si>
    <t>אריה שקולר</t>
  </si>
  <si>
    <t>גרוייסמן הנדסה</t>
  </si>
  <si>
    <t>בהמשך להחלטה 2020-01-15 אשר בה נושא זה לא אושר. מבוקשת העברה מחדש של הנושא</t>
  </si>
  <si>
    <t>החלטה מס' 2020-05-03</t>
  </si>
  <si>
    <t>הערות: שיחת ועידה ב-ZOOM</t>
  </si>
  <si>
    <t>20 שעות</t>
  </si>
  <si>
    <t>בהמשך להחלטה 2019-15-02 , מבקשים הגדלת התקשרות לפי סעיף 3.21 לנוהל התקשרויות לצורך הגשת מועמדות לאות הרשות המצטיינת בתכנון</t>
  </si>
  <si>
    <t>החלטה מס' 2020-06-01</t>
  </si>
  <si>
    <t>תכנון אדריכלי  לעבודות שונות (לא פרויקטים) במבני העיריה</t>
  </si>
  <si>
    <t>דיאנה סטארק</t>
  </si>
  <si>
    <t>תב"ר 246017</t>
  </si>
  <si>
    <t>טלי זילבר</t>
  </si>
  <si>
    <t>החלטה מס' 2020-06-02</t>
  </si>
  <si>
    <t xml:space="preserve"> נשלחה בקשה להצעה ל-13 משרדים. סה"כ מס' שעות לפרויקט: 500 שעות. מבוקש חלוקת עבודה בין 2 המציעים בעלי הציון המשוקלל הגבוה ביותר.</t>
  </si>
  <si>
    <t>החלטה מס' 2020-06-03</t>
  </si>
  <si>
    <t>שירותים הנדסיים בתחום חשמל במוסדות העיריה</t>
  </si>
  <si>
    <t xml:space="preserve"> נשלחה בקשה להצעה ל-10 משרדים. סה"כ מס' שעות לפרויקט: 300 שעות. מבוקש חלוקת עבודה בין 2 המציעים בעלי הציון המשוקלל הגבוה ביותר.</t>
  </si>
  <si>
    <t>תב"ר 246007</t>
  </si>
  <si>
    <t>אריאל מלכה</t>
  </si>
  <si>
    <t>IUB מהנדסים</t>
  </si>
  <si>
    <t>אינה נוסבאום</t>
  </si>
  <si>
    <t>אריה גרינוולד</t>
  </si>
  <si>
    <t>בהמשך להחלטה 2020-04-05. חלה טעות והוחלפו שכ"ט השעתי של לודן ואגם ולכן הנושא מועלה בשנית לצורך תיקון ההחלטה</t>
  </si>
  <si>
    <t>אלעזר כהן</t>
  </si>
  <si>
    <t>מריו גולדשטיין</t>
  </si>
  <si>
    <t>כרגע מבוקש אישור עקרוני של שמות היועצים לניהול ופיקוח ללא חוזה,  כך שאין צורך  בנספח שכ"ט</t>
  </si>
  <si>
    <t>החלטה מס' 2020-06-04</t>
  </si>
  <si>
    <t>ניהול ופיקוח על עבודות שיפוץ מוסדות חינוך 2020</t>
  </si>
  <si>
    <t>ב.ס מהנדסים</t>
  </si>
  <si>
    <t>ת.ל.ן הנדסה ופיקוח</t>
  </si>
  <si>
    <t>י.מ. קרייזל</t>
  </si>
  <si>
    <t>א.ע מרום הנדסה</t>
  </si>
  <si>
    <t>דן רביד</t>
  </si>
  <si>
    <t>ש.מ.מ מהנדסים</t>
  </si>
  <si>
    <t>תיקון החלטה- שירותים הנדסיים (מעקב, תאום ניהול ופיקוח)</t>
  </si>
  <si>
    <t>החלטה מס' 2020-06-05</t>
  </si>
  <si>
    <t>ניהול ופיקוח פרויקט הנגשת כיתות שמע במוסדות חינוך</t>
  </si>
  <si>
    <t>לבטח הנדסה</t>
  </si>
  <si>
    <t>החלטה מס' 2020-06-06</t>
  </si>
  <si>
    <t>בהמשך להחלטה מס' 2019-13-10 מבקשים הגדלת התקשרות לפי סעיף 3.21 לנוהל התקשרויות.</t>
  </si>
  <si>
    <t>החלטה מס' 2020-06-07</t>
  </si>
  <si>
    <t>החלטה מס' 2020-06-08</t>
  </si>
  <si>
    <t>שכונת תקומה- תכנון תנועתי פיזי</t>
  </si>
  <si>
    <t>לוי שטרק זילברמן</t>
  </si>
  <si>
    <t>חופשי הנדסה וניהול</t>
  </si>
  <si>
    <t>אמי מתום</t>
  </si>
  <si>
    <t>שי מורן</t>
  </si>
  <si>
    <t>החלטה מס' 2020-06-09</t>
  </si>
  <si>
    <t>שכונת תקומה- תכנון נופי</t>
  </si>
  <si>
    <t xml:space="preserve"> נשלחה בקשה להצעה ל-4 משרדים.</t>
  </si>
  <si>
    <t>קליין אילנה</t>
  </si>
  <si>
    <t>גדעון שריג</t>
  </si>
  <si>
    <t>מרחבים אדר' נוף</t>
  </si>
  <si>
    <t>נעים בדרך</t>
  </si>
  <si>
    <t xml:space="preserve">לפי שעה </t>
  </si>
  <si>
    <t>בהמשך להחלטה מס' 2018-20-09 מבקשים הגדלת התקשרות נוספת לפי סעיף 3.21 לנוהל התקשרויות.</t>
  </si>
  <si>
    <t>החלטה מס' 2020-06-10</t>
  </si>
  <si>
    <t>החלטה מס' 2020-06-11</t>
  </si>
  <si>
    <t>מימוש קול קורא "שטחים פתוחים"- אדריכל שלולית החורף</t>
  </si>
  <si>
    <t>ליאב שלם</t>
  </si>
  <si>
    <t>החלטה מס' 2020-06-12</t>
  </si>
  <si>
    <t>סיוע בפרויקט  SME ערים חכמות של האיחוד האירופי</t>
  </si>
  <si>
    <t>מנהלת אגף קיימות וחדשנות- שרית סלע</t>
  </si>
  <si>
    <t>אביגדור שרון</t>
  </si>
  <si>
    <t>פרוטוקול ועדת התקשרויות מס' 2020-03 תאריך: 18/2/2020</t>
  </si>
  <si>
    <t>החלטה מס' 2020-03-01</t>
  </si>
  <si>
    <t>הגדלת התקשרות- יעוץ אינסטלציה- פארק התעסוקה המוביל (תב"ע תע"ש)</t>
  </si>
  <si>
    <t>אחים רזניקוב (2012) בע"מ</t>
  </si>
  <si>
    <t>הסבת חוזה מהחברה הכלכלית</t>
  </si>
  <si>
    <t>החלטה מס' 2020-03-02</t>
  </si>
  <si>
    <t>הגדלת התקשרות- יעוץ הידרולוגיה וניקוז- פארק התעסוקה המוביל (תב"ע תע"ש)</t>
  </si>
  <si>
    <t>לביא נטיף אלגביש בע"מ</t>
  </si>
  <si>
    <t>החלטה מס' 2020-03-03</t>
  </si>
  <si>
    <t>הגדלת התקשרות- יעוץ חשמל- פארק התעסוקה המוביל (תב"ע תע"ש)</t>
  </si>
  <si>
    <t>EECC הנדסת חשמל ומערכות בע"מ</t>
  </si>
  <si>
    <t>החלטה מס' 2020-03-04</t>
  </si>
  <si>
    <t>הגדלת התקשרות- מדידות- פארק התעסוקה המוביל (תב"ע תע"ש)</t>
  </si>
  <si>
    <t>הלפרין פלוס</t>
  </si>
  <si>
    <t>החלטה מס' 2020-03-05</t>
  </si>
  <si>
    <t>הגדלת התקשרות- יעוץ תברואה- פארק התעסוקה המוביל (תב"ע תע"ש)</t>
  </si>
  <si>
    <t>אורבניקס</t>
  </si>
  <si>
    <t>החלטה מס' 2020-03-06</t>
  </si>
  <si>
    <t>הגדלת התקשרות- סקר עצים- פארק התעסוקה המוביל (תב"ע תע"ש)</t>
  </si>
  <si>
    <t>חנוך בורגר אגרונומים בע"מ</t>
  </si>
  <si>
    <t>החלטה מס' 2020-03-07</t>
  </si>
  <si>
    <t>הגדלת התקשרות- סקר תשתיות- פארק התעסוקה המוביל (תב"ע תע"ש)</t>
  </si>
  <si>
    <t>ז.ה.ב הנדסה בע"מ</t>
  </si>
  <si>
    <t>החלטה מס' 2020-03-08</t>
  </si>
  <si>
    <t>הגדלת התקשרות- יעוץ שיתוף ציבור- פארק התעסוקה המוביל (תב"ע תע"ש)</t>
  </si>
  <si>
    <t>החלטה מס' 2020-03-09</t>
  </si>
  <si>
    <t>יעוץ חברתי עבור תכניות פינוי בינוי למתחמים ששת הימים וסוקולוב</t>
  </si>
  <si>
    <t>דיאלוג</t>
  </si>
  <si>
    <t>מודוס</t>
  </si>
  <si>
    <t>CR קשרי קהילה</t>
  </si>
  <si>
    <t>נשלחה בקשה להצעת מחיר ל-4 חברות</t>
  </si>
  <si>
    <t>החלטה מס' 2020-03-10</t>
  </si>
  <si>
    <t>יעוץ פרוגרמה עבור תכניות פינוי בינוי למתחמים ששת הימים וסוקולוב</t>
  </si>
  <si>
    <t>גאוקרטוגרפיה</t>
  </si>
  <si>
    <t>גיא רונן</t>
  </si>
  <si>
    <t>AVIV AMCG- יעל פסלר</t>
  </si>
  <si>
    <t>החלטה מס' 2020-03-11</t>
  </si>
  <si>
    <t xml:space="preserve">יעוץ שמאי עבור תכניות פינוי בינוי למתחם ששת הימים </t>
  </si>
  <si>
    <t>צפריר שמאות מקרקעין ויעוץ כלכלי בעמ</t>
  </si>
  <si>
    <t>ז.כ למדידות</t>
  </si>
  <si>
    <t>גיא עמית</t>
  </si>
  <si>
    <t>החלטה מס' 2020-03-12</t>
  </si>
  <si>
    <t>יעוץ שמאי עבור תכניות פינוי בינוי למתחם סוקולוב</t>
  </si>
  <si>
    <t>החלטה מס' 2020-03-13</t>
  </si>
  <si>
    <t xml:space="preserve">יעוץ מדידות עבור תכניות פינוי בינוי למתחם ששת הימים </t>
  </si>
  <si>
    <t>א. פנקס ובנו</t>
  </si>
  <si>
    <t>תילווי מדידות</t>
  </si>
  <si>
    <t>חי הנדסה</t>
  </si>
  <si>
    <t>החלטה מס' 2020-03-14</t>
  </si>
  <si>
    <t>יעוץ מדידות עבור תכניות פינוי בינוי למתחם סוקולוב</t>
  </si>
  <si>
    <t>פרוטוקול ועדת התקשרויות מס' 2020-04 תאריך: 20/2/2020</t>
  </si>
  <si>
    <t>החלטה מס' 2020-04-01</t>
  </si>
  <si>
    <t>הגדלת התקשרות-תכנית נושאית גגות כפר סבא</t>
  </si>
  <si>
    <t>שחר רוזנפלד אדרכלים</t>
  </si>
  <si>
    <t>בהמשך להחלטה 2018-08-15 מבקשים הגדלת התקשרות לפי סעיף 3.21 לנוהל התקשרויות, הואיל ולתב"ע נוספו הנחיות כלל עירוניות נוספות.</t>
  </si>
  <si>
    <t>החלטה מס' 2020-04-02</t>
  </si>
  <si>
    <t>תכנון חשמל ותאורה- שביל אופניים ציר נורדאו</t>
  </si>
  <si>
    <t>מנהלת מח' תנועה- הילן דהרי</t>
  </si>
  <si>
    <t>נעים בדרך הנדסת פרויקטים ומערכות בעמ</t>
  </si>
  <si>
    <t>אורי אברהמי-תכנון ובדיקות חשמל</t>
  </si>
  <si>
    <t>ג.ב. מהנדסים יועצים בע"מ</t>
  </si>
  <si>
    <t>החלטה מס' 2020-04-03</t>
  </si>
  <si>
    <t xml:space="preserve">יעוץ אגרונומי עבור תכניות פינוי בינוי למתחם ששת הימים </t>
  </si>
  <si>
    <t>אדיר יעוץ ופיתוח נופי בע"מ</t>
  </si>
  <si>
    <t>דר רקפת הדר גבאי</t>
  </si>
  <si>
    <t>יעוץ ופיקוח ירוק</t>
  </si>
  <si>
    <t>דני אלמליח אגרונום</t>
  </si>
  <si>
    <t>החלטה מס' 2020-04-04</t>
  </si>
  <si>
    <t>יעוץ אגרונומי עבור תכניות פינוי בינוי למתחם סוקולוב</t>
  </si>
  <si>
    <t>החלטה מס' 2020-04-05</t>
  </si>
  <si>
    <t>שירותים הנדסיים (מעקב, תאום ניהול ופיקוח)</t>
  </si>
  <si>
    <t>החלטה מס' 2020-04-06</t>
  </si>
  <si>
    <t>התקשרות המשך - פיקוח עליון ביישום מערכות אבטחה ומיגון בעיר בהתאם לתכנון שבוצע.</t>
  </si>
  <si>
    <t>מנהל אגף ביטחון - שי זייד</t>
  </si>
  <si>
    <t>טנדו</t>
  </si>
  <si>
    <t>בהמשך להחלטה 2018-22-05 מבקשים הגדלת התקשרות לפי סעיף 3.21 לנוהל התקשרויות.</t>
  </si>
  <si>
    <t>החלטה מס' 2020-04-07</t>
  </si>
  <si>
    <t>החלטה מס' 2020-04-08</t>
  </si>
  <si>
    <t>שירותי יעוץ בנושא התנגדות להקמת תחנת כח באזור דרום השרון</t>
  </si>
  <si>
    <t>עוזר מנכ"ל- בן צרטוף דאר</t>
  </si>
  <si>
    <t>גיורא איילנד בע"מ</t>
  </si>
  <si>
    <t>מבקשים לאשר את היועץ לפי סעיף 3.21 לנוהל התקשרויות עקב היותו של היועץ מומחה יחיד בתחומו.</t>
  </si>
  <si>
    <t>החלטה מס' 2020-04-09</t>
  </si>
  <si>
    <t>ייעוץ תחזוקת מגרשי כדורגל דשא ברחבי העיר</t>
  </si>
  <si>
    <t>מנהל רשות הספורט- שאול מיטלברג</t>
  </si>
  <si>
    <t>ש.ר מדשאות</t>
  </si>
  <si>
    <t>החלטה מס' 2020-04-10</t>
  </si>
  <si>
    <t>בהמשך להחלטה 2018-20-13 מבקשים הגדלת התקשרות לפי סעיף 3.21 לנוהל התקשרויות, הואיל ומבוקשת הארכת חוזה עד לסיום הליכי המכרז או עד לתאריך 30/4/2020. בהחלטה 2020-01-20 אושרה ההצעה עד ל31/1/2020, מבקשים להאריך חוזה עד לתאריך 30/4/2020 של הבקשה המקורית.</t>
  </si>
  <si>
    <t>החלטה מס' 2020-04-11</t>
  </si>
  <si>
    <t>בהמשך להחלטה 2018-20-15 מבקשים הגדלת התקשרות לפי סעיף 3.21 לנוהל התקשרויות, הואיל ומבוקשת הארכת חוזה עד לסיום הליכי המכרז או עד לתאריך 30/4/2020. בהחלטה 2020-01-21 אושרה ההצעה עד ל31/1/2020, מבקשים להאריך חוזה עד לתאריך 30/4/2020 של הבקשה המקורית.</t>
  </si>
  <si>
    <t>החלטה מס' 2020-04-12</t>
  </si>
  <si>
    <t>עו"ד לכתיבת חוק עזר להיטל שצ"פ</t>
  </si>
  <si>
    <t>עופר שפיר ושות עו"ד</t>
  </si>
  <si>
    <t>רוזן, בסיס, בן-גל עו"ד</t>
  </si>
  <si>
    <t>החלטה מס' 2020-05-01</t>
  </si>
  <si>
    <t>יועץ לעריכת מכרז בנושא אכיפה משפטית</t>
  </si>
  <si>
    <t>מנהל אגף הכנסות וארנונה- צחי בן אדרת</t>
  </si>
  <si>
    <t>תשתיות מידע וטכנולוגיות בע"מ</t>
  </si>
  <si>
    <t>60 שעות</t>
  </si>
  <si>
    <t>אושרה ההצעה עם הציון המשוקלל הגבוה ביותר בכפוף לבדיקת שביעות רצון מעבודת היועץ ברשויות אחרות ע"י מנהל אגף הכנסות.</t>
  </si>
  <si>
    <t>עלא גנטוס</t>
  </si>
  <si>
    <t>טיפקון בע"מ</t>
  </si>
  <si>
    <t>החלטה מס' 2020-05-02</t>
  </si>
  <si>
    <t>יועץ לניהול וביצוע פרויקט דאטה</t>
  </si>
  <si>
    <t>יניב שוורץ</t>
  </si>
  <si>
    <t>עד 25 שעות- 250 שח לשעה. מעל 25 שעות- 230 שח לשעה</t>
  </si>
  <si>
    <t>35 שעות חודשיות למשך חצי שנה</t>
  </si>
  <si>
    <t>אושרה ההצעה עם הציון המשוקלל הגבוה ביותר. יתבצע ניסיון להורדת המחיר השעתי</t>
  </si>
  <si>
    <t>רומי דר</t>
  </si>
  <si>
    <t>אפי מרמלשטיין</t>
  </si>
  <si>
    <t>החלטה מס' 2020-05-04</t>
  </si>
  <si>
    <t>מאגר מידע על תושבים, שו"ב, ניהול מידע אוכלוסין</t>
  </si>
  <si>
    <t>D.ATEAM</t>
  </si>
  <si>
    <t>40 שעות חודשיות למשך חצי שנה</t>
  </si>
  <si>
    <t>JUTOMATE</t>
  </si>
  <si>
    <t xml:space="preserve">אושרו 2 ההצעות עם הציון המשוקלל הגבוה ביותר בכפוף להשוואת שכ"ט של טלי לשכ"ט של דיאנה.   </t>
  </si>
  <si>
    <t>אושרו ההצעות עם הציון המשוקלל הגבוה ביותר.</t>
  </si>
  <si>
    <t>אושרו 4 ההצעות עם הציון המשוקלל הגבוה ביותר בכפוף להשוואת אחוז שכ"ט של המציעים ל-3%. יש להציג לועדה הצעות מתוקנות</t>
  </si>
  <si>
    <t>לא מאושר.</t>
  </si>
  <si>
    <t>אושרה ההצעה עם הציון המשוקלל הגבוה ביותר בכפוף להורדת שכ"ט ב-10%.  יש להציג לועדה הצעות מתוקנות</t>
  </si>
  <si>
    <t>אושרה ההצעה עם הציון המשוקלל הגבוה ביותר בכפוף להורדת שכ"ט ב-10%. יש להציג לועדה הצעות מתוקנות</t>
  </si>
  <si>
    <t>אושרה ההצעה לפי סעיף 3.21 לנוהל התקשרויות. יבוצע ניסיון להורדת שכ"ט ב-10%. יש להציג לועדה הצעות מתוקנות</t>
  </si>
  <si>
    <t>לא מאושר. (1) יש לפנות ל4 מציעים לפחות לקבלת הצעות מחיר בהתאם לנוהל התקשרויות. (2) יש לבדוק עלות אדריכל נוף בפרויקט בריכת החורף בפארק העירוני. (3) יש ללמוד ולהפיק לקחים מתכנון בריכת החורף בפארק העירוני</t>
  </si>
  <si>
    <t>מדובר בהוצאה לפועל הדמיה ותכנון ראשוני שהתבצעו במסגרת קול קורא אשר נבחר בו המציע ולכן מבקשים לאשר הבקשה בהתאם לסעיף 3.21 לנוהל התקשרויות</t>
  </si>
  <si>
    <t>מדובר בבפרויקט של ערים חכמות מטעם האיחוד האירופי בשיתוף אוניברסיטת תל אביב. אוני' תל אביב מעסיקה מציע זה לצורך הפרויקט ולכן יש צורך בשירותיו הייחודיים ולכן מבקשים לאשר הבקשה בהתאם לסעיף 3.21 לנוהל התקשרויות</t>
  </si>
  <si>
    <t>תכנון מפורט חשמל תאורה ותקשורת עתיר ידע- כביש 40 /אושירה</t>
  </si>
  <si>
    <t>אריאל מלכה מהנדסים</t>
  </si>
  <si>
    <t>ג.א.ש חשמל</t>
  </si>
  <si>
    <t>יאיר איתן</t>
  </si>
  <si>
    <t>החלטה מס' 2020-07-01</t>
  </si>
  <si>
    <t>החלטה מס' 2020-07-02</t>
  </si>
  <si>
    <t>תכנון נוף עתיר ידע- כביש 40 /אושירה</t>
  </si>
  <si>
    <t>ד.ב.ש יעוץ ופיקוח</t>
  </si>
  <si>
    <t xml:space="preserve">עד אדריכלי נוף </t>
  </si>
  <si>
    <t>גדעון שריג לב- וקסמן</t>
  </si>
  <si>
    <t>ליאור לוינגר</t>
  </si>
  <si>
    <t>החלטה מס' 2020-07-03</t>
  </si>
  <si>
    <t>מהנדס קונסטרוקציה עתיר ידע- כביש 40 /אושירה</t>
  </si>
  <si>
    <t>צבי כהן</t>
  </si>
  <si>
    <t>אהרון דניאל מנהדסים</t>
  </si>
  <si>
    <t>סטאר מהנדסים בע"מ</t>
  </si>
  <si>
    <t>החלטה מס' 2020-08-01</t>
  </si>
  <si>
    <t>תכנון תאורה מדרחוב ירושלים+קריית ספיר+6 כיכרות</t>
  </si>
  <si>
    <t>ע. מנהל אגף אחזקה ותפעול,מ"מ מנהל מח' חשמל- לירון גרומברג</t>
  </si>
  <si>
    <t xml:space="preserve"> נשלחה בקשה להצעה ל-6 משרדים.</t>
  </si>
  <si>
    <t>רמה מנדלסון</t>
  </si>
  <si>
    <t>IUB</t>
  </si>
  <si>
    <t>ט.ר תאורה בע"מ</t>
  </si>
  <si>
    <t>ייעוץ ותכנון אקוסטיקה לכיתות שמע במוסדות חינוך</t>
  </si>
  <si>
    <t>החלטה מס' 2020-08-02</t>
  </si>
  <si>
    <t>מגי יועצים בע"מ</t>
  </si>
  <si>
    <t>לורבר ייעוץ אקוסטיקה</t>
  </si>
  <si>
    <t>עדוא יאיר ייעוץ</t>
  </si>
  <si>
    <t>מאושרת התקשרות עד גובה סכום של 33,696 כולל מע"מ. במידת הצורך יש להעביר בקשה מחודשת  לועדת התקשרות להמשך התקשרות</t>
  </si>
  <si>
    <t xml:space="preserve">אושרה ההצעה עם הציון המשוקלל הגבוה ביותר בכפוף להורדת שכ"ט ב-10%. </t>
  </si>
  <si>
    <t>החלטה מס' 2020-08-03</t>
  </si>
  <si>
    <t>אגרונום וסקר עצים- צומת עתיר ידע</t>
  </si>
  <si>
    <t>פתילת המדבר בע"מ</t>
  </si>
  <si>
    <t>אורי אייגנר</t>
  </si>
  <si>
    <t>אדיר יעוץ ופיקוח נופי</t>
  </si>
  <si>
    <t>אושרה ההצעה עם הציון המשוקלל הגבוה ביותר .</t>
  </si>
  <si>
    <t>הערות:  לאור הדחיפות מועבר בסבב מיילים</t>
  </si>
  <si>
    <t>החלטה מס' 2020-09-01</t>
  </si>
  <si>
    <t>בהמשך להחלטה 2019-16-02 , מבקשים הגדלת התקשרות לפי סעיף 3.21 לנוהל התקשרויות הואיל ובחוזה סוכם כי תקופת ההתקשרות הינה 4 חודשים עם אפשרות הארכה לעוד חודשיים</t>
  </si>
  <si>
    <t>2 חודשים</t>
  </si>
  <si>
    <t>מנהלת אגף דוברות והסברה- חלי סממה פדידה</t>
  </si>
  <si>
    <t>בהמשך להחלטה 2019-07-08 , מבקשים הגדלת התקשרות לפי סעיף 3.21 לנוהל התקשרויות</t>
  </si>
  <si>
    <t xml:space="preserve"> הגדלת התקשרות- יעוץ אסטרטגי ושירותי לובינג בנושא מאבק בתחנות הכוח</t>
  </si>
  <si>
    <t>החלטה מס' 2020-09-02</t>
  </si>
  <si>
    <t>הערות להחלטה</t>
  </si>
  <si>
    <t>סה"כ שכ"ט מאושר להתקשרות  (כולל מע"מ)</t>
  </si>
  <si>
    <t>עו"ד זיו: מדובר בהתקשרות מתמשכת. יש לפרסם מכרז פומבי
איתי צחר: מקובל. הליך מכרז הוא כחצי שנה, ולכן מציע לאשר את ההתקשרות לחצי שנה, ובזמן הזה יתקיים הליך המכרז. 
שגיא רוכל: מאשר</t>
  </si>
  <si>
    <r>
      <t>אושרה ההצעה לפי סעיף 3.21 לנוהל התקשרויות ל</t>
    </r>
    <r>
      <rPr>
        <b/>
        <sz val="11"/>
        <color theme="9" tint="-0.249977111117893"/>
        <rFont val="Arial"/>
        <family val="2"/>
      </rPr>
      <t xml:space="preserve">תקופה של חצי שנה. </t>
    </r>
  </si>
  <si>
    <t>אושר פה אחד</t>
  </si>
  <si>
    <t>142 שעות</t>
  </si>
  <si>
    <t>החלטה מס' 2020-09-03</t>
  </si>
  <si>
    <t>בהמשך להחלטה 2020-06-01 , מבקשים הגדלת התקשרות לפי סעיף 3.21 לנוהל התקשרויות לצורך שיתוף ציבור בפרויקטיים עירוניים שונים: פארק תעסוקה המוביל, ותכנית אב ללב העיר</t>
  </si>
  <si>
    <t>בתאריך 30/3/2020 התקבלה החלטה כי :לא מאושר. עלות שכ"ט מאושרת לפרויקט זה היא 45,000 ₪. ניתן לפנות  למציע זה או  לאחד המציעים מסעיף 4 או לחכ"ל לניהול הפרויקט. לאור ההחלטה נעשתה פניה למציע להורדת המחיר וזה נענה לבקשה. הוצגה לועדה  הצעה מתוקנת. הועדה אישרה את הבקשה</t>
  </si>
  <si>
    <t>הגדלת התקשרות- יעוץ למפת סיפור (ישום GIS) לתכניות: פארק תעסוקה המוביל ותכנית אב ללב העיר</t>
  </si>
  <si>
    <t>פרוטוקול ועדת התקשרויות מס' 2020-09 תאריך: 14/5/2020</t>
  </si>
  <si>
    <t>פרוטוקול ועדת התקשרויות מס' 2020-08 תאריך: 4/5/2020</t>
  </si>
  <si>
    <t>כבירי נבו</t>
  </si>
  <si>
    <t>החלטה מס' 2020-10-01</t>
  </si>
  <si>
    <t>יעוץ בנושא כתיבת תבחינים לתמיכות 2021</t>
  </si>
  <si>
    <t>תבור כלכלה ופיננסים</t>
  </si>
  <si>
    <t>החלטה מס' 2020-10-02</t>
  </si>
  <si>
    <t>התאמת אידטדיון לויטה לדרישת המנהלת בליגה- ניהול פרויקט</t>
  </si>
  <si>
    <t>י.מ קרייזל</t>
  </si>
  <si>
    <t>אייל רביב</t>
  </si>
  <si>
    <t>ש.מ.מ. מהנדסים</t>
  </si>
  <si>
    <t>החלטה מס' 2020-10-03</t>
  </si>
  <si>
    <t>החלטה מס' 2020-10-04</t>
  </si>
  <si>
    <t>בהמשך להחלטה 2020-07-01 בה אושר סכום להתקשרות ע"כ 18,518 שח ללא מע"מ ולאור הבנת גודל והיקף הפרויקט, המציע מבקש לתקן את סכום ההתקשרות.</t>
  </si>
  <si>
    <t>תיקון החלטה- תכנון מפורט חשמל תאורה ותקשורת עתיר ידע- כביש 40 /אושירה</t>
  </si>
  <si>
    <t>בהמשך להחלטה 2019-08-11 מבקשים הגדלת התקשרות נוספת לפי סעיף 3.21 לנוהל התקשרויות.</t>
  </si>
  <si>
    <t>2550032750, 1811000756</t>
  </si>
  <si>
    <t>החלטה מס' 2020-10-05</t>
  </si>
  <si>
    <t>פרוטוקול ועדת התקשרויות מס' 2020-10 תאריך: 3/6/2020</t>
  </si>
  <si>
    <t>הסבת התקשרות- נספח סביבתי- פארק התעסוקה המוביל (תב"ע תע"ש)</t>
  </si>
  <si>
    <t>יש לבקש נתונים נוספים ומדויקים עבור תכולת ההצעה</t>
  </si>
  <si>
    <t>לא מאושר. יש לקבל הבהרות ממנהל אגף חינוך</t>
  </si>
  <si>
    <t>עקב דחיפות הנושא והצורך לשדרג את האיצטדיון עד מועד פתיחת הליגה באוגוסט 2020, הנושא מועלה בועדת התקשרויות</t>
  </si>
  <si>
    <t>החלטה מס' 2020-10-06</t>
  </si>
  <si>
    <t>הגדלת התקשרות- יועץ לעדכון תחשיב היטל השמירה</t>
  </si>
  <si>
    <t>חברת אורבניקס מצוייה בפרטים והיא ערכה את התחשיב הקודם בשנת 2015 ולכן מבקשים הגדלת התקשרות נוספת לפי סעיף 3.21 לנוהל התקשרויות</t>
  </si>
  <si>
    <t>התאמת אידטדיון לויטה לדרישת המנהלת בליגה- יעוץ בטיחות</t>
  </si>
  <si>
    <t>תב"ר 283017</t>
  </si>
  <si>
    <t>החלטה מס' 2020-11-01</t>
  </si>
  <si>
    <t>ברקן-בועז ברק</t>
  </si>
  <si>
    <t>יוסי ברקאי</t>
  </si>
  <si>
    <t>גיל אלבוים</t>
  </si>
  <si>
    <t>החלטה מס' 2020-11-02</t>
  </si>
  <si>
    <t>התאמת אידטדיון לויטה לדרישת המנהלת בליגה- יעוץ חשמל</t>
  </si>
  <si>
    <t>היקף פרוייקט  3,500,000</t>
  </si>
  <si>
    <t>איתן לוי</t>
  </si>
  <si>
    <t>ציון גל</t>
  </si>
  <si>
    <t>שמואל בלקנטר</t>
  </si>
  <si>
    <t>החלטה מס' 2020-11-03</t>
  </si>
  <si>
    <t>התאמת אידטדיון לויטה לדרישת המנהלת בליגה- יעוץ נגישות</t>
  </si>
  <si>
    <t>נתי זיו</t>
  </si>
  <si>
    <t>אירונה רובין</t>
  </si>
  <si>
    <t>החלטה מס' 2020-11-04</t>
  </si>
  <si>
    <t>התאמת אידטדיון לויטה לדרישת המנהלת בליגה- יעוץ קונסטרוקציה</t>
  </si>
  <si>
    <t>היקף פרוייקט  2,500,000</t>
  </si>
  <si>
    <t>רפאל בט</t>
  </si>
  <si>
    <t>אלכס כצמן</t>
  </si>
  <si>
    <t>יצחק למעי</t>
  </si>
  <si>
    <t>גל חן</t>
  </si>
  <si>
    <t>החלטה מס' 2020-11-05</t>
  </si>
  <si>
    <t>החלטה מס' 2020-11-06</t>
  </si>
  <si>
    <t>התאמת אידטדיון לויטה לדרישת המנהלת בליגה- יעוץ קרקע וביסוס</t>
  </si>
  <si>
    <t>גפן הנדסה</t>
  </si>
  <si>
    <t>זליו דיאמנדר</t>
  </si>
  <si>
    <t>גרמי גאוטכניקה</t>
  </si>
  <si>
    <t>מכטה גיאוטכניקה</t>
  </si>
  <si>
    <t>החלטה מס' 2020-11-07</t>
  </si>
  <si>
    <t>התאמת אידטדיון לויטה לדרישת המנהלת בליגה- יעוץ אדריכלי</t>
  </si>
  <si>
    <t>גולדשמיט בן נעים</t>
  </si>
  <si>
    <t>אהרון אלבוים</t>
  </si>
  <si>
    <t>אילן צבי</t>
  </si>
  <si>
    <t>החלטה מס' 2020-11-08</t>
  </si>
  <si>
    <t>התאמת אידטדיון לויטה לדרישת המנהלת בליגה- יעוץ אינסטלציה</t>
  </si>
  <si>
    <t>אלכס קוזינר</t>
  </si>
  <si>
    <t>איתן אלמסי</t>
  </si>
  <si>
    <t>חיים כץ</t>
  </si>
  <si>
    <t>יצחק ברבי</t>
  </si>
  <si>
    <t>החלטה מס' 2020-11-09</t>
  </si>
  <si>
    <t>התאמת אידטדיון לויטה לדרישת המנהלת בליגה- יעוץ מערכות תקשוב וטלויזיה</t>
  </si>
  <si>
    <t>קדם יצחק</t>
  </si>
  <si>
    <t>אלי פלץ-EMG</t>
  </si>
  <si>
    <t>שמואל דוקס</t>
  </si>
  <si>
    <t>גולן תקשורת</t>
  </si>
  <si>
    <t>החלטה מס' 2020-11-10</t>
  </si>
  <si>
    <t>יעוץ אדריכלי לתב"ע ושינוי יעוד+ תכנון מפורט ל-2 מבני תנועות נוער</t>
  </si>
  <si>
    <t>ליאת איינהורן</t>
  </si>
  <si>
    <t>בן ארי אדריכלים</t>
  </si>
  <si>
    <t>המחיר כולל הכנת תב"ע ו-2 תכנונים מפורטים משלב ההיתר ועד מסירת המבנה.</t>
  </si>
  <si>
    <t>החלטה מס' 2020-11-11</t>
  </si>
  <si>
    <t>ייעוץ נוף והשקיה לשביל אופניים בן יהודה בקטע הנביאים- הגליל</t>
  </si>
  <si>
    <t>2250062951 מרכבה 100113580</t>
  </si>
  <si>
    <t>ורד בלוק</t>
  </si>
  <si>
    <t>אורבנוף</t>
  </si>
  <si>
    <t>שדה יער</t>
  </si>
  <si>
    <t>החלטה מס' 2020-11-12</t>
  </si>
  <si>
    <t>ייעוץ נוף והשקיה לשביל אופניים בת"א יפו בקטע כביש 40- תל חי</t>
  </si>
  <si>
    <t>2250062950 מרכבה 100113581</t>
  </si>
  <si>
    <t>החלטה מס' 2020-11-13</t>
  </si>
  <si>
    <t>ייעוץ חשמל ותקשורת לשביל אופניים בת"א יפו בקטע כביש 40- תל חי</t>
  </si>
  <si>
    <t>שצקי את בן מאיר</t>
  </si>
  <si>
    <t>ברקת ירד</t>
  </si>
  <si>
    <t>גבאלי סלאח</t>
  </si>
  <si>
    <t>טופז הנדסה</t>
  </si>
  <si>
    <t>החלטה מס' 2020-11-14</t>
  </si>
  <si>
    <t>ייעוץ חשמל ותקשורת לשביל אופניים בן יהודה בקטע הנביאים- הגליל</t>
  </si>
  <si>
    <t>החלטה מס' 2020-11-15</t>
  </si>
  <si>
    <t>ייעוץ אגרונומי לשביל אופניים בת"א יפו בקטע כביש 40- תל חי</t>
  </si>
  <si>
    <t>פתילת המדבר</t>
  </si>
  <si>
    <t>אלכס שפירא</t>
  </si>
  <si>
    <t>החלטה מס' 2020-11-16</t>
  </si>
  <si>
    <t>ייעוץ תכן מבנה לשביל אופניים בת"א יפו בקטע כביש 40- תל חי</t>
  </si>
  <si>
    <t>א.גאומכניקה</t>
  </si>
  <si>
    <t>החלטה מס' 2020-11-17</t>
  </si>
  <si>
    <t>ייעוץ תכן מבנה לשביל אופניים בן יהודה בקטע הנביאים- הגליל</t>
  </si>
  <si>
    <t>החלטה מס' 2020-11-18</t>
  </si>
  <si>
    <t>החלטה מס' 2020-11-19</t>
  </si>
  <si>
    <t>שירותי יעוץ תכנון תנועה ופיזי- שער העיר- משולש כפר סבא</t>
  </si>
  <si>
    <t>מורן הנדסה</t>
  </si>
  <si>
    <t>פי ג'י אל</t>
  </si>
  <si>
    <t>החלטה מס' 2020-11-20</t>
  </si>
  <si>
    <t>שירותי יעוץ תכנון נוף- שער העיר- משולש כפר סבא</t>
  </si>
  <si>
    <t>קליין אילנה אדר' נוף</t>
  </si>
  <si>
    <t>שלף מטלון אדר' נוף</t>
  </si>
  <si>
    <t>ק.ס.מ קב' סוף מערב</t>
  </si>
  <si>
    <t>אורבנוף אדר'י נוף</t>
  </si>
  <si>
    <t>החלטה מס' 2020-11-21</t>
  </si>
  <si>
    <t>החלטה מס' 2020-11-22</t>
  </si>
  <si>
    <t>יועץ לבטיחות מתקני משחק במוסדות חינוך- כולל ניהול תיקי הגן והתאמה להיתר מכון התקנים</t>
  </si>
  <si>
    <t>מנהל מח' תפעול ותחזוקת מוסדות ציבור- ישראל זמוסטיאנו</t>
  </si>
  <si>
    <t>לשחק על בטוח</t>
  </si>
  <si>
    <t>צור וולף אדריכלי נוף</t>
  </si>
  <si>
    <t>הנל מלווים את תכנון פארק כפר סבא משלבי הסטטוריקה הראשונים. אישור תכנית כס/1/37/א, תכנית עיצוב ופיתוח וכן ביצוע הפארק בפועל ולכן עקב מומחיותו מבקשים לאשר הבקשה בהתאם לסעיף 3.21 לנוהל התקשרויות</t>
  </si>
  <si>
    <t xml:space="preserve">לפי אחוז </t>
  </si>
  <si>
    <t>הגדלת התקשרות- ליווי כלכלי ומקסום הכנסות ממשרדי ממשלה</t>
  </si>
  <si>
    <t>סגן גזבר העירייה - צבי אפרת</t>
  </si>
  <si>
    <t>בהמשך להחלטה 2018-14-11 , מבקשים הגדלת התקשרות לפי סעיף 3.21 לנוהל התקשרויות.</t>
  </si>
  <si>
    <t>נ.ת.פ. - ניהול תקציבי פיתוח</t>
  </si>
  <si>
    <t>היקף פרוייקט 30 מיליון ₪</t>
  </si>
  <si>
    <t>הערות:  שיחת ועידה ב-ZOOM</t>
  </si>
  <si>
    <t>פרוטוקול ועדת התקשרויות מס' 2020-11 תאריך: 22/6/2020</t>
  </si>
  <si>
    <t>אושרה ההצעה עם הציון המשוקלל הגבוה ביותר בכפוף למצוין בהערות להחלטה</t>
  </si>
  <si>
    <t xml:space="preserve">  הנ"ל בכפוף לבדיקה חוזרת של תכולת העבודה  והיקף הפרויקט. כמו כן, טרם הפעלת היועץ, יש לקבל אישור תקצובי לפרויקט</t>
  </si>
  <si>
    <t xml:space="preserve">אושרה ההצעה עם הציון המשוקלל הגבוה ביותר בכפוף למצוין בהערות להחלטה </t>
  </si>
  <si>
    <t xml:space="preserve">  הנ"ל בכפוף לבדיקה חוזרת של תכולת העבודה  והיקף הפרויקט וכן בכפוף לרישום היועצים במאגר העירוני. כמו כן, טרם הפעלת היועץ, יש לקבל אישור תקצובי לפרויקט</t>
  </si>
  <si>
    <t>הנ"ל בכפוף לכך ששכ"ט הינו עד לאישור התב"ע לרבות אישור תב"ע מחוזית וכי לא תתווסף עלות נוספת.</t>
  </si>
  <si>
    <t>דורון אשל-מהנדסים יועצים בע"מ</t>
  </si>
  <si>
    <t>נויה הנדסה ומחקר</t>
  </si>
  <si>
    <t>יש לבדוק מס נושאים: (1) בחינת שכ"ט ע"י יועץ תעריפים. (2) יש להביא הצעה נוספת. (3) יש להציג מפרט המתמחר בנפרד את שטח המשולש  ואת הגשרים העתידים להיבנות.</t>
  </si>
  <si>
    <t>יש לשנות את תכולת העבודה  ולבקש נספח מצב קיים וכן תב"ע עבור מגרשי החניה</t>
  </si>
  <si>
    <t>יעוץ אדריכלי לתב"ע ותכנית בינוי פארק כפר - סבא</t>
  </si>
  <si>
    <t>הספק הינו הספק היחיד אשר עונה על צרכי העיריה ונותן את השירותים המבוקשים: בדיקה מתקנים ע"י בודק מוסמך מטעם המכון אשר מספק לרשות תוכנית ניהול, תיקי גן עפ"י דרישות התקן של מכון התקנים ולכן מבקשים לאשר הבקשה בהתאם לסעיף 3.21 לנוהל התקשרויות</t>
  </si>
  <si>
    <t>0.4%-1%</t>
  </si>
  <si>
    <t xml:space="preserve"> יש לפנות ל4 מציעים לפחות לקבלת הצעות מחיר בהתאם לנוהל התקשרויות. </t>
  </si>
  <si>
    <t>יש לבדוק מס נושאים: (1) בחינת שכ"ט ע"י יועץ תעריפים. (2) יש להציג למגיש הבקשה תיק עבודות של המציע (3) יש להציג מפרט המתמחר בנפרד את שטח המשולש  ואת הגשרים העתידים להיבנות.</t>
  </si>
  <si>
    <t>פרוטוקול ועדת התקשרויות מס' 2020-05 תאריך: 10/3/2020</t>
  </si>
  <si>
    <t>פרוטוקול ועדת התקשרויות מס' 2020-07 תאריך: 6/4/2020</t>
  </si>
  <si>
    <t>החלטה מס' 2020-12-01</t>
  </si>
  <si>
    <t>יועץ מורשה נגישות מתו"ס ושירות</t>
  </si>
  <si>
    <t>רכזת נגישות עירונית- אורית בראון</t>
  </si>
  <si>
    <t>90 שעות חודשיות</t>
  </si>
  <si>
    <t>ברגמן אלכס</t>
  </si>
  <si>
    <t>ורשבסקי נגישות</t>
  </si>
  <si>
    <t>ייעוץ אגרונומי לשביל אופניים בן יהודה בקטע הנביאים- הגליל</t>
  </si>
  <si>
    <t>מאושרת התקשרות  ע"ס 150 שעות בלבד ולאחר מכן בדיקה חוזרת של ההיקף המבוקש.</t>
  </si>
  <si>
    <t xml:space="preserve">ב-30/6/2020 הוצגה לועדה  הצעה מתוקנת. הועדה אישרה את הבקשה </t>
  </si>
  <si>
    <t>החלטה מס' 2020-12-02</t>
  </si>
  <si>
    <t>יועץ תכניות עבודה מקושרות תקציב</t>
  </si>
  <si>
    <t>בינות ניהול ופיתוח בע"מ</t>
  </si>
  <si>
    <t>ורד אברהם</t>
  </si>
  <si>
    <t>CM</t>
  </si>
  <si>
    <t>ד"ר גלעד ארנון</t>
  </si>
  <si>
    <t>החלטה מס' 2020-12-03</t>
  </si>
  <si>
    <t>סגן  מנהל אגף איכות הסביבה - אורן וולשטיין</t>
  </si>
  <si>
    <t>בהמשך להחלטה מתאריך 4/8/2015 , מבקשים הגדלת התקשרות לפי סעיף 3.21 לנוהל התקשרויות.</t>
  </si>
  <si>
    <t>החלטה מס' 2020-12-04</t>
  </si>
  <si>
    <t>א. מושל יעץ סביבתי ואנליטי בעמ</t>
  </si>
  <si>
    <t>הגדלת התקשרות- יעוץ סביבתי לעניין  מפגעי ריח במפעל בראון</t>
  </si>
  <si>
    <t>הגדלת התקשרות- ייצוג העיריה בעניין בראון</t>
  </si>
  <si>
    <t>עו"ד פרישטיק</t>
  </si>
  <si>
    <t>בהמשך להחלטה מתאריך 30/12/2015 , מבקשים הגדלת התקשרות לפי סעיף 3.21 לנוהל התקשרויות.</t>
  </si>
  <si>
    <t>החלטה מס' 2020-12-05</t>
  </si>
  <si>
    <t>הגדלת התקשרות- ניהול ופיקוח פרויקט מסוף תח"צ עתיר ידע</t>
  </si>
  <si>
    <t>ארז רובינשטיין</t>
  </si>
  <si>
    <t>היקף פרוייקט 4,685,580</t>
  </si>
  <si>
    <t>בהמשך להחלטה מתאריך 2019-02-15 , מבקשים הגדלת התקשרות לפי סעיף 3.21 לנוהל התקשרויות לאור הוספת עמדותטעינה חשמלית אשר הגדילו את עלות הפרויקט מ-אומדן של 2,000,000 ל-4,685,580. שולם כבר סכום ע"ס 91,026 ונותר לתשלום 122,228</t>
  </si>
  <si>
    <t>בהמשך להחלטה 2020-09-01 , מבקשים הגדלת התקשרות לפי סעיף 3.21 לנוהל התקשרויות</t>
  </si>
  <si>
    <t>החלטה מס' 2020-12-06</t>
  </si>
  <si>
    <t>החלטה מס' 2020-12-07</t>
  </si>
  <si>
    <t>הנגשת מבנה משרדים ברחוב במיסדים 31- יעוץ אדריכלי</t>
  </si>
  <si>
    <t>החלטה מס' 2020-12-08</t>
  </si>
  <si>
    <t>הנגשת מבנה משרדים ברחוב במיסדים 31- יעוץ אינסטלציה</t>
  </si>
  <si>
    <t>יוליה פליספדר</t>
  </si>
  <si>
    <t>הרצל סולימני</t>
  </si>
  <si>
    <t>החלטה מס' 2020-12-09</t>
  </si>
  <si>
    <t>הנגשת מבנה משרדים ברחוב במיסדים 31- יעוץ בטיחות</t>
  </si>
  <si>
    <t>אלון בטיחות</t>
  </si>
  <si>
    <t>סייפטי פוינט</t>
  </si>
  <si>
    <t>ברקן יועצים</t>
  </si>
  <si>
    <t>החלטה מס' 2020-12-10</t>
  </si>
  <si>
    <t>הנגשת מבנה משרדים ברחוב במיסדים 31- יעוץ חשמל</t>
  </si>
  <si>
    <t>שלמה שוביץ</t>
  </si>
  <si>
    <t>אופק אי.ר.מי</t>
  </si>
  <si>
    <t>איובי מהנדסים</t>
  </si>
  <si>
    <t>החלטה מס' 2020-12-11</t>
  </si>
  <si>
    <t>לברוב</t>
  </si>
  <si>
    <t>גיל אפריים</t>
  </si>
  <si>
    <t>לוסטינג</t>
  </si>
  <si>
    <t>הולץ קרסנר</t>
  </si>
  <si>
    <t>שנע מעליות</t>
  </si>
  <si>
    <t>הנגשת מבנה משרדים ברחוב במיסדים 31- יעוץ קונסטרוקציה</t>
  </si>
  <si>
    <t>החלטה מס' 2020-12-12</t>
  </si>
  <si>
    <t>איתנים</t>
  </si>
  <si>
    <t>שי פורמן</t>
  </si>
  <si>
    <t>דניאל אהרון</t>
  </si>
  <si>
    <t>החלטה מס' 2020-12-13</t>
  </si>
  <si>
    <t>הנגשת מבנה משרדים ברחוב במיסדים 31- יעוץ מדידות</t>
  </si>
  <si>
    <t>תלאווי</t>
  </si>
  <si>
    <t>ג'וסי עבד</t>
  </si>
  <si>
    <t>א.פנקס ובניו</t>
  </si>
  <si>
    <t>ציבלין פאבליק</t>
  </si>
  <si>
    <t xml:space="preserve"> מ"מ דוברת העירייה- אירית גרימברג</t>
  </si>
  <si>
    <t>migvan</t>
  </si>
  <si>
    <t>emojo</t>
  </si>
  <si>
    <t>3logi</t>
  </si>
  <si>
    <t>החלטה מס' 2020-12-14</t>
  </si>
  <si>
    <t>תיקוני החלטות</t>
  </si>
  <si>
    <t>הנגשת מבנה משרדים ברחוב במיסדים 31- יעוץ מעליות</t>
  </si>
  <si>
    <t>5.5 חודשים</t>
  </si>
  <si>
    <t>היקף פרוייקט 3,300,000</t>
  </si>
  <si>
    <t>יש להביא לדיון בועדה רק לאחר הרשאת משרד התחבורה לביצוע ולהתאים את שכ"ט לשכ"ט משרד התחבורה (3%)</t>
  </si>
  <si>
    <t xml:space="preserve"> בתאריך 22/6/2020 הנ"ל הובא לועדה לראשונה והוחלט כי  יש לבצע חוזרת של תכולת העבודה  והיקף הפרויקט. כמו כן, טרם הפעלת היועץ, יש לקבל אישור תקצובי לפרויקט. בתאריך 13/7/2020 הובא לועדה בשנית לאחר שינוי היקף הפרויקט ואושר פה אחד</t>
  </si>
  <si>
    <t>בתאריך 3/6/2020 ההחלטה לא אושרה ונדרש לקבל הבהרות ממנהל אגף חינוך ונדרש לבקש נתונים נוספים ומדויקים עבור תכולת ההצעה. בתאריך 13/7/2020 הובא לועדה בשנית לאחר הצגת נספח הבהרות ואושר פה אחד</t>
  </si>
  <si>
    <t>פרוטוקול ועדת התקשרויות מס' 2020-12 תאריך: 13/7/2020</t>
  </si>
  <si>
    <t>ייעוץ תקשורת- מאבק במפגעי הדיפו ו"בראון"</t>
  </si>
  <si>
    <t>ביבי תקשורת ויחסי ציבור בע"מ</t>
  </si>
  <si>
    <t>שלמור תקשורת בע"מ</t>
  </si>
  <si>
    <t>פאר לוין תקשורת בע"מ</t>
  </si>
  <si>
    <t>החלטה מס' 2020-13-01</t>
  </si>
  <si>
    <t>אלדר תקשורת</t>
  </si>
  <si>
    <t>החלטה מס' 2020-13-02</t>
  </si>
  <si>
    <t>יועץ להכנת מכרז פומבי עבור מערכות ליבה</t>
  </si>
  <si>
    <t>תבר מחשוב</t>
  </si>
  <si>
    <t>טיפ-קון</t>
  </si>
  <si>
    <t>אלתרנט</t>
  </si>
  <si>
    <t>ראש פיסגה בע"מ</t>
  </si>
  <si>
    <t>מניב הכנסות בע"מ</t>
  </si>
  <si>
    <t>הספק הינו הספק היחיד אשר עונה על צרכי העיריה ונותן את השירותים המבוקשים: בדיקה מתקנים ע"י בודק מוסמך מטעם המכון אשר מספק לרשות תוכנית ניהול, תיקי גן עפ"י דרישות התקן של מכון התקנים ולכן מבקשים לאשר הבקשה בהתאם לסעיף 3.21 לנוהל התקשרויות. בתאריך 22/6/2020 ההחלטה לא אושרה ונדרש  לפנות ל4 מציעים לפחות לקבלת הצעות מחיר בהתאם לנוהל התקשרויות.  בעקבות בקשת מנהל אגף הנושא עולה בשנית.</t>
  </si>
  <si>
    <t>פרוטוקול ועדת התקשרויות מס' 2020-13 תאריך: 30/7/2020</t>
  </si>
  <si>
    <t>יועץ ניהול תיקי הגן  לבטיחות מתקני משחק במוסדות חינוך- כולל התאמה להיתר מכון התקנים</t>
  </si>
  <si>
    <t>ב-4/8/2020 הוצגה לועדה  הצעה מתוקנת. הועדה אישרה את הבקשה</t>
  </si>
  <si>
    <t>הגדלת התקשרות- יעוץ בתחום החשמל לאגף ההנדסה</t>
  </si>
  <si>
    <t>פרויקט מעג"ן- מרפאה בעיסוק</t>
  </si>
  <si>
    <t>מנהלת מחלקת גני ילדים- אביבה מורדקוביץ</t>
  </si>
  <si>
    <t>גיל פולק</t>
  </si>
  <si>
    <t>12 שעות שבועיות  למשך 10 חודשים</t>
  </si>
  <si>
    <t>שירה בר</t>
  </si>
  <si>
    <t>הדס לניר</t>
  </si>
  <si>
    <t>הילית קנטור</t>
  </si>
  <si>
    <t>פרויקט מעג"ן- קלינאית תקשורת</t>
  </si>
  <si>
    <t>יעל לדרר</t>
  </si>
  <si>
    <t>מיכל ברמן</t>
  </si>
  <si>
    <t>ענבל רהט</t>
  </si>
  <si>
    <t>החלטה מס' 2020-14-01</t>
  </si>
  <si>
    <t>הילה תשבי</t>
  </si>
  <si>
    <t>החלטה מס' 2020-14-02</t>
  </si>
  <si>
    <t>החלטה מס' 2020-14-03</t>
  </si>
  <si>
    <t>ליאור דה בר</t>
  </si>
  <si>
    <t>החלטה מס' 2020-14-04</t>
  </si>
  <si>
    <t>אלונה רובין</t>
  </si>
  <si>
    <t xml:space="preserve"> יעוץ משפטי בתחום דיני לשון הרע והוצאת דיבה</t>
  </si>
  <si>
    <t xml:space="preserve"> יועמ"ש העיריה- אלון בן זק</t>
  </si>
  <si>
    <t>פדרבוש בן סימון</t>
  </si>
  <si>
    <t>החלטה מס' 2020-14-05</t>
  </si>
  <si>
    <t>החלטה מס' 2020-13-03</t>
  </si>
  <si>
    <t xml:space="preserve"> יעוץ לראש העיר בתחום מדיניות  חינוך וקהילה</t>
  </si>
  <si>
    <t>EDU NOW חינוך פורץ גבולות</t>
  </si>
  <si>
    <t xml:space="preserve">הספק הינו הספק היחיד אשר עונה על צרכי העיריה ומתאים להגדרת הפרופיל הנדרש ליעוץ זה ולכן מבקשים לאשר הבקשה בהתאם לסעיף 3.21 לנוהל התקשרויות. </t>
  </si>
  <si>
    <t>אושרה ההצעה לפי סעיף 3.21 לנוהל התקשרויות</t>
  </si>
  <si>
    <t xml:space="preserve"> נשלחה בקשה להצעה ל-5 משרדים.</t>
  </si>
  <si>
    <t>החלטה מס' 2020-14-07</t>
  </si>
  <si>
    <t>תוספת 4 כיתות חינוך מיוחד לבי"ס ברנר- יעוץ אדריכלי כולל כל היועצים</t>
  </si>
  <si>
    <t>אייל גולדנברג</t>
  </si>
  <si>
    <t>רם כרמי</t>
  </si>
  <si>
    <t>החלטה מס' 2020-14-08</t>
  </si>
  <si>
    <t>תבר 255019</t>
  </si>
  <si>
    <t>הסדרי תנועה זמניים בפרויקט צומת עתיר ידע- כביש 40</t>
  </si>
  <si>
    <t>לוי שטארק</t>
  </si>
  <si>
    <t>פאדי סמארה</t>
  </si>
  <si>
    <t xml:space="preserve"> נשלחה בקשה להצעה ל-4 משרדים.  </t>
  </si>
  <si>
    <t>החלטה מס' 2020-14-09</t>
  </si>
  <si>
    <t>פרוגרמה למכון- מרכז שוורץ רייסמן</t>
  </si>
  <si>
    <t>EPSTIEN ניהול פרויקטים</t>
  </si>
  <si>
    <t>מציע יחיד בעל היכרות ייחודית עם פרוגרמת מרכז שוורץ רייסמן והצרכים הפרוגרמטיים</t>
  </si>
  <si>
    <t>החלטה מס' 2020-14-10</t>
  </si>
  <si>
    <t>ליווי משפטי של הסכם הגג של כפר סבא</t>
  </si>
  <si>
    <t>בן ארי, פיש, סבן ושות</t>
  </si>
  <si>
    <t>הררי טויסטר ושות</t>
  </si>
  <si>
    <t xml:space="preserve"> </t>
  </si>
  <si>
    <t>רונן כהן שור</t>
  </si>
  <si>
    <t>כרגע מבוקש אישור עקרוני של שמות היועצים</t>
  </si>
  <si>
    <t>ש.פרידמן ושות</t>
  </si>
  <si>
    <t>החלטה מס' 2020-14-06</t>
  </si>
  <si>
    <t>אחזקת מתחם "בשביל הירוק"</t>
  </si>
  <si>
    <t>סגנית מנהלת אגף קיימות וחדשנות- תמי קצבורג נבנצל</t>
  </si>
  <si>
    <t>ערוגנית</t>
  </si>
  <si>
    <t>אחוז מהשכירות החודשית</t>
  </si>
  <si>
    <t>היקף פרוייקט  5,100,000</t>
  </si>
  <si>
    <t>ממתין למסמך מפורט    למהנדסת העיר</t>
  </si>
  <si>
    <t>הגדלת התקשרות- יעוץ תנועה- פארק התעסוקה המוביל (תב"ע תע"ש)</t>
  </si>
  <si>
    <t>קו הנדסה תנועה בע"מ</t>
  </si>
  <si>
    <t>החלטה מס' 2020-15-01</t>
  </si>
  <si>
    <t>בהמשך להחלטה 2019-17-01 , מבקשים הגדלת התקשרות לפי סעיף 3.21 לנוהל התקשרויות</t>
  </si>
  <si>
    <t>קידוחי ניסיון וסקר קרקע בפרויקט צומת עתיר ידע- כביש 40</t>
  </si>
  <si>
    <t>מעבדות איזוטסט</t>
  </si>
  <si>
    <t>אסית הנדסה</t>
  </si>
  <si>
    <t>המבדקה לבניין ותשתיות</t>
  </si>
  <si>
    <t>איזוטופ</t>
  </si>
  <si>
    <t>סיסטם מעבדות מתקדמות</t>
  </si>
  <si>
    <t>ייעוץ תנועתי לתב"ע כס 80</t>
  </si>
  <si>
    <t>נורית כספית</t>
  </si>
  <si>
    <t>קיבלו הנחיה לרישום למאגר היועצים</t>
  </si>
  <si>
    <t>אילן מרכוס אופק הנדסה בע"מ</t>
  </si>
  <si>
    <t>מורן הנדסת דרכים בע"מ</t>
  </si>
  <si>
    <t>יעוץ נוף לתב"ע לשינוי יעוד ולתכנון מפורט ל-2 מבני ציבור</t>
  </si>
  <si>
    <t>נטהלי מילר</t>
  </si>
  <si>
    <t>קסם</t>
  </si>
  <si>
    <t>שירותיים הנדסיים (ניהול, תאום ופיקוח, מעקב והכנת כתבי כמויות)</t>
  </si>
  <si>
    <t>253013, 246017, 244014, 246014</t>
  </si>
  <si>
    <t>ב.ס. מהנדסים</t>
  </si>
  <si>
    <t>א.ג.מ ניהול ופיקוח</t>
  </si>
  <si>
    <t>הקמת טריבונה לצופים במגרש אימונים עליון- יעוץ קרקע וביסוס</t>
  </si>
  <si>
    <t>הנ"ל בכפוף לרישום היועצים במאגר העירוני.  בתאריך 14/9/2020 המציעה החליטה שאינה מעונינת  לבצע את הפרויקט</t>
  </si>
  <si>
    <t>הופץ אך בוטל</t>
  </si>
  <si>
    <t>שמואל גפן</t>
  </si>
  <si>
    <t>מכטה גאומכניקה</t>
  </si>
  <si>
    <t>גרמי גיאוטכניקה</t>
  </si>
  <si>
    <t xml:space="preserve"> ההצעות של דורון אשל, זליו דיאמנדי, וא.גיאומכניקה אינם כוללים קידוחי ניסיון ולכן אינם עונים על הקריטריונים.</t>
  </si>
  <si>
    <t xml:space="preserve"> הקמת טריבונה לצופים במגרש אימונים עליון- יעוץ בטיחות</t>
  </si>
  <si>
    <t xml:space="preserve"> מנהל מחלקת מבני ציבור- מיכאל זלדין</t>
  </si>
  <si>
    <t>חסן אבו אלחסן</t>
  </si>
  <si>
    <t>הקמת טריבונה לצופים במגרש אימונים עליון- יעוץ קונסטרוקציה</t>
  </si>
  <si>
    <t>י.ש.למעי</t>
  </si>
  <si>
    <t>מצוק מהנדסים</t>
  </si>
  <si>
    <t>החלטה מס' 2020-15-02</t>
  </si>
  <si>
    <t>החלטה מס' 2020-15-03</t>
  </si>
  <si>
    <t>החלטה מס' 2020-15-04</t>
  </si>
  <si>
    <t>החלטה מס' 2020-15-05</t>
  </si>
  <si>
    <t>החלטה מס' 2020-15-06</t>
  </si>
  <si>
    <t>החלטה מס' 2020-15-07</t>
  </si>
  <si>
    <t>החלטה מס' 2020-15-08</t>
  </si>
  <si>
    <t>החלטה מס' 2020-15-09</t>
  </si>
  <si>
    <t>הקמת טריבונה לצופים במגרש אימונים עליון- יעוץ אדריכלי</t>
  </si>
  <si>
    <t>ג'ויס אורון</t>
  </si>
  <si>
    <t>החלטה מס' 2020-15-10</t>
  </si>
  <si>
    <t>קוזינר מהנדסים</t>
  </si>
  <si>
    <t>יצחק ברבר</t>
  </si>
  <si>
    <t>שי עגנון</t>
  </si>
  <si>
    <t>שדרוג מגרש אתלטיקה קלה במרכז ספורט אלון- יעוץ אינסטלציה</t>
  </si>
  <si>
    <t>283008/9</t>
  </si>
  <si>
    <t>החלטה מס' 2020-15-11</t>
  </si>
  <si>
    <t>שדרוג מגרש אתלטיקה קלה במרכז ספורט אלון- יעוץ בטיחות</t>
  </si>
  <si>
    <t>יוסי ברקי</t>
  </si>
  <si>
    <t>החלטה מס' 2020-15-12</t>
  </si>
  <si>
    <t>שדרוג מגרש אתלטיקה קלה במרכז ספורט אלון- יעוץ דשא</t>
  </si>
  <si>
    <t>רונן שמואלוביץ</t>
  </si>
  <si>
    <t xml:space="preserve"> נשלחה בקשה להצעה ל-5 משרדים.  </t>
  </si>
  <si>
    <t>החלטה מס' 2020-15-13</t>
  </si>
  <si>
    <t>שדרוג מגרש אתלטיקה קלה במרכז ספורט אלון- יעוץ חשמל</t>
  </si>
  <si>
    <t>משה אייבי</t>
  </si>
  <si>
    <t>אופק א.ו.מ.</t>
  </si>
  <si>
    <t>שלמה שיביץ</t>
  </si>
  <si>
    <t>גל מהנדסים</t>
  </si>
  <si>
    <t>ג.ב. מהנדסים</t>
  </si>
  <si>
    <t>החלטה מס' 2020-15-14</t>
  </si>
  <si>
    <t>שדרוג מגרש אתלטיקה קלה במרכז ספורט אלון- יעוץ נגישות</t>
  </si>
  <si>
    <t>אירנה רובין</t>
  </si>
  <si>
    <t>החלטה מס' 2020-15-15</t>
  </si>
  <si>
    <t>שדרוג מגרש אתלטיקה קלה במרכז ספורט אלון- יעוץ ספורט</t>
  </si>
  <si>
    <t>א.ש שיאן ספורט בע"מ</t>
  </si>
  <si>
    <t>הספק הינו הספק היחיד אשר עונה על צרכי העיריה ונותן את השירותים המבוקשים ולכן מבקשים לאשר הבקשה בהתאם לסעיף 3.21 לנוהל התקשרויות</t>
  </si>
  <si>
    <t>שדרוג מגרש אתלטיקה קלה במרכז ספורט אלון- יעוץ קרקע וביסוס</t>
  </si>
  <si>
    <t xml:space="preserve"> זליו דיאמנדי</t>
  </si>
  <si>
    <t xml:space="preserve"> ההצעות של דורון אשל, מכטה גאומכניקה, גרמי גיאוטכניקה, וא.גיאומכניקה אינם כוללים קידוחי ניסיון ולכן אינם עונים על הקריטריונים.</t>
  </si>
  <si>
    <t>החלטה מס' 2020-15-16</t>
  </si>
  <si>
    <t>החלטה מס' 2020-15-17</t>
  </si>
  <si>
    <t>שדרוג מגרש אתלטיקה קלה במרכז ספורט אלון- ניהול פרויקט</t>
  </si>
  <si>
    <t>מיקי קרייזל</t>
  </si>
  <si>
    <t>ניסים שוקר</t>
  </si>
  <si>
    <t>אורהד הנדסה</t>
  </si>
  <si>
    <t>החלטה מס' 2020-15-18</t>
  </si>
  <si>
    <t>יעוץ הנדסי שוטף למחלקת מבנה ציבור- מהנדס מבנים</t>
  </si>
  <si>
    <t>300 שעות</t>
  </si>
  <si>
    <t>למעי יצחק</t>
  </si>
  <si>
    <t>ישראל שאולי</t>
  </si>
  <si>
    <t xml:space="preserve"> נשלחה בקשה להצעה ל-9 משרדים.  </t>
  </si>
  <si>
    <t>החלטה מס' 2020-15-19</t>
  </si>
  <si>
    <t>בקשה להגדלת התקשרות- ייעוץ משפטי לאגף הכנסות</t>
  </si>
  <si>
    <t>עו"ד עופר שפיר</t>
  </si>
  <si>
    <t>מנהל אגף הכנסות- מחי בן אדרת</t>
  </si>
  <si>
    <t>בהמשך להחלטה מס' 2019-05-02 מבקשים הגדלת התקשרות לפי סעיף 3.21 לנוהל התקשרויות, הואיל ועו"ד שפיר מטפל ומסייע לעירייה בכל ההליכים השונים בתחום ההיטלים.</t>
  </si>
  <si>
    <t>החלטה מס' 2020-15-20</t>
  </si>
  <si>
    <t>יועץ לכתיבת ותכנון ת"ע לניקיון העיר כ"ס</t>
  </si>
  <si>
    <t>מנהל מחלקת ניקיון העיר- ראובן אביסף</t>
  </si>
  <si>
    <t>פורטל יעוץ ותכנון</t>
  </si>
  <si>
    <t>סופר ויז'ן בקרה וניהול בע"מ</t>
  </si>
  <si>
    <t>eco plan</t>
  </si>
  <si>
    <t>החלטה מס' 2020-15-21</t>
  </si>
  <si>
    <t>חידון הקיימות העירוני תשפ"א</t>
  </si>
  <si>
    <t>קומיוניטי</t>
  </si>
  <si>
    <t>בהמשך להחלטה מס' 2019-13-08 מבקשים הגדלת התקשרות לפי סעיף 3.21 לנוהל התקשרויות, הואיל ומדובר בעבודת המשך לעבודה שבוצעה בעבר ע"י יועץ זה והחלפתו בשלב זה לא תעמוד עם שמירת האינטרסים של העירייה.</t>
  </si>
  <si>
    <t>החלטה מס' 2020-15-22</t>
  </si>
  <si>
    <t>שחר פלום+ טל צ'צ'קס</t>
  </si>
  <si>
    <t>היחידה האזורית לאיכות הסביבה</t>
  </si>
  <si>
    <t>יועץ תוכנית לקידום חינוך בנושא סביבה במערכת החינוך (בתי ספר וגני ילדים) פרק ב' במסגרת קול קורא של המשרד להגנת הסביבה</t>
  </si>
  <si>
    <t>החלטה מס' 2020-15-23</t>
  </si>
  <si>
    <t>תכנון נופי לדרך 40/55 מהיר לעיר</t>
  </si>
  <si>
    <t>פרוטוקול ועדת התקשרויות מס' 2020-15 תאריך: 15/9/2020</t>
  </si>
  <si>
    <t>יש לבדוק יועצי ספורט בפרויקטים דומים בערים אחרות.</t>
  </si>
  <si>
    <t>לא ניתן לקבוע</t>
  </si>
  <si>
    <t>סכום קבוע ללא קידוחי ניסיון</t>
  </si>
  <si>
    <t>א.גיאומכניקה</t>
  </si>
  <si>
    <t>100 שעות  סה"כ לתקופה של חצי שנה</t>
  </si>
  <si>
    <t xml:space="preserve"> יש לפנות ל4 מציעים לפחות לקבלת הצעות מחיר בהתאם לנוהל התקשרויות</t>
  </si>
  <si>
    <t xml:space="preserve">בתאריך 23/8/2020 נתבקשה מהנדסת העיר להעביר מסמך מפורט של תכולת העבודה. לאחר בדיקת התכולה, הוחלט בתאריך 23/9/2020 לא לאשר החלטה זו </t>
  </si>
  <si>
    <t>הנ"ל בכפוף לכך: תתבצע למציע שיחת הבהרה בשיתוף מנהלת מח' גנים ונוף בגין: תשלום בגין בדיקה שנתית, נושא בדיקות מדגמיות בשטח,  מחיר מוזל בגין היקף העבודה. כמו כן, תתבצע בדיקה מול חברת שמר בטיחות והנדסה לקבלת הצעת מחיר. בתאריך 29/9/2020 הועברו הבהרות לועדה. לאור ההבהרות, הועדה אישרה את הבקשה</t>
  </si>
  <si>
    <t>החלטה מס' 2020-16-01</t>
  </si>
  <si>
    <t>ניהול ופיקוח / עבודות של הנגשת מבני ציבור</t>
  </si>
  <si>
    <t>א.ע.מרום הנדסה</t>
  </si>
  <si>
    <t>החלטה מס' 2020-16-02</t>
  </si>
  <si>
    <t>מנהל אגף תשתיות, פיתוח ובינוי- שמעון גיטליץ</t>
  </si>
  <si>
    <t xml:space="preserve">שירותי ליווי ותוכן קהילת מועדון נשות העסקים </t>
  </si>
  <si>
    <t>יועצת ראש העיר לקידום מעמד האישה- טלי רונה</t>
  </si>
  <si>
    <t>ימית דהרי ורחלי לושי ברקת</t>
  </si>
  <si>
    <t>לפי אחוז שישולם ע"י מהמציע מההכנסות</t>
  </si>
  <si>
    <t>מיה מילר- אומנות האיזון</t>
  </si>
  <si>
    <t>בין 10% ל-15%</t>
  </si>
  <si>
    <t>החלטה מס' 2020-16-03</t>
  </si>
  <si>
    <t>החלטה מס' 2020-16-04</t>
  </si>
  <si>
    <t xml:space="preserve"> יעוץ נתונים ודוחות</t>
  </si>
  <si>
    <t xml:space="preserve">מנהלת אגף תכנון אסטרטגי ושיתופיות- אופירה מור מזרחי </t>
  </si>
  <si>
    <t>סימונטיקס בע"מ
אלי קלינברגר</t>
  </si>
  <si>
    <t>30 שעות חודשיות לתקופה של 4 חודשים</t>
  </si>
  <si>
    <t>אימון טכנולוגי</t>
  </si>
  <si>
    <t xml:space="preserve"> נשלחה בקשה להצעה ל-7 משרדים.</t>
  </si>
  <si>
    <t xml:space="preserve"> יעוץ מדידה רשותית</t>
  </si>
  <si>
    <t>החלטה מס' 2020-16-06</t>
  </si>
  <si>
    <t>מנהלת אגף תכנון אסטרטגי ושיתופיות- אופירה מור מזרחי</t>
  </si>
  <si>
    <t>כוורת</t>
  </si>
  <si>
    <t>תפן</t>
  </si>
  <si>
    <t>פרויקט DataCity</t>
  </si>
  <si>
    <t>סדנא לידע ציבורי</t>
  </si>
  <si>
    <t>החלטה מס' 2020-16-07</t>
  </si>
  <si>
    <t>בהמשך להחלטה מס' 2020-13-01, מבקשים הגדלת התקשרות לחודש נוסף עפ"י סעיף 3.21 לנוהל התקשרויות.</t>
  </si>
  <si>
    <t>מדובר על פרויקט של הרשות לחדשנות בו המציע זכה כנתן שירותים יחודי  לפרויקט ולכן מבוקש לאשר את הבקשה עפ"י סעיף 3.21 לנוהל התקשרויות.</t>
  </si>
  <si>
    <t>החלטה מס' 2020-16-08</t>
  </si>
  <si>
    <t>הגדלת התקשרות- יעוץ תקשורת- מאבק במפגעי הדיפו ו"בראון"</t>
  </si>
  <si>
    <t xml:space="preserve"> מנהלת אגף  דוברות הסברה ויח"צ -ליעד בראל גיל</t>
  </si>
  <si>
    <t>1 חודשים</t>
  </si>
  <si>
    <t>היחידה הסביבתית</t>
  </si>
  <si>
    <t>צעד ירוק</t>
  </si>
  <si>
    <t>תיקון החלטה- ייעוץ תכן מבנה לשביל אופניים בת"א יפו בקטע כביש 40- תל חי</t>
  </si>
  <si>
    <t>תיקון החלטה- ייעוץ תכן מבנה לשביל אופניים בן יהודה בקטע הנביאים- הגליל</t>
  </si>
  <si>
    <t>בהחלטה הנ"ל אושר סכום ע"ס 35,000 ₪ ללא מע"מ בעבור סקר הקרקע. יש הצורך להוסיף סכום ע"ס 16,519 ללא בע"מ בעבור שירותי יעוץ ולכן מועלה בשנית לתיקון ההחלטה.</t>
  </si>
  <si>
    <t>בהחלטה הנ"ל אושר סכום ע"ס 35,000 ₪ ללא מע"מ בעבור סקר הקרקע. יש הצורך להוסיף סכום ע"ס 15,320 ללא בע"מ בעבור שירותי יעוץ ולכן מועלה בשנית לתיקון ההחלטה.</t>
  </si>
  <si>
    <t>החלטה מס' 2020-16-09</t>
  </si>
  <si>
    <t>החלטה מס' 2020-16-10</t>
  </si>
  <si>
    <t>הגדלת התקשרות- מדידה בשכונת הפארק- רח' הר נבו/ הר תבור, אז"ר, עהר מירון והר שוקף/ הר עצמון, גוש 6434+ חלקות וחלק מ-559</t>
  </si>
  <si>
    <t>בהמשך להחלטה 2019-17-07 מבקשים הגדלת התקשרות לפי סעיף 3.21 לנוהל התקשרויות בעבור עדכון המדידה.</t>
  </si>
  <si>
    <t>שירותי יעוץ נוף</t>
  </si>
  <si>
    <t>מנהלת מחלקת גנים ונוף- עירית מויאל</t>
  </si>
  <si>
    <t>נוי הנדסה</t>
  </si>
  <si>
    <t>סכום חודשי</t>
  </si>
  <si>
    <t>לתקופה של שנה</t>
  </si>
  <si>
    <t>הנ"ל בכפוף להורדת סכום ההצעה למחיר שעתי של 270 ₪ כולל מע"מ. לאור ההחלטה נעשתה פניה למציע להורדת המחיר וזה העביר הצעה נגדית ע"ס 250 ₪ בתוספת מע"מ. הוצגה לועדה הצעה מתוקנת. הועדה אישרה את הבקשה</t>
  </si>
  <si>
    <t>הנ"ל בכפוף להורדת סכום ההצעה למחיר שעתי של 270 ₪ כולל מע"מ. לאור ההחלטה נעשתה פניה למציע להורדת המחיר וזה העביר הצעה נגדית ע"ס 270 ₪ בתוספת מע"מ. הוצגה לועדה הצעה מתוקנת. הועדה אישרה את הבקשה</t>
  </si>
  <si>
    <t>הנ"ל בכפוף להורדת סכום ההצעה למחיר 88,000 ₪ כולל מע"מ</t>
  </si>
  <si>
    <t>88,000 ₪</t>
  </si>
  <si>
    <t>הנ"ל בכפוף להורדת אחוז שכ"ט ל-3%</t>
  </si>
  <si>
    <t>הנ"ל בכפוף לבדיקה כי מחיר שכ"ט כולל את התשלומים הסופיים עד למתן תוקף</t>
  </si>
  <si>
    <t>פרוטוקול ועדת התקשרויות מס' 2020-16 תאריך: 13/10/2020</t>
  </si>
  <si>
    <t>משתתפים: איתי צחר - מנכ"ל העירייה, צביקה דוידי- גזבר, צבי אפרת- ס/גזבר, אילה זיו - נציגת היועמ"ש, רעות סימונס -מ"מ רכזת הוועדה, מהנדסת העיר- עליזה זיידלר גרנות, מנהלים רלוונטים</t>
  </si>
  <si>
    <t>בהמשך להחלטה 12 מיום 30.10.12 מבקשים הגדלת התקשרות לפי סעיף 3.21 לנוהל התקשרויות. ההגדלה נחוצה עבור: ניטור ובחינת השלכות של תוכניות מאושרות ותוכניות מקודמות, טיפול מחדש בהתנגדויות ושיתוף ציבור ובחינה מחודשת של נושא הגבולות.  בתאריך 6/1/2020 בהחלטה 2020-01-07 הוחלט כי לא מאושר ויש לבחון שנית את ההסכם המקורי ואת תכולת העבודה שכבר הוזמנה וכמו כן את התחומים בהם אין כל שינוי והוגשה לגביהם בקשה להגדלה נוספת. הערה חוזרת לטיפול מהנדסת העיר. לאחר קבלת הבהרות ומסמכים מבקשים להעלות מחדש.</t>
  </si>
  <si>
    <t>בכפוף להעברת אומדן פרויקט מעודכן לתב"ע , כולל חלוקה ליועצים ולפי שנים</t>
  </si>
  <si>
    <t>החלטה מס' 2020-17-01</t>
  </si>
  <si>
    <t>נאור מימר</t>
  </si>
  <si>
    <t>גריאג- הראל מהנדסים</t>
  </si>
  <si>
    <t>אורי פדן</t>
  </si>
  <si>
    <t>אבי ששון</t>
  </si>
  <si>
    <t>החלטה מס' 2020-17-02</t>
  </si>
  <si>
    <t>יעוץ תיעוד מתחמי מתחם משק האוצר</t>
  </si>
  <si>
    <t>יעוץ למסמך מדיניות שימור למשק האוצר</t>
  </si>
  <si>
    <t>החלטה מס' 2020-17-03</t>
  </si>
  <si>
    <t>מדובר בריטיינר</t>
  </si>
  <si>
    <t>החלטה מס' 2020-17-04</t>
  </si>
  <si>
    <t>ליווי כלכלי של הסכם הגג של כפר סבא</t>
  </si>
  <si>
    <t>עדיהר ויזום</t>
  </si>
  <si>
    <t>פז כלכלה והנדסה</t>
  </si>
  <si>
    <t>החלטה מס' 2020-17-05</t>
  </si>
  <si>
    <t>החלטה מס' 2020-17-06</t>
  </si>
  <si>
    <t>החלטה מס' 2020-17-07</t>
  </si>
  <si>
    <t>תוכנית פיתוח פארק כ"ס- יעוץ אדריכל נוף</t>
  </si>
  <si>
    <t>האדריכל הינו האדריכל שתכנן את פארק כפר סבא, רק הוא יכול להכין תוכנית למצב הקיים,  ולכן מבקשים לאשר הבקשה בהתאם לסעיף 3.21 לנוהל התקשרויות</t>
  </si>
  <si>
    <t>צור וולף</t>
  </si>
  <si>
    <t>בהמשך להחלטה 2020-14-08 בה הנושא לא אושר לאחר בדיקת התכולה והתקציב, הנושא הוסדר ולכן מבקשים להעלות בשנית את הנושא</t>
  </si>
  <si>
    <t>קבוצת דאטום</t>
  </si>
  <si>
    <t xml:space="preserve">בהמשך להחלטה 2018-14-09  ולאור צורך בעדכון מדידה בצומת עתיר ידע/ כביש 40, מבקשים הגדלת התקשרות עפ"י סעיף 3.21 לנוהל התקשרויות </t>
  </si>
  <si>
    <t>הגדלת התקשרות- מדידות כללי</t>
  </si>
  <si>
    <t>הנ"ל בכפוף להורדת סכום ההצעה למחיר 45,000 ₪ כולל מע"מ וכן הצגת דף פרויקט הכולל תקציב, לו"ז  ותכולת הפרויקט</t>
  </si>
  <si>
    <t>בכפוף לאישור קו מול בקשה 2020-17-02</t>
  </si>
  <si>
    <t>הנ"ל בכפוף להורדת סכום ההצעה למחיר 100,000 ₪ כולל מע"מ</t>
  </si>
  <si>
    <t>פרוטוקול ועדת התקשרויות מס' 2020-17 תאריך: 26/10/2020</t>
  </si>
  <si>
    <t>תבוקש הנחה בגובה של 10%</t>
  </si>
  <si>
    <t>החלטה מס' 2020-18-01</t>
  </si>
  <si>
    <t>סיוע בהכנת תקציב 2021</t>
  </si>
  <si>
    <t>סגן גזבר- צבי אפרת</t>
  </si>
  <si>
    <t>בר ניר שירותי מנהל בע"מ</t>
  </si>
  <si>
    <t>100 שעות עבודה חודשיות לתקופה של חודשיים</t>
  </si>
  <si>
    <t>תינתן אופציה להארכה לחודש נוסף</t>
  </si>
  <si>
    <t>תקשוב המאה ה-21</t>
  </si>
  <si>
    <t>מנהלת אגף דוברות - ליעד בראל גיל</t>
  </si>
  <si>
    <t>החלטה מס' 2020-18-02</t>
  </si>
  <si>
    <t>בהמשך להחלטה 2019-09-02 , מבקשים הגדלת התקשרות לפי סעיף 3.21 לנוהל התקשרויות עד סיום ההליך המכרזי.</t>
  </si>
  <si>
    <t>בהמשך להחלטה 2020-13-03 , מבקשים הגדלת התקשרות לפי סעיף 3.21 לנוהל התקשרויות.</t>
  </si>
  <si>
    <t>החלטה מס' 2020-18-03</t>
  </si>
  <si>
    <t>יעוץ תנועה- שוטף</t>
  </si>
  <si>
    <t>40 שעות חודשיות לתקופה של חצי שנה</t>
  </si>
  <si>
    <t>יוסי וייס</t>
  </si>
  <si>
    <t>ז.ה.ב הנדסה</t>
  </si>
  <si>
    <t>החלטה מס' 2020-18-04</t>
  </si>
  <si>
    <t>החלטה מס' 2020-18-05</t>
  </si>
  <si>
    <t>יעוץ כבישים ותשתיות- שוטף</t>
  </si>
  <si>
    <t>ולדימיר לוין</t>
  </si>
  <si>
    <t>55 שעות חודשיות לתקופה של חצי שנה</t>
  </si>
  <si>
    <t>רמי ראובני</t>
  </si>
  <si>
    <t>נתן תומר הנדסה- אן.טי.אי בע"מ</t>
  </si>
  <si>
    <t>מהיר לעיר- יעוץ תנועה- הסדרי תנועה זמניים</t>
  </si>
  <si>
    <t>החלטה מס' 2020-18-06</t>
  </si>
  <si>
    <t>המציע תכנן חלקים בפרויקט מהיר לעיר ומכיר את הפרויקט</t>
  </si>
  <si>
    <t>פרוטוקול ועדת התקשרויות מס' 2020-18 תאריך: 10/11/2020</t>
  </si>
  <si>
    <t>יועץ אקוסטיקה למחלקת מבני ציבור</t>
  </si>
  <si>
    <t>האקוסטיקאים</t>
  </si>
  <si>
    <t>החלטה מס' 2020-19-04</t>
  </si>
  <si>
    <t>תב"ר 246014, 246017</t>
  </si>
  <si>
    <t>רם צ'יצנובסקי</t>
  </si>
  <si>
    <t>זיו סייג</t>
  </si>
  <si>
    <t>יועץ בטיחות למחלקת מבני ציבור</t>
  </si>
  <si>
    <t>246014, 246017</t>
  </si>
  <si>
    <t>אבי מילר</t>
  </si>
  <si>
    <t>בועז ברק</t>
  </si>
  <si>
    <t xml:space="preserve"> נשלחה בקשה להצעה ל-8 משרדים.</t>
  </si>
  <si>
    <t>החלטה מס' 2020-19-05</t>
  </si>
  <si>
    <t>תב"ר 253012</t>
  </si>
  <si>
    <t>ניהול תאום ופיקוח- שדרוג והרחבת בית ספר גולדה</t>
  </si>
  <si>
    <t>היקף פרוייקט  13,500,000</t>
  </si>
  <si>
    <t>אורהד מהנדסים</t>
  </si>
  <si>
    <t>החלטה מס' 2020-19-08</t>
  </si>
  <si>
    <t>החלטה מס' 2020-19-10</t>
  </si>
  <si>
    <t>יעוץ בטיחות ונגישות- קול קורא שטחים פתוחים - שלולית החורף</t>
  </si>
  <si>
    <t>רשג"ד</t>
  </si>
  <si>
    <t>אוזיק</t>
  </si>
  <si>
    <t>אניגמה</t>
  </si>
  <si>
    <t>אי אל אמ וי</t>
  </si>
  <si>
    <t>מבוטל</t>
  </si>
  <si>
    <t>עדכון מדידה- תב"ע הר מירון 405-0563270</t>
  </si>
  <si>
    <t>מ.ח הנדסת מדידות</t>
  </si>
  <si>
    <t>היועץ שימש בעבר כמודד של העיריה, אך כיום אינו עובד עם העיריה ולכן מבקשים לאשר את ההתקשרויות עפ"י סעיף 3.21 לנוהל התקשרויות.</t>
  </si>
  <si>
    <t>החלטה מס' 2020-19-11</t>
  </si>
  <si>
    <t>שיאן ספורט</t>
  </si>
  <si>
    <t>ז'ק כהן</t>
  </si>
  <si>
    <t>אורי בריל</t>
  </si>
  <si>
    <t xml:space="preserve"> נשלחה בקשה להצעה ל-4 משרדים. אך ההצעה הנוספת אינו עומדת בקריטריונים</t>
  </si>
  <si>
    <t>החלטה מס' 2020-19-09</t>
  </si>
  <si>
    <t>החלטה מס' 2020-19-12</t>
  </si>
  <si>
    <t>שדרוג מגרש אתלטיקה קלה במרכז ספורט אלון- תכנון פיזי</t>
  </si>
  <si>
    <t>דרור גבאי</t>
  </si>
  <si>
    <t>יצחק ברימברג</t>
  </si>
  <si>
    <t>דיא יחיהא</t>
  </si>
  <si>
    <t>אשרף מסרוואה</t>
  </si>
  <si>
    <t>החלטה מס' 2020-19-13</t>
  </si>
  <si>
    <t>שיקום גינת דבורה הנביאה</t>
  </si>
  <si>
    <t>תב"ר תכנון 244014950/תב"ר תב"עות 2440072954</t>
  </si>
  <si>
    <t xml:space="preserve">11010 חזות העיר </t>
  </si>
  <si>
    <t xml:space="preserve">תבוקש הורדת סכום ההצעה למחיר חודשי של 30,000 ₪ כולל מע"מ. </t>
  </si>
  <si>
    <t>בכפוף לאישור ראש העיר</t>
  </si>
  <si>
    <t>הנ"ל בכפוף להצגת תוכנית הגינה למנכ"ל העירייה וכן הבהרה למציע כי עלות השכ"ט תישתנה בהתאם לתכולת העבודה</t>
  </si>
  <si>
    <t>אושרה עקרונית ההצעה לפי סעיף 3.21 לנוהל התקשרויות. ביצוע בפועל בכפוף לאישור בכתב של מנכ"ל העיריה. מאושר ע"י מנכ"ל העירייה</t>
  </si>
  <si>
    <t>הגדלת התקשרות - שדרוג והרחבת בי"ס גולדה מאיר- תכנון אדריכלי (כולל כל היועצים)</t>
  </si>
  <si>
    <t>30 שעות חודשיות לתקופה של חצי שנה</t>
  </si>
  <si>
    <t>אושרו  3 ההצעות עם הציון המשוקלל הגבוה ביותר</t>
  </si>
  <si>
    <t>מבקשים לאשר את שלושת היועצים בעלי הציון המשוקלל הגבוה ביותר</t>
  </si>
  <si>
    <t>סייפטי פוינט- גיל אלבוים</t>
  </si>
  <si>
    <t>פרוטוקול ועדת התקשרויות מס' 2020-19 תאריך: 16/11/2020</t>
  </si>
  <si>
    <t>רונן שכנר</t>
  </si>
  <si>
    <t>תזונאית בגני ילדים</t>
  </si>
  <si>
    <t>החלטה מס' 2020-20-01</t>
  </si>
  <si>
    <t>מנהלת מח' גנים -שירה ברף</t>
  </si>
  <si>
    <t>מיכל סגל</t>
  </si>
  <si>
    <t>48 שעות חודשיות למשך שנה</t>
  </si>
  <si>
    <t>איריס אינגבר-פסקין</t>
  </si>
  <si>
    <t>מירב מור אופיר</t>
  </si>
  <si>
    <t>הדס חלימי</t>
  </si>
  <si>
    <t>הגדלת התקשרות- ליווי פדגוגי חינוכי לקריה הדמוקרטית</t>
  </si>
  <si>
    <t>ערי חינוך</t>
  </si>
  <si>
    <t>הסבת פרויקט מהחברה הכלכלית.  הנ"ל עבור חודשים אוקטובר 2020- דצמבר 2020</t>
  </si>
  <si>
    <t>החלטה מס' 2020-20-02</t>
  </si>
  <si>
    <t>מנהל מחלקת יסודי- אורית ליבוביץ</t>
  </si>
  <si>
    <t>החלטה מס' 2020-20-03</t>
  </si>
  <si>
    <t>יעוץ קרקע- קול קורא שטחים פתוחים - שלולית החורף</t>
  </si>
  <si>
    <t>דבוש הנדסה אזרחית</t>
  </si>
  <si>
    <t>שלפ מעבדה חקלאית</t>
  </si>
  <si>
    <t>ישי דוד יהודה בנישתי</t>
  </si>
  <si>
    <t>מכטה טכנומכניקה בע"מ</t>
  </si>
  <si>
    <t>מנהל מח' ביטוחים- דודו דוידוביץ'</t>
  </si>
  <si>
    <t>גיל מיכלס ושות'</t>
  </si>
  <si>
    <t>בהמשך להחלטה 2017-12-01 , מבקשים הגדלת התקשרות לפי סעיף 3.21 לנוהל התקשרויות.</t>
  </si>
  <si>
    <t xml:space="preserve">הגדלת התקשרות- שירות משפטי לעירייה לטיפול בתיקי נזיקין וביטוח </t>
  </si>
  <si>
    <t>לתקופה של חצי שנה</t>
  </si>
  <si>
    <t>החלטה מס' 2020-20-04</t>
  </si>
  <si>
    <t>החלטה מס' 2020-20-05</t>
  </si>
  <si>
    <t>ניהול פרויקט- שדרוג והרחבת בית ספר רמז</t>
  </si>
  <si>
    <t>היקף פרוייקט  12,500,000</t>
  </si>
  <si>
    <t>תב"ר 253014</t>
  </si>
  <si>
    <t>החלטה מס' 2020-20-06</t>
  </si>
  <si>
    <t>יעוץ וחוו"ד בתחום הבריאות להתנגדויות תת"ל 101 ב'</t>
  </si>
  <si>
    <t>ד"ר חגית אולנובסקי</t>
  </si>
  <si>
    <t>החלטה מס' 2020-20-07</t>
  </si>
  <si>
    <t xml:space="preserve">הגדלת התקשרות- מנהל ניו מדיה </t>
  </si>
  <si>
    <t>בהמשך להחלטה 2020-12-14 , מבקשים הגדלת התקשרות לפי סעיף 3.21 לנוהל התקשרויות עד לסיום הליך המכרז.</t>
  </si>
  <si>
    <t>לאחר עיון בתכולת העבודה הנדרשת, הועדה לא התרשמה בנחיצות הליווי השוטף וסבורה כי בחלוף הזמן על צוות בית הספר והצוות החינוכי לבצע הנל באופן עצמאי</t>
  </si>
  <si>
    <t>בכפוף למתן הנחה של 10%</t>
  </si>
  <si>
    <t>אושרה ההצעה לפי סעיף 3.21 לנוהל התקשרויות לתקופה של 4 חודשים</t>
  </si>
  <si>
    <t>החלטה מס' 2020-20-08</t>
  </si>
  <si>
    <t>יעוץ משפטי להתנגדויות תת"ל 101 ב'</t>
  </si>
  <si>
    <t>הררי וטויסטר ושות'</t>
  </si>
  <si>
    <t>החלטה מס' 2020-20-09</t>
  </si>
  <si>
    <t>יעוץ סביבתי ואקוסטי להתנגדויות תת"ל 101 ב'</t>
  </si>
  <si>
    <t>תו"פ יועצים והנדסה בע"מ</t>
  </si>
  <si>
    <t>שמוליק ברגר</t>
  </si>
  <si>
    <t>פרוטוקול ועדת התקשרויות מס' 2020-20 תאריך: 09/12/2020</t>
  </si>
  <si>
    <t>מובהר כי לא תינתן הארכה נוספת וכי יש לסיים הליך מכרזי עד תום ה-3 חודשים</t>
  </si>
  <si>
    <t>בכפוף למתן  הנחה בגובה 10%</t>
  </si>
  <si>
    <t>הנ"ל בכפוף להפחתת מס השעות ל-40 שעות חודשיות  ושכ"ט ע"ס 180 ש"ח</t>
  </si>
  <si>
    <t>החלטה מס' 2020-20-10</t>
  </si>
  <si>
    <t>השגות הועדה המקומית לקו המטרו</t>
  </si>
  <si>
    <t>48 שעות</t>
  </si>
  <si>
    <t>microsim</t>
  </si>
  <si>
    <t>הנ"ל בכפוף להורדת סכום ההצעה למחיר 55,000 ₪ בתוספת מע"מ.  לאור ההחלטה נעשתה פניה למציע להורדת המחיר וזה העביר הצעה נגדית ע"ס 64,800 ₪ בתוספת מע"מ. הוצגה לועדה הצעה מתוקנת. הועדה אישרה את הבקשה</t>
  </si>
  <si>
    <t>אושר פה אחד. החלטה בוטלה. מציע החליט לעזוב</t>
  </si>
  <si>
    <t>פרוטוקול ועדת התקשרויות מס' 2020-14 תאריך: 23/8/2020</t>
  </si>
  <si>
    <t>פרוטוקול ועדת התקשרויות מס' 2020-06 תאריך: 30/3/2020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</si>
</sst>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7" formatCode="&quot;₪&quot;\ #,##0.00;&quot;₪&quot;\ \-#,##0.00"/>
    <numFmt numFmtId="44" formatCode="_ &quot;₪&quot;\ * #,##0.00_ ;_ &quot;₪&quot;\ * \-#,##0.00_ ;_ &quot;₪&quot;\ * &quot;-&quot;??_ ;_ @_ "/>
    <numFmt numFmtId="164" formatCode="_(* #,##0.00_);_(* \(#,##0.00\);_(* &quot;-&quot;??_);_(@_)"/>
    <numFmt numFmtId="165" formatCode="&quot;₪&quot;\ #,##0"/>
    <numFmt numFmtId="166" formatCode="&quot;₪&quot;\ #,##0.00"/>
    <numFmt numFmtId="167" formatCode="[$€-2]\ #,##0.00"/>
  </numFmts>
  <fonts count="26" x14ac:knownFonts="1">
    <font>
      <sz val="11"/>
      <color theme="1"/>
      <name val="Arial"/>
      <family val="2"/>
      <charset val="177"/>
      <scheme val="minor"/>
    </font>
    <font>
      <sz val="11"/>
      <color rgb="FF006100"/>
      <name val="Arial"/>
      <family val="2"/>
      <charset val="177"/>
      <scheme val="minor"/>
    </font>
    <font>
      <sz val="11"/>
      <color rgb="FF9C0006"/>
      <name val="Arial"/>
      <family val="2"/>
      <charset val="177"/>
      <scheme val="minor"/>
    </font>
    <font>
      <b/>
      <sz val="16"/>
      <name val="Arial"/>
      <family val="2"/>
    </font>
    <font>
      <b/>
      <sz val="10"/>
      <name val="Arial"/>
      <family val="2"/>
    </font>
    <font>
      <b/>
      <sz val="12"/>
      <name val="Arial"/>
      <family val="2"/>
    </font>
    <font>
      <sz val="10"/>
      <name val="Arial"/>
      <family val="2"/>
    </font>
    <font>
      <sz val="10"/>
      <color theme="1"/>
      <name val="Arial"/>
      <family val="2"/>
      <scheme val="minor"/>
    </font>
    <font>
      <sz val="11"/>
      <color rgb="FF008000"/>
      <name val="Arial"/>
      <family val="2"/>
      <charset val="177"/>
      <scheme val="minor"/>
    </font>
    <font>
      <sz val="10"/>
      <name val="Arial"/>
      <family val="2"/>
      <charset val="177"/>
      <scheme val="minor"/>
    </font>
    <font>
      <sz val="12"/>
      <name val="Arial"/>
      <family val="2"/>
      <scheme val="minor"/>
    </font>
    <font>
      <sz val="11"/>
      <color theme="1"/>
      <name val="Arial"/>
      <family val="2"/>
      <charset val="177"/>
      <scheme val="minor"/>
    </font>
    <font>
      <b/>
      <sz val="11"/>
      <name val="Arial"/>
      <family val="2"/>
    </font>
    <font>
      <sz val="9"/>
      <name val="Arial"/>
      <family val="2"/>
    </font>
    <font>
      <sz val="8"/>
      <name val="Arial"/>
      <family val="2"/>
    </font>
    <font>
      <sz val="10"/>
      <name val="Arial"/>
      <family val="2"/>
      <scheme val="minor"/>
    </font>
    <font>
      <sz val="11"/>
      <color theme="1"/>
      <name val="Arial"/>
      <family val="2"/>
    </font>
    <font>
      <sz val="10"/>
      <name val="Arial"/>
      <family val="2"/>
      <charset val="177"/>
    </font>
    <font>
      <sz val="10"/>
      <color rgb="FF9C0006"/>
      <name val="Arial"/>
      <family val="2"/>
      <charset val="177"/>
      <scheme val="minor"/>
    </font>
    <font>
      <b/>
      <sz val="8"/>
      <name val="Arial"/>
      <family val="2"/>
    </font>
    <font>
      <b/>
      <sz val="9"/>
      <name val="Arial"/>
      <family val="2"/>
    </font>
    <font>
      <b/>
      <sz val="11"/>
      <color theme="9" tint="-0.249977111117893"/>
      <name val="Arial"/>
      <family val="2"/>
    </font>
    <font>
      <sz val="12"/>
      <name val="Arial"/>
      <family val="2"/>
    </font>
    <font>
      <sz val="9"/>
      <name val="Arial"/>
      <family val="2"/>
      <charset val="177"/>
      <scheme val="minor"/>
    </font>
    <font>
      <sz val="8"/>
      <name val="Arial"/>
      <family val="2"/>
      <charset val="177"/>
      <scheme val="minor"/>
    </font>
    <font>
      <sz val="9"/>
      <name val="Arial"/>
      <family val="2"/>
      <scheme val="minor"/>
    </font>
  </fonts>
  <fills count="10">
    <fill>
      <patternFill patternType="none"/>
    </fill>
    <fill>
      <patternFill patternType="gray125"/>
    </fill>
    <fill>
      <patternFill patternType="solid">
        <fgColor rgb="FFC6EFCE"/>
      </patternFill>
    </fill>
    <fill>
      <patternFill patternType="solid">
        <fgColor rgb="FFFFC7CE"/>
      </patternFill>
    </fill>
    <fill>
      <patternFill patternType="solid">
        <fgColor theme="0" tint="-0.14999847407452621"/>
        <bgColor indexed="64"/>
      </patternFill>
    </fill>
    <fill>
      <patternFill patternType="solid">
        <fgColor theme="2"/>
        <bgColor indexed="64"/>
      </patternFill>
    </fill>
    <fill>
      <patternFill patternType="solid">
        <fgColor theme="9" tint="0.59999389629810485"/>
        <bgColor indexed="64"/>
      </patternFill>
    </fill>
    <fill>
      <patternFill patternType="solid">
        <fgColor theme="0"/>
        <bgColor indexed="64"/>
      </patternFill>
    </fill>
    <fill>
      <patternFill patternType="solid">
        <fgColor theme="7" tint="0.59999389629810485"/>
        <bgColor indexed="64"/>
      </patternFill>
    </fill>
    <fill>
      <patternFill patternType="solid">
        <fgColor rgb="FFFFFF99"/>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diagonal/>
    </border>
    <border>
      <left/>
      <right/>
      <top/>
      <bottom style="thin">
        <color indexed="64"/>
      </bottom>
      <diagonal/>
    </border>
  </borders>
  <cellStyleXfs count="5">
    <xf numFmtId="0" fontId="0" fillId="0" borderId="0"/>
    <xf numFmtId="0" fontId="1" fillId="2" borderId="0" applyNumberFormat="0" applyBorder="0" applyAlignment="0" applyProtection="0"/>
    <xf numFmtId="0" fontId="2" fillId="3" borderId="0" applyNumberFormat="0" applyBorder="0" applyAlignment="0" applyProtection="0"/>
    <xf numFmtId="9" fontId="11" fillId="0" borderId="0" applyFont="0" applyFill="0" applyBorder="0" applyAlignment="0" applyProtection="0"/>
    <xf numFmtId="164" fontId="11" fillId="0" borderId="0" applyFont="0" applyFill="0" applyBorder="0" applyAlignment="0" applyProtection="0"/>
  </cellStyleXfs>
  <cellXfs count="446">
    <xf numFmtId="0" fontId="0" fillId="0" borderId="0" xfId="0"/>
    <xf numFmtId="0" fontId="5" fillId="0" borderId="1" xfId="0" applyFont="1" applyFill="1" applyBorder="1" applyAlignment="1">
      <alignment horizontal="center" vertical="center" readingOrder="2"/>
    </xf>
    <xf numFmtId="0" fontId="5" fillId="0" borderId="1" xfId="0" applyFont="1" applyBorder="1" applyAlignment="1">
      <alignment horizontal="center" vertical="center" readingOrder="2"/>
    </xf>
    <xf numFmtId="0" fontId="5" fillId="0" borderId="1" xfId="0" applyFont="1" applyBorder="1" applyAlignment="1">
      <alignment horizontal="center" vertical="center" wrapText="1" readingOrder="2"/>
    </xf>
    <xf numFmtId="165" fontId="5" fillId="0" borderId="1" xfId="0" applyNumberFormat="1" applyFont="1" applyBorder="1" applyAlignment="1">
      <alignment vertical="center" wrapText="1" readingOrder="2"/>
    </xf>
    <xf numFmtId="165" fontId="5" fillId="0" borderId="1" xfId="0" applyNumberFormat="1" applyFont="1" applyBorder="1" applyAlignment="1">
      <alignment horizontal="right" vertical="center" wrapText="1" readingOrder="2"/>
    </xf>
    <xf numFmtId="0" fontId="5" fillId="0" borderId="1" xfId="0" applyFont="1" applyFill="1" applyBorder="1" applyAlignment="1">
      <alignment horizontal="center" vertical="center" wrapText="1" readingOrder="2"/>
    </xf>
    <xf numFmtId="3" fontId="6" fillId="0" borderId="1" xfId="0" applyNumberFormat="1" applyFont="1" applyFill="1" applyBorder="1" applyAlignment="1">
      <alignment horizontal="center" vertical="center" wrapText="1" readingOrder="2"/>
    </xf>
    <xf numFmtId="166" fontId="6" fillId="0" borderId="1" xfId="0" applyNumberFormat="1" applyFont="1" applyFill="1" applyBorder="1" applyAlignment="1">
      <alignment horizontal="center" vertical="center" wrapText="1" readingOrder="2"/>
    </xf>
    <xf numFmtId="0" fontId="0" fillId="0" borderId="0" xfId="0" applyFill="1"/>
    <xf numFmtId="0" fontId="0" fillId="0" borderId="0" xfId="0" applyAlignment="1">
      <alignment readingOrder="2"/>
    </xf>
    <xf numFmtId="165" fontId="0" fillId="0" borderId="0" xfId="0" applyNumberFormat="1" applyAlignment="1">
      <alignment readingOrder="2"/>
    </xf>
    <xf numFmtId="0" fontId="10" fillId="0" borderId="0" xfId="0" applyFont="1" applyAlignment="1">
      <alignment readingOrder="2"/>
    </xf>
    <xf numFmtId="0" fontId="10" fillId="0" borderId="0" xfId="0" applyFont="1" applyFill="1"/>
    <xf numFmtId="0" fontId="7" fillId="0" borderId="0" xfId="0" applyFont="1" applyAlignment="1">
      <alignment horizontal="center" vertical="center"/>
    </xf>
    <xf numFmtId="166" fontId="9" fillId="0" borderId="1" xfId="2" applyNumberFormat="1" applyFont="1" applyFill="1" applyBorder="1" applyAlignment="1">
      <alignment horizontal="center" vertical="center" wrapText="1" readingOrder="2"/>
    </xf>
    <xf numFmtId="0" fontId="6" fillId="6" borderId="1" xfId="0" applyFont="1" applyFill="1" applyBorder="1" applyAlignment="1">
      <alignment horizontal="center" vertical="center" wrapText="1" readingOrder="2"/>
    </xf>
    <xf numFmtId="3" fontId="6" fillId="6" borderId="1" xfId="0" applyNumberFormat="1" applyFont="1" applyFill="1" applyBorder="1" applyAlignment="1">
      <alignment horizontal="center" vertical="center" wrapText="1" readingOrder="2"/>
    </xf>
    <xf numFmtId="166" fontId="6" fillId="6" borderId="1" xfId="0" applyNumberFormat="1" applyFont="1" applyFill="1" applyBorder="1" applyAlignment="1">
      <alignment horizontal="center" vertical="center" wrapText="1" readingOrder="2"/>
    </xf>
    <xf numFmtId="0" fontId="9" fillId="6" borderId="1" xfId="2" applyFont="1" applyFill="1" applyBorder="1" applyAlignment="1">
      <alignment horizontal="center" vertical="center" wrapText="1" readingOrder="2"/>
    </xf>
    <xf numFmtId="3" fontId="9" fillId="6" borderId="1" xfId="2" applyNumberFormat="1" applyFont="1" applyFill="1" applyBorder="1" applyAlignment="1">
      <alignment horizontal="center" vertical="center" wrapText="1" readingOrder="2"/>
    </xf>
    <xf numFmtId="166" fontId="9" fillId="6" borderId="1" xfId="2" applyNumberFormat="1" applyFont="1" applyFill="1" applyBorder="1" applyAlignment="1">
      <alignment horizontal="center" vertical="center" wrapText="1" readingOrder="2"/>
    </xf>
    <xf numFmtId="10" fontId="9" fillId="6" borderId="1" xfId="3" applyNumberFormat="1" applyFont="1" applyFill="1" applyBorder="1" applyAlignment="1">
      <alignment horizontal="center" vertical="center" wrapText="1" readingOrder="2"/>
    </xf>
    <xf numFmtId="0" fontId="9" fillId="0" borderId="1" xfId="2" applyFont="1" applyFill="1" applyBorder="1" applyAlignment="1">
      <alignment horizontal="center" vertical="center" wrapText="1" readingOrder="2"/>
    </xf>
    <xf numFmtId="49" fontId="7" fillId="0" borderId="5" xfId="0" applyNumberFormat="1" applyFont="1" applyFill="1" applyBorder="1" applyAlignment="1">
      <alignment horizontal="center" vertical="center" wrapText="1" readingOrder="2"/>
    </xf>
    <xf numFmtId="0" fontId="5" fillId="0" borderId="0" xfId="0" applyFont="1" applyFill="1" applyBorder="1" applyAlignment="1">
      <alignment horizontal="center" vertical="center" readingOrder="2"/>
    </xf>
    <xf numFmtId="0" fontId="0" fillId="0" borderId="1" xfId="0" applyBorder="1"/>
    <xf numFmtId="166" fontId="15" fillId="6" borderId="1" xfId="2" applyNumberFormat="1" applyFont="1" applyFill="1" applyBorder="1" applyAlignment="1">
      <alignment horizontal="center" vertical="center" wrapText="1" readingOrder="2"/>
    </xf>
    <xf numFmtId="0" fontId="16" fillId="0" borderId="0" xfId="0" applyFont="1" applyAlignment="1">
      <alignment horizontal="right" vertical="center" readingOrder="2"/>
    </xf>
    <xf numFmtId="0" fontId="14" fillId="0" borderId="5" xfId="0" applyFont="1" applyFill="1" applyBorder="1" applyAlignment="1">
      <alignment horizontal="center" vertical="center" wrapText="1" readingOrder="2"/>
    </xf>
    <xf numFmtId="0" fontId="13" fillId="0" borderId="5" xfId="0" applyFont="1" applyFill="1" applyBorder="1" applyAlignment="1">
      <alignment horizontal="center" vertical="center" wrapText="1" readingOrder="2"/>
    </xf>
    <xf numFmtId="0" fontId="6" fillId="0" borderId="1" xfId="0" applyFont="1" applyFill="1" applyBorder="1" applyAlignment="1">
      <alignment horizontal="center" vertical="center" wrapText="1" readingOrder="2"/>
    </xf>
    <xf numFmtId="3" fontId="9" fillId="0" borderId="1" xfId="2" applyNumberFormat="1" applyFont="1" applyFill="1" applyBorder="1" applyAlignment="1">
      <alignment horizontal="center" vertical="center" wrapText="1" readingOrder="2"/>
    </xf>
    <xf numFmtId="10" fontId="6" fillId="0" borderId="1" xfId="0" applyNumberFormat="1" applyFont="1" applyFill="1" applyBorder="1" applyAlignment="1">
      <alignment horizontal="center" vertical="center" wrapText="1" readingOrder="2"/>
    </xf>
    <xf numFmtId="0" fontId="5" fillId="0" borderId="11" xfId="0" applyFont="1" applyFill="1" applyBorder="1" applyAlignment="1">
      <alignment horizontal="center" vertical="center" readingOrder="2"/>
    </xf>
    <xf numFmtId="0" fontId="6" fillId="7" borderId="1" xfId="0" applyFont="1" applyFill="1" applyBorder="1" applyAlignment="1">
      <alignment horizontal="center" vertical="center" wrapText="1" readingOrder="2"/>
    </xf>
    <xf numFmtId="3" fontId="6" fillId="7" borderId="1" xfId="0" applyNumberFormat="1" applyFont="1" applyFill="1" applyBorder="1" applyAlignment="1">
      <alignment horizontal="center" vertical="center" wrapText="1" readingOrder="2"/>
    </xf>
    <xf numFmtId="0" fontId="5" fillId="0" borderId="12" xfId="0" applyFont="1" applyFill="1" applyBorder="1" applyAlignment="1">
      <alignment horizontal="center" vertical="center" readingOrder="2"/>
    </xf>
    <xf numFmtId="0" fontId="4" fillId="0" borderId="9" xfId="0" applyFont="1" applyFill="1" applyBorder="1" applyAlignment="1">
      <alignment horizontal="right" vertical="center" wrapText="1" readingOrder="2"/>
    </xf>
    <xf numFmtId="0" fontId="4" fillId="0" borderId="10" xfId="0" applyFont="1" applyFill="1" applyBorder="1" applyAlignment="1">
      <alignment horizontal="right" vertical="center" wrapText="1" readingOrder="2"/>
    </xf>
    <xf numFmtId="0" fontId="4" fillId="0" borderId="13" xfId="0" applyFont="1" applyFill="1" applyBorder="1" applyAlignment="1">
      <alignment horizontal="right" vertical="center" wrapText="1" readingOrder="2"/>
    </xf>
    <xf numFmtId="0" fontId="4" fillId="0" borderId="8" xfId="0" applyFont="1" applyFill="1" applyBorder="1" applyAlignment="1">
      <alignment horizontal="right" vertical="center" wrapText="1" readingOrder="2"/>
    </xf>
    <xf numFmtId="0" fontId="18" fillId="3" borderId="1" xfId="2" applyFont="1" applyBorder="1" applyAlignment="1">
      <alignment horizontal="center" vertical="center" wrapText="1" readingOrder="2"/>
    </xf>
    <xf numFmtId="3" fontId="18" fillId="3" borderId="1" xfId="2" applyNumberFormat="1" applyFont="1" applyBorder="1" applyAlignment="1">
      <alignment horizontal="center" vertical="center" wrapText="1" readingOrder="2"/>
    </xf>
    <xf numFmtId="166" fontId="18" fillId="3" borderId="1" xfId="2" applyNumberFormat="1" applyFont="1" applyBorder="1" applyAlignment="1">
      <alignment horizontal="center" vertical="center" wrapText="1" readingOrder="2"/>
    </xf>
    <xf numFmtId="7" fontId="18" fillId="3" borderId="1" xfId="4" applyNumberFormat="1" applyFont="1" applyFill="1" applyBorder="1" applyAlignment="1">
      <alignment horizontal="center" vertical="center" wrapText="1" readingOrder="2"/>
    </xf>
    <xf numFmtId="9" fontId="9" fillId="6" borderId="1" xfId="3" applyFont="1" applyFill="1" applyBorder="1" applyAlignment="1">
      <alignment horizontal="center" vertical="center" wrapText="1" readingOrder="2"/>
    </xf>
    <xf numFmtId="3" fontId="17" fillId="6" borderId="1" xfId="0" applyNumberFormat="1" applyFont="1" applyFill="1" applyBorder="1" applyAlignment="1">
      <alignment horizontal="center" vertical="center" wrapText="1" readingOrder="2"/>
    </xf>
    <xf numFmtId="166" fontId="17" fillId="6" borderId="1" xfId="0" applyNumberFormat="1" applyFont="1" applyFill="1" applyBorder="1" applyAlignment="1">
      <alignment horizontal="center" vertical="center" wrapText="1" readingOrder="2"/>
    </xf>
    <xf numFmtId="0" fontId="17" fillId="6" borderId="1" xfId="0" applyFont="1" applyFill="1" applyBorder="1" applyAlignment="1">
      <alignment horizontal="center" vertical="center" wrapText="1" readingOrder="2"/>
    </xf>
    <xf numFmtId="0" fontId="6" fillId="0" borderId="5" xfId="0" applyFont="1" applyFill="1" applyBorder="1" applyAlignment="1">
      <alignment horizontal="center" vertical="center" wrapText="1" readingOrder="2"/>
    </xf>
    <xf numFmtId="0" fontId="5" fillId="0" borderId="5" xfId="0" applyFont="1" applyFill="1" applyBorder="1" applyAlignment="1">
      <alignment horizontal="center" vertical="center" wrapText="1" readingOrder="2"/>
    </xf>
    <xf numFmtId="0" fontId="8" fillId="0" borderId="0" xfId="0" applyFont="1" applyAlignment="1">
      <alignment horizontal="center" vertical="center"/>
    </xf>
    <xf numFmtId="0" fontId="7" fillId="0" borderId="5" xfId="0" applyFont="1" applyFill="1" applyBorder="1" applyAlignment="1">
      <alignment horizontal="center" vertical="center" wrapText="1" readingOrder="2"/>
    </xf>
    <xf numFmtId="44" fontId="1" fillId="0" borderId="5" xfId="1" applyNumberFormat="1" applyFill="1" applyBorder="1" applyAlignment="1">
      <alignment horizontal="center" vertical="center" wrapText="1"/>
    </xf>
    <xf numFmtId="0" fontId="2" fillId="3" borderId="1" xfId="2" applyBorder="1" applyAlignment="1">
      <alignment horizontal="center" vertical="center" wrapText="1" readingOrder="2"/>
    </xf>
    <xf numFmtId="3" fontId="2" fillId="3" borderId="1" xfId="2" applyNumberFormat="1" applyBorder="1" applyAlignment="1">
      <alignment horizontal="center" vertical="center" wrapText="1" readingOrder="2"/>
    </xf>
    <xf numFmtId="166" fontId="2" fillId="3" borderId="1" xfId="2" applyNumberFormat="1" applyBorder="1" applyAlignment="1">
      <alignment horizontal="center" vertical="center" wrapText="1" readingOrder="2"/>
    </xf>
    <xf numFmtId="7" fontId="2" fillId="3" borderId="1" xfId="2" applyNumberFormat="1" applyBorder="1" applyAlignment="1">
      <alignment horizontal="center" vertical="center" wrapText="1" readingOrder="2"/>
    </xf>
    <xf numFmtId="0" fontId="6" fillId="0" borderId="5" xfId="0" applyFont="1" applyFill="1" applyBorder="1" applyAlignment="1">
      <alignment horizontal="center" vertical="center" wrapText="1" readingOrder="2"/>
    </xf>
    <xf numFmtId="0" fontId="5" fillId="0" borderId="5" xfId="0" applyFont="1" applyFill="1" applyBorder="1" applyAlignment="1">
      <alignment horizontal="center" vertical="center" wrapText="1" readingOrder="2"/>
    </xf>
    <xf numFmtId="44" fontId="1" fillId="0" borderId="5" xfId="1" applyNumberFormat="1" applyFill="1" applyBorder="1" applyAlignment="1">
      <alignment horizontal="center" vertical="center" wrapText="1"/>
    </xf>
    <xf numFmtId="0" fontId="7" fillId="0" borderId="5" xfId="0" applyFont="1" applyFill="1" applyBorder="1" applyAlignment="1">
      <alignment horizontal="center" vertical="center" wrapText="1" readingOrder="2"/>
    </xf>
    <xf numFmtId="0" fontId="6" fillId="0" borderId="5" xfId="0" applyFont="1" applyFill="1" applyBorder="1" applyAlignment="1">
      <alignment horizontal="center" vertical="center" wrapText="1" readingOrder="2"/>
    </xf>
    <xf numFmtId="0" fontId="5" fillId="0" borderId="5" xfId="0" applyFont="1" applyFill="1" applyBorder="1" applyAlignment="1">
      <alignment horizontal="center" vertical="center" wrapText="1" readingOrder="2"/>
    </xf>
    <xf numFmtId="0" fontId="7" fillId="0" borderId="5" xfId="0" applyFont="1" applyFill="1" applyBorder="1" applyAlignment="1">
      <alignment horizontal="center" vertical="center" wrapText="1" readingOrder="2"/>
    </xf>
    <xf numFmtId="44" fontId="1" fillId="0" borderId="5" xfId="1" applyNumberFormat="1" applyFill="1" applyBorder="1" applyAlignment="1">
      <alignment horizontal="center" vertical="center" wrapText="1"/>
    </xf>
    <xf numFmtId="10" fontId="9" fillId="0" borderId="1" xfId="3" applyNumberFormat="1" applyFont="1" applyFill="1" applyBorder="1" applyAlignment="1">
      <alignment horizontal="center" vertical="center" wrapText="1" readingOrder="2"/>
    </xf>
    <xf numFmtId="0" fontId="6" fillId="0" borderId="5" xfId="0" applyFont="1" applyFill="1" applyBorder="1" applyAlignment="1">
      <alignment horizontal="center" vertical="center" wrapText="1" readingOrder="2"/>
    </xf>
    <xf numFmtId="0" fontId="5" fillId="0" borderId="5" xfId="0" applyFont="1" applyFill="1" applyBorder="1" applyAlignment="1">
      <alignment horizontal="center" vertical="center" wrapText="1" readingOrder="2"/>
    </xf>
    <xf numFmtId="0" fontId="7" fillId="0" borderId="5" xfId="0" applyFont="1" applyFill="1" applyBorder="1" applyAlignment="1">
      <alignment horizontal="center" vertical="center" wrapText="1" readingOrder="2"/>
    </xf>
    <xf numFmtId="44" fontId="1" fillId="0" borderId="5" xfId="1" applyNumberFormat="1" applyFill="1" applyBorder="1" applyAlignment="1">
      <alignment horizontal="center" vertical="center" wrapText="1"/>
    </xf>
    <xf numFmtId="0" fontId="6" fillId="0" borderId="5" xfId="0" applyFont="1" applyFill="1" applyBorder="1" applyAlignment="1">
      <alignment horizontal="center" vertical="center" wrapText="1" readingOrder="2"/>
    </xf>
    <xf numFmtId="0" fontId="5" fillId="0" borderId="5" xfId="0" applyFont="1" applyFill="1" applyBorder="1" applyAlignment="1">
      <alignment horizontal="center" vertical="center" wrapText="1" readingOrder="2"/>
    </xf>
    <xf numFmtId="0" fontId="8" fillId="0" borderId="0" xfId="0" applyFont="1" applyAlignment="1">
      <alignment horizontal="center" vertical="center"/>
    </xf>
    <xf numFmtId="0" fontId="7" fillId="0" borderId="5" xfId="0" applyFont="1" applyFill="1" applyBorder="1" applyAlignment="1">
      <alignment horizontal="center" vertical="center" wrapText="1" readingOrder="2"/>
    </xf>
    <xf numFmtId="44" fontId="1" fillId="0" borderId="5" xfId="1" applyNumberFormat="1" applyFill="1" applyBorder="1" applyAlignment="1">
      <alignment horizontal="center" vertical="center" wrapText="1"/>
    </xf>
    <xf numFmtId="7" fontId="9" fillId="6" borderId="1" xfId="4" applyNumberFormat="1" applyFont="1" applyFill="1" applyBorder="1" applyAlignment="1">
      <alignment horizontal="center" vertical="center" wrapText="1" readingOrder="2"/>
    </xf>
    <xf numFmtId="0" fontId="13" fillId="6" borderId="1" xfId="0" applyFont="1" applyFill="1" applyBorder="1" applyAlignment="1">
      <alignment horizontal="center" vertical="center" wrapText="1" readingOrder="2"/>
    </xf>
    <xf numFmtId="0" fontId="14" fillId="0" borderId="1" xfId="0" applyFont="1" applyFill="1" applyBorder="1" applyAlignment="1">
      <alignment horizontal="center" vertical="center" wrapText="1" readingOrder="2"/>
    </xf>
    <xf numFmtId="0" fontId="6" fillId="8" borderId="1" xfId="0" applyFont="1" applyFill="1" applyBorder="1" applyAlignment="1">
      <alignment horizontal="center" vertical="center" wrapText="1" readingOrder="2"/>
    </xf>
    <xf numFmtId="3" fontId="6" fillId="8" borderId="1" xfId="0" applyNumberFormat="1" applyFont="1" applyFill="1" applyBorder="1" applyAlignment="1">
      <alignment horizontal="center" vertical="center" wrapText="1" readingOrder="2"/>
    </xf>
    <xf numFmtId="166" fontId="6" fillId="8" borderId="1" xfId="0" applyNumberFormat="1" applyFont="1" applyFill="1" applyBorder="1" applyAlignment="1">
      <alignment horizontal="center" vertical="center" wrapText="1" readingOrder="2"/>
    </xf>
    <xf numFmtId="3" fontId="9" fillId="8" borderId="1" xfId="2" applyNumberFormat="1" applyFont="1" applyFill="1" applyBorder="1" applyAlignment="1">
      <alignment horizontal="center" vertical="center" wrapText="1" readingOrder="2"/>
    </xf>
    <xf numFmtId="166" fontId="9" fillId="8" borderId="1" xfId="2" applyNumberFormat="1" applyFont="1" applyFill="1" applyBorder="1" applyAlignment="1">
      <alignment horizontal="center" vertical="center" wrapText="1" readingOrder="2"/>
    </xf>
    <xf numFmtId="10" fontId="9" fillId="8" borderId="1" xfId="3" applyNumberFormat="1" applyFont="1" applyFill="1" applyBorder="1" applyAlignment="1">
      <alignment horizontal="center" vertical="center" wrapText="1" readingOrder="2"/>
    </xf>
    <xf numFmtId="0" fontId="9" fillId="8" borderId="1" xfId="2" applyFont="1" applyFill="1" applyBorder="1" applyAlignment="1">
      <alignment horizontal="center" vertical="center" wrapText="1" readingOrder="2"/>
    </xf>
    <xf numFmtId="7" fontId="9" fillId="8" borderId="1" xfId="4" applyNumberFormat="1" applyFont="1" applyFill="1" applyBorder="1" applyAlignment="1">
      <alignment horizontal="center" vertical="center" wrapText="1" readingOrder="2"/>
    </xf>
    <xf numFmtId="0" fontId="19" fillId="0" borderId="5" xfId="0" applyFont="1" applyFill="1" applyBorder="1" applyAlignment="1">
      <alignment horizontal="center" vertical="center" wrapText="1" readingOrder="2"/>
    </xf>
    <xf numFmtId="7" fontId="9" fillId="0" borderId="1" xfId="2" applyNumberFormat="1" applyFont="1" applyFill="1" applyBorder="1" applyAlignment="1">
      <alignment horizontal="center" vertical="center" wrapText="1" readingOrder="2"/>
    </xf>
    <xf numFmtId="0" fontId="6" fillId="0" borderId="5" xfId="0" applyFont="1" applyFill="1" applyBorder="1" applyAlignment="1">
      <alignment horizontal="center" vertical="center" wrapText="1" readingOrder="2"/>
    </xf>
    <xf numFmtId="0" fontId="6" fillId="0" borderId="7" xfId="0" applyFont="1" applyFill="1" applyBorder="1" applyAlignment="1">
      <alignment horizontal="center" vertical="center" wrapText="1" readingOrder="2"/>
    </xf>
    <xf numFmtId="0" fontId="7" fillId="0" borderId="5" xfId="0" applyFont="1" applyFill="1" applyBorder="1" applyAlignment="1">
      <alignment horizontal="center" vertical="center" wrapText="1" readingOrder="2"/>
    </xf>
    <xf numFmtId="0" fontId="7" fillId="0" borderId="7" xfId="0" applyFont="1" applyFill="1" applyBorder="1" applyAlignment="1">
      <alignment horizontal="center" vertical="center" wrapText="1" readingOrder="2"/>
    </xf>
    <xf numFmtId="0" fontId="13" fillId="0" borderId="5" xfId="0" applyFont="1" applyFill="1" applyBorder="1" applyAlignment="1">
      <alignment horizontal="center" vertical="center" wrapText="1" readingOrder="2"/>
    </xf>
    <xf numFmtId="44" fontId="1" fillId="0" borderId="7" xfId="1" applyNumberFormat="1" applyFill="1" applyBorder="1" applyAlignment="1">
      <alignment horizontal="center" vertical="center" wrapText="1"/>
    </xf>
    <xf numFmtId="44" fontId="1" fillId="0" borderId="5" xfId="1" applyNumberFormat="1" applyFill="1" applyBorder="1" applyAlignment="1">
      <alignment horizontal="center" vertical="center" wrapText="1"/>
    </xf>
    <xf numFmtId="0" fontId="5" fillId="0" borderId="5" xfId="0" applyFont="1" applyFill="1" applyBorder="1" applyAlignment="1">
      <alignment horizontal="center" vertical="center" wrapText="1" readingOrder="2"/>
    </xf>
    <xf numFmtId="0" fontId="12" fillId="0" borderId="5" xfId="0" applyFont="1" applyFill="1" applyBorder="1" applyAlignment="1">
      <alignment horizontal="center" vertical="center" wrapText="1" readingOrder="2"/>
    </xf>
    <xf numFmtId="0" fontId="14" fillId="0" borderId="7" xfId="0" applyFont="1" applyFill="1" applyBorder="1" applyAlignment="1">
      <alignment horizontal="center" vertical="center" wrapText="1" readingOrder="2"/>
    </xf>
    <xf numFmtId="0" fontId="6" fillId="0" borderId="7" xfId="0" applyFont="1" applyFill="1" applyBorder="1" applyAlignment="1">
      <alignment horizontal="center" vertical="center" wrapText="1" readingOrder="2"/>
    </xf>
    <xf numFmtId="0" fontId="7" fillId="0" borderId="7" xfId="0" applyFont="1" applyFill="1" applyBorder="1" applyAlignment="1">
      <alignment horizontal="center" vertical="center" wrapText="1" readingOrder="2"/>
    </xf>
    <xf numFmtId="44" fontId="1" fillId="0" borderId="7" xfId="1" applyNumberFormat="1" applyFill="1" applyBorder="1" applyAlignment="1">
      <alignment horizontal="center" vertical="center" wrapText="1"/>
    </xf>
    <xf numFmtId="0" fontId="20" fillId="0" borderId="7" xfId="0" applyFont="1" applyFill="1" applyBorder="1" applyAlignment="1">
      <alignment horizontal="center" vertical="center" wrapText="1" readingOrder="2"/>
    </xf>
    <xf numFmtId="166" fontId="20" fillId="0" borderId="7" xfId="0" applyNumberFormat="1" applyFont="1" applyFill="1" applyBorder="1" applyAlignment="1">
      <alignment horizontal="center" vertical="center" wrapText="1" readingOrder="2"/>
    </xf>
    <xf numFmtId="0" fontId="5" fillId="0" borderId="5" xfId="0" applyFont="1" applyFill="1" applyBorder="1" applyAlignment="1">
      <alignment horizontal="center" vertical="center" wrapText="1" readingOrder="2"/>
    </xf>
    <xf numFmtId="0" fontId="5" fillId="0" borderId="5" xfId="0" applyFont="1" applyFill="1" applyBorder="1" applyAlignment="1">
      <alignment horizontal="center" vertical="center" wrapText="1" readingOrder="2"/>
    </xf>
    <xf numFmtId="0" fontId="12" fillId="0" borderId="5" xfId="0" applyFont="1" applyFill="1" applyBorder="1" applyAlignment="1">
      <alignment horizontal="center" vertical="center" wrapText="1" readingOrder="2"/>
    </xf>
    <xf numFmtId="166" fontId="20" fillId="0" borderId="7" xfId="0" applyNumberFormat="1" applyFont="1" applyFill="1" applyBorder="1" applyAlignment="1">
      <alignment horizontal="center" vertical="center" wrapText="1" readingOrder="2"/>
    </xf>
    <xf numFmtId="0" fontId="4" fillId="0" borderId="1" xfId="0" applyFont="1" applyBorder="1" applyAlignment="1">
      <alignment horizontal="center" vertical="center" wrapText="1" readingOrder="2"/>
    </xf>
    <xf numFmtId="0" fontId="6" fillId="0" borderId="5" xfId="0" applyFont="1" applyFill="1" applyBorder="1" applyAlignment="1">
      <alignment horizontal="center" vertical="center" wrapText="1" readingOrder="2"/>
    </xf>
    <xf numFmtId="0" fontId="5" fillId="0" borderId="5" xfId="0" applyFont="1" applyFill="1" applyBorder="1" applyAlignment="1">
      <alignment horizontal="center" vertical="center" wrapText="1" readingOrder="2"/>
    </xf>
    <xf numFmtId="0" fontId="7" fillId="0" borderId="5" xfId="0" applyFont="1" applyFill="1" applyBorder="1" applyAlignment="1">
      <alignment horizontal="center" vertical="center" wrapText="1" readingOrder="2"/>
    </xf>
    <xf numFmtId="0" fontId="13" fillId="0" borderId="5" xfId="0" applyFont="1" applyFill="1" applyBorder="1" applyAlignment="1">
      <alignment horizontal="center" vertical="center" wrapText="1" readingOrder="2"/>
    </xf>
    <xf numFmtId="0" fontId="12" fillId="0" borderId="5" xfId="0" applyFont="1" applyFill="1" applyBorder="1" applyAlignment="1">
      <alignment horizontal="center" vertical="center" wrapText="1" readingOrder="2"/>
    </xf>
    <xf numFmtId="166" fontId="20" fillId="0" borderId="7" xfId="0" applyNumberFormat="1" applyFont="1" applyFill="1" applyBorder="1" applyAlignment="1">
      <alignment horizontal="center" vertical="center" wrapText="1" readingOrder="2"/>
    </xf>
    <xf numFmtId="44" fontId="1" fillId="0" borderId="5" xfId="1" applyNumberFormat="1" applyFill="1" applyBorder="1" applyAlignment="1">
      <alignment horizontal="center" vertical="center" wrapText="1"/>
    </xf>
    <xf numFmtId="0" fontId="6" fillId="0" borderId="5" xfId="0" applyFont="1" applyFill="1" applyBorder="1" applyAlignment="1">
      <alignment horizontal="center" vertical="center" wrapText="1" readingOrder="2"/>
    </xf>
    <xf numFmtId="0" fontId="6" fillId="0" borderId="7" xfId="0" applyFont="1" applyFill="1" applyBorder="1" applyAlignment="1">
      <alignment horizontal="center" vertical="center" wrapText="1" readingOrder="2"/>
    </xf>
    <xf numFmtId="0" fontId="5" fillId="0" borderId="5" xfId="0" applyFont="1" applyFill="1" applyBorder="1" applyAlignment="1">
      <alignment horizontal="center" vertical="center" wrapText="1" readingOrder="2"/>
    </xf>
    <xf numFmtId="44" fontId="1" fillId="0" borderId="5" xfId="1" applyNumberFormat="1" applyFill="1" applyBorder="1" applyAlignment="1">
      <alignment horizontal="center" vertical="center" wrapText="1"/>
    </xf>
    <xf numFmtId="3" fontId="6" fillId="0" borderId="5" xfId="0" applyNumberFormat="1" applyFont="1" applyFill="1" applyBorder="1" applyAlignment="1">
      <alignment horizontal="center" vertical="center" wrapText="1" readingOrder="2"/>
    </xf>
    <xf numFmtId="166" fontId="6" fillId="0" borderId="5" xfId="0" applyNumberFormat="1" applyFont="1" applyFill="1" applyBorder="1" applyAlignment="1">
      <alignment horizontal="center" vertical="center" wrapText="1" readingOrder="2"/>
    </xf>
    <xf numFmtId="0" fontId="7" fillId="0" borderId="5" xfId="0" applyFont="1" applyBorder="1" applyAlignment="1">
      <alignment horizontal="center" vertical="center" wrapText="1"/>
    </xf>
    <xf numFmtId="0" fontId="7" fillId="0" borderId="5" xfId="0" applyFont="1" applyFill="1" applyBorder="1" applyAlignment="1">
      <alignment horizontal="center" vertical="center" wrapText="1" readingOrder="2"/>
    </xf>
    <xf numFmtId="166" fontId="20" fillId="0" borderId="7" xfId="0" applyNumberFormat="1" applyFont="1" applyFill="1" applyBorder="1" applyAlignment="1">
      <alignment horizontal="center" vertical="center" wrapText="1" readingOrder="2"/>
    </xf>
    <xf numFmtId="0" fontId="5" fillId="0" borderId="5" xfId="0" applyFont="1" applyFill="1" applyBorder="1" applyAlignment="1">
      <alignment horizontal="center" vertical="center" wrapText="1" readingOrder="2"/>
    </xf>
    <xf numFmtId="0" fontId="6" fillId="0" borderId="5" xfId="0" applyFont="1" applyFill="1" applyBorder="1" applyAlignment="1">
      <alignment horizontal="center" vertical="center" wrapText="1" readingOrder="2"/>
    </xf>
    <xf numFmtId="0" fontId="13" fillId="0" borderId="5" xfId="0" applyFont="1" applyFill="1" applyBorder="1" applyAlignment="1">
      <alignment horizontal="center" vertical="center" wrapText="1" readingOrder="2"/>
    </xf>
    <xf numFmtId="0" fontId="12" fillId="0" borderId="5" xfId="0" applyFont="1" applyFill="1" applyBorder="1" applyAlignment="1">
      <alignment horizontal="center" vertical="center" wrapText="1" readingOrder="2"/>
    </xf>
    <xf numFmtId="44" fontId="1" fillId="0" borderId="5" xfId="1" applyNumberFormat="1" applyFill="1" applyBorder="1" applyAlignment="1">
      <alignment horizontal="center" vertical="center" wrapText="1"/>
    </xf>
    <xf numFmtId="166" fontId="20" fillId="0" borderId="7" xfId="0" applyNumberFormat="1" applyFont="1" applyFill="1" applyBorder="1" applyAlignment="1">
      <alignment horizontal="center" vertical="center" wrapText="1" readingOrder="2"/>
    </xf>
    <xf numFmtId="0" fontId="5" fillId="0" borderId="5" xfId="0" applyFont="1" applyFill="1" applyBorder="1" applyAlignment="1">
      <alignment horizontal="center" vertical="center" wrapText="1" readingOrder="2"/>
    </xf>
    <xf numFmtId="0" fontId="6" fillId="0" borderId="5" xfId="0" applyFont="1" applyFill="1" applyBorder="1" applyAlignment="1">
      <alignment horizontal="center" vertical="center" wrapText="1" readingOrder="2"/>
    </xf>
    <xf numFmtId="44" fontId="1" fillId="0" borderId="5" xfId="1" applyNumberFormat="1" applyFill="1" applyBorder="1" applyAlignment="1">
      <alignment horizontal="center" vertical="center" wrapText="1"/>
    </xf>
    <xf numFmtId="0" fontId="7" fillId="0" borderId="5" xfId="0" applyFont="1" applyFill="1" applyBorder="1" applyAlignment="1">
      <alignment horizontal="center" vertical="center" wrapText="1" readingOrder="2"/>
    </xf>
    <xf numFmtId="0" fontId="13" fillId="0" borderId="5" xfId="0" applyFont="1" applyFill="1" applyBorder="1" applyAlignment="1">
      <alignment horizontal="center" vertical="center" wrapText="1" readingOrder="2"/>
    </xf>
    <xf numFmtId="0" fontId="12" fillId="0" borderId="5" xfId="0" applyFont="1" applyFill="1" applyBorder="1" applyAlignment="1">
      <alignment horizontal="center" vertical="center" wrapText="1" readingOrder="2"/>
    </xf>
    <xf numFmtId="0" fontId="5" fillId="0" borderId="5" xfId="0" applyFont="1" applyFill="1" applyBorder="1" applyAlignment="1">
      <alignment horizontal="center" vertical="center" wrapText="1" readingOrder="2"/>
    </xf>
    <xf numFmtId="0" fontId="12" fillId="0" borderId="5" xfId="0" applyFont="1" applyFill="1" applyBorder="1" applyAlignment="1">
      <alignment horizontal="center" vertical="center" wrapText="1" readingOrder="2"/>
    </xf>
    <xf numFmtId="166" fontId="15" fillId="8" borderId="1" xfId="2" applyNumberFormat="1" applyFont="1" applyFill="1" applyBorder="1" applyAlignment="1">
      <alignment horizontal="center" vertical="center" wrapText="1" readingOrder="2"/>
    </xf>
    <xf numFmtId="7" fontId="18" fillId="3" borderId="1" xfId="2" applyNumberFormat="1" applyFont="1" applyBorder="1" applyAlignment="1">
      <alignment horizontal="center" vertical="center" wrapText="1" readingOrder="2"/>
    </xf>
    <xf numFmtId="166" fontId="15" fillId="0" borderId="1" xfId="2" applyNumberFormat="1" applyFont="1" applyFill="1" applyBorder="1" applyAlignment="1">
      <alignment horizontal="center" vertical="center" wrapText="1" readingOrder="2"/>
    </xf>
    <xf numFmtId="0" fontId="6" fillId="0" borderId="5" xfId="0" applyFont="1" applyFill="1" applyBorder="1" applyAlignment="1">
      <alignment horizontal="center" vertical="center" wrapText="1" readingOrder="2"/>
    </xf>
    <xf numFmtId="0" fontId="12" fillId="0" borderId="5" xfId="0" applyFont="1" applyFill="1" applyBorder="1" applyAlignment="1">
      <alignment horizontal="center" vertical="center" wrapText="1" readingOrder="2"/>
    </xf>
    <xf numFmtId="166" fontId="20" fillId="0" borderId="7" xfId="0" applyNumberFormat="1" applyFont="1" applyFill="1" applyBorder="1" applyAlignment="1">
      <alignment horizontal="center" vertical="center" wrapText="1" readingOrder="2"/>
    </xf>
    <xf numFmtId="44" fontId="1" fillId="0" borderId="5" xfId="1" applyNumberFormat="1" applyFill="1" applyBorder="1" applyAlignment="1">
      <alignment horizontal="center" vertical="center" wrapText="1"/>
    </xf>
    <xf numFmtId="0" fontId="7" fillId="0" borderId="5" xfId="0" applyFont="1" applyFill="1" applyBorder="1" applyAlignment="1">
      <alignment horizontal="center" vertical="center" wrapText="1" readingOrder="2"/>
    </xf>
    <xf numFmtId="0" fontId="5" fillId="0" borderId="5" xfId="0" applyFont="1" applyFill="1" applyBorder="1" applyAlignment="1">
      <alignment horizontal="center" vertical="center" wrapText="1" readingOrder="2"/>
    </xf>
    <xf numFmtId="0" fontId="13" fillId="0" borderId="5" xfId="0" applyFont="1" applyFill="1" applyBorder="1" applyAlignment="1">
      <alignment horizontal="center" vertical="center" wrapText="1" readingOrder="2"/>
    </xf>
    <xf numFmtId="0" fontId="6" fillId="0" borderId="7" xfId="0" applyFont="1" applyFill="1" applyBorder="1" applyAlignment="1">
      <alignment horizontal="center" vertical="center" wrapText="1" readingOrder="2"/>
    </xf>
    <xf numFmtId="44" fontId="1" fillId="0" borderId="5" xfId="1" applyNumberFormat="1" applyFill="1" applyBorder="1" applyAlignment="1">
      <alignment horizontal="center" vertical="center" wrapText="1"/>
    </xf>
    <xf numFmtId="0" fontId="5" fillId="0" borderId="5" xfId="0" applyFont="1" applyFill="1" applyBorder="1" applyAlignment="1">
      <alignment horizontal="center" vertical="center" wrapText="1" readingOrder="2"/>
    </xf>
    <xf numFmtId="7" fontId="9" fillId="0" borderId="1" xfId="4" applyNumberFormat="1" applyFont="1" applyFill="1" applyBorder="1" applyAlignment="1">
      <alignment horizontal="center" vertical="center" wrapText="1" readingOrder="2"/>
    </xf>
    <xf numFmtId="0" fontId="4" fillId="0" borderId="0" xfId="0" applyFont="1" applyFill="1" applyBorder="1" applyAlignment="1">
      <alignment horizontal="center" vertical="center" wrapText="1" readingOrder="2"/>
    </xf>
    <xf numFmtId="0" fontId="4" fillId="0" borderId="3" xfId="0" applyFont="1" applyFill="1" applyBorder="1" applyAlignment="1">
      <alignment horizontal="center" vertical="center" wrapText="1" readingOrder="2"/>
    </xf>
    <xf numFmtId="0" fontId="4" fillId="0" borderId="4" xfId="0" applyFont="1" applyFill="1" applyBorder="1" applyAlignment="1">
      <alignment horizontal="center" vertical="center" wrapText="1" readingOrder="2"/>
    </xf>
    <xf numFmtId="0" fontId="5" fillId="0" borderId="2" xfId="0" applyFont="1" applyFill="1" applyBorder="1" applyAlignment="1">
      <alignment horizontal="center" vertical="center" readingOrder="2"/>
    </xf>
    <xf numFmtId="0" fontId="12" fillId="0" borderId="5" xfId="0" applyFont="1" applyFill="1" applyBorder="1" applyAlignment="1">
      <alignment horizontal="center" vertical="center" wrapText="1" readingOrder="2"/>
    </xf>
    <xf numFmtId="0" fontId="20" fillId="0" borderId="5" xfId="0" applyFont="1" applyFill="1" applyBorder="1" applyAlignment="1">
      <alignment horizontal="center" vertical="center" wrapText="1" readingOrder="2"/>
    </xf>
    <xf numFmtId="10" fontId="18" fillId="3" borderId="1" xfId="2" applyNumberFormat="1" applyFont="1" applyBorder="1" applyAlignment="1">
      <alignment horizontal="center" vertical="center" wrapText="1" readingOrder="2"/>
    </xf>
    <xf numFmtId="166" fontId="9" fillId="6" borderId="1" xfId="3" applyNumberFormat="1" applyFont="1" applyFill="1" applyBorder="1" applyAlignment="1">
      <alignment horizontal="center" vertical="center" wrapText="1" readingOrder="2"/>
    </xf>
    <xf numFmtId="0" fontId="6" fillId="0" borderId="5" xfId="0" applyFont="1" applyFill="1" applyBorder="1" applyAlignment="1">
      <alignment horizontal="center" vertical="center" wrapText="1" readingOrder="2"/>
    </xf>
    <xf numFmtId="166" fontId="20" fillId="0" borderId="7" xfId="0" applyNumberFormat="1" applyFont="1" applyFill="1" applyBorder="1" applyAlignment="1">
      <alignment horizontal="center" vertical="center" wrapText="1" readingOrder="2"/>
    </xf>
    <xf numFmtId="0" fontId="7" fillId="0" borderId="5" xfId="0" applyFont="1" applyFill="1" applyBorder="1" applyAlignment="1">
      <alignment horizontal="center" vertical="center" wrapText="1" readingOrder="2"/>
    </xf>
    <xf numFmtId="0" fontId="12" fillId="0" borderId="5" xfId="0" applyFont="1" applyFill="1" applyBorder="1" applyAlignment="1">
      <alignment horizontal="center" vertical="center" wrapText="1" readingOrder="2"/>
    </xf>
    <xf numFmtId="44" fontId="1" fillId="0" borderId="5" xfId="1" applyNumberFormat="1" applyFill="1" applyBorder="1" applyAlignment="1">
      <alignment horizontal="center" vertical="center" wrapText="1"/>
    </xf>
    <xf numFmtId="0" fontId="13" fillId="0" borderId="5" xfId="0" applyFont="1" applyFill="1" applyBorder="1" applyAlignment="1">
      <alignment horizontal="center" vertical="center" wrapText="1" readingOrder="2"/>
    </xf>
    <xf numFmtId="0" fontId="4" fillId="0" borderId="5" xfId="0" applyFont="1" applyFill="1" applyBorder="1" applyAlignment="1">
      <alignment horizontal="center" vertical="center" wrapText="1" readingOrder="2"/>
    </xf>
    <xf numFmtId="166" fontId="5" fillId="0" borderId="5" xfId="0" applyNumberFormat="1" applyFont="1" applyFill="1" applyBorder="1" applyAlignment="1">
      <alignment horizontal="center" vertical="center" wrapText="1" readingOrder="2"/>
    </xf>
    <xf numFmtId="166" fontId="23" fillId="0" borderId="1" xfId="2" applyNumberFormat="1" applyFont="1" applyFill="1" applyBorder="1" applyAlignment="1">
      <alignment horizontal="center" vertical="center" wrapText="1" readingOrder="2"/>
    </xf>
    <xf numFmtId="166" fontId="6" fillId="0" borderId="1" xfId="0" applyNumberFormat="1" applyFont="1" applyBorder="1" applyAlignment="1">
      <alignment horizontal="center" vertical="center" wrapText="1" readingOrder="2"/>
    </xf>
    <xf numFmtId="0" fontId="6" fillId="0" borderId="1" xfId="0" applyFont="1" applyBorder="1" applyAlignment="1">
      <alignment horizontal="center" vertical="center" wrapText="1" readingOrder="2"/>
    </xf>
    <xf numFmtId="166" fontId="9" fillId="9" borderId="1" xfId="2" applyNumberFormat="1" applyFont="1" applyFill="1" applyBorder="1" applyAlignment="1">
      <alignment horizontal="center" vertical="center" wrapText="1" readingOrder="2"/>
    </xf>
    <xf numFmtId="0" fontId="6" fillId="0" borderId="1" xfId="0" applyFont="1" applyFill="1" applyBorder="1" applyAlignment="1">
      <alignment horizontal="center" vertical="center" wrapText="1" readingOrder="2"/>
    </xf>
    <xf numFmtId="0" fontId="5" fillId="0" borderId="1" xfId="0" applyFont="1" applyFill="1" applyBorder="1" applyAlignment="1">
      <alignment horizontal="center" vertical="center" wrapText="1" readingOrder="2"/>
    </xf>
    <xf numFmtId="166" fontId="20" fillId="0" borderId="1" xfId="0" applyNumberFormat="1" applyFont="1" applyFill="1" applyBorder="1" applyAlignment="1">
      <alignment horizontal="center" vertical="center" wrapText="1" readingOrder="2"/>
    </xf>
    <xf numFmtId="0" fontId="8" fillId="0" borderId="1" xfId="0" applyFont="1" applyBorder="1" applyAlignment="1">
      <alignment horizontal="center" vertical="center"/>
    </xf>
    <xf numFmtId="0" fontId="7" fillId="0" borderId="1" xfId="0" applyFont="1" applyFill="1" applyBorder="1" applyAlignment="1">
      <alignment horizontal="center" vertical="center" wrapText="1" readingOrder="2"/>
    </xf>
    <xf numFmtId="0" fontId="6" fillId="0" borderId="1" xfId="0" applyFont="1" applyFill="1" applyBorder="1" applyAlignment="1">
      <alignment horizontal="center" vertical="center" wrapText="1" readingOrder="2"/>
    </xf>
    <xf numFmtId="0" fontId="6" fillId="0" borderId="5" xfId="0" applyFont="1" applyFill="1" applyBorder="1" applyAlignment="1">
      <alignment horizontal="center" vertical="center" wrapText="1" readingOrder="2"/>
    </xf>
    <xf numFmtId="166" fontId="20" fillId="0" borderId="5" xfId="0" applyNumberFormat="1" applyFont="1" applyFill="1" applyBorder="1" applyAlignment="1">
      <alignment horizontal="center" vertical="center" wrapText="1" readingOrder="2"/>
    </xf>
    <xf numFmtId="44" fontId="1" fillId="0" borderId="5" xfId="1" applyNumberFormat="1" applyFill="1" applyBorder="1" applyAlignment="1">
      <alignment horizontal="center" vertical="center" wrapText="1"/>
    </xf>
    <xf numFmtId="0" fontId="7" fillId="0" borderId="5" xfId="0" applyFont="1" applyFill="1" applyBorder="1" applyAlignment="1">
      <alignment horizontal="center" vertical="center" wrapText="1" readingOrder="2"/>
    </xf>
    <xf numFmtId="0" fontId="4" fillId="0" borderId="5" xfId="0" applyFont="1" applyFill="1" applyBorder="1" applyAlignment="1">
      <alignment horizontal="center" vertical="center" wrapText="1" readingOrder="2"/>
    </xf>
    <xf numFmtId="0" fontId="9" fillId="9" borderId="1" xfId="2" applyFont="1" applyFill="1" applyBorder="1" applyAlignment="1">
      <alignment horizontal="center" vertical="center" wrapText="1" readingOrder="2"/>
    </xf>
    <xf numFmtId="3" fontId="9" fillId="9" borderId="1" xfId="2" applyNumberFormat="1" applyFont="1" applyFill="1" applyBorder="1" applyAlignment="1">
      <alignment horizontal="center" vertical="center" wrapText="1" readingOrder="2"/>
    </xf>
    <xf numFmtId="7" fontId="9" fillId="9" borderId="1" xfId="4" applyNumberFormat="1" applyFont="1" applyFill="1" applyBorder="1" applyAlignment="1">
      <alignment horizontal="center" vertical="center" wrapText="1" readingOrder="2"/>
    </xf>
    <xf numFmtId="166" fontId="23" fillId="6" borderId="1" xfId="2" applyNumberFormat="1" applyFont="1" applyFill="1" applyBorder="1" applyAlignment="1">
      <alignment horizontal="center" vertical="center" wrapText="1" readingOrder="2"/>
    </xf>
    <xf numFmtId="9" fontId="9" fillId="6" borderId="1" xfId="4" applyNumberFormat="1" applyFont="1" applyFill="1" applyBorder="1" applyAlignment="1">
      <alignment horizontal="center" vertical="center" wrapText="1" readingOrder="2"/>
    </xf>
    <xf numFmtId="166" fontId="4" fillId="0" borderId="5" xfId="0" applyNumberFormat="1" applyFont="1" applyFill="1" applyBorder="1" applyAlignment="1">
      <alignment horizontal="center" vertical="center" wrapText="1" readingOrder="2"/>
    </xf>
    <xf numFmtId="0" fontId="5" fillId="0" borderId="1" xfId="0" applyFont="1" applyFill="1" applyBorder="1" applyAlignment="1">
      <alignment horizontal="center" vertical="center" readingOrder="2"/>
    </xf>
    <xf numFmtId="0" fontId="6" fillId="0" borderId="1" xfId="0" applyFont="1" applyFill="1" applyBorder="1" applyAlignment="1">
      <alignment horizontal="center" vertical="center" wrapText="1" readingOrder="2"/>
    </xf>
    <xf numFmtId="0" fontId="4" fillId="0" borderId="5" xfId="0" applyFont="1" applyFill="1" applyBorder="1" applyAlignment="1">
      <alignment horizontal="center" vertical="center" wrapText="1" readingOrder="2"/>
    </xf>
    <xf numFmtId="0" fontId="4" fillId="0" borderId="1" xfId="0" applyFont="1" applyBorder="1" applyAlignment="1">
      <alignment horizontal="center" vertical="center" wrapText="1" readingOrder="2"/>
    </xf>
    <xf numFmtId="0" fontId="5" fillId="0" borderId="1" xfId="0" applyFont="1" applyBorder="1" applyAlignment="1">
      <alignment horizontal="center" vertical="center" readingOrder="2"/>
    </xf>
    <xf numFmtId="0" fontId="6" fillId="0" borderId="1" xfId="0" applyFont="1" applyBorder="1" applyAlignment="1">
      <alignment horizontal="center" vertical="center" wrapText="1" readingOrder="2"/>
    </xf>
    <xf numFmtId="0" fontId="6" fillId="0" borderId="5" xfId="0" applyFont="1" applyFill="1" applyBorder="1" applyAlignment="1">
      <alignment horizontal="center" vertical="center" wrapText="1" readingOrder="2"/>
    </xf>
    <xf numFmtId="166" fontId="4" fillId="0" borderId="5" xfId="0" applyNumberFormat="1" applyFont="1" applyFill="1" applyBorder="1" applyAlignment="1">
      <alignment horizontal="center" vertical="center" wrapText="1" readingOrder="2"/>
    </xf>
    <xf numFmtId="44" fontId="1" fillId="0" borderId="5" xfId="1" applyNumberFormat="1" applyFill="1" applyBorder="1" applyAlignment="1">
      <alignment horizontal="center" vertical="center" wrapText="1"/>
    </xf>
    <xf numFmtId="0" fontId="7" fillId="0" borderId="5" xfId="0" applyFont="1" applyFill="1" applyBorder="1" applyAlignment="1">
      <alignment horizontal="center" vertical="center" wrapText="1" readingOrder="2"/>
    </xf>
    <xf numFmtId="166" fontId="20" fillId="0" borderId="5" xfId="0" applyNumberFormat="1" applyFont="1" applyFill="1" applyBorder="1" applyAlignment="1">
      <alignment horizontal="center" vertical="center" wrapText="1" readingOrder="2"/>
    </xf>
    <xf numFmtId="0" fontId="6" fillId="0" borderId="5" xfId="0" applyFont="1" applyBorder="1" applyAlignment="1">
      <alignment horizontal="center" vertical="center" wrapText="1" readingOrder="2"/>
    </xf>
    <xf numFmtId="0" fontId="4" fillId="0" borderId="5" xfId="0" applyFont="1" applyFill="1" applyBorder="1" applyAlignment="1">
      <alignment horizontal="center" vertical="center" wrapText="1" readingOrder="2"/>
    </xf>
    <xf numFmtId="166" fontId="20" fillId="0" borderId="5" xfId="0" applyNumberFormat="1" applyFont="1" applyFill="1" applyBorder="1" applyAlignment="1">
      <alignment horizontal="center" vertical="center" wrapText="1" readingOrder="2"/>
    </xf>
    <xf numFmtId="44" fontId="1" fillId="0" borderId="5" xfId="1" applyNumberFormat="1" applyFill="1" applyBorder="1" applyAlignment="1">
      <alignment horizontal="center" vertical="center" wrapText="1"/>
    </xf>
    <xf numFmtId="0" fontId="7" fillId="0" borderId="5" xfId="0" applyFont="1" applyFill="1" applyBorder="1" applyAlignment="1">
      <alignment horizontal="center" vertical="center" wrapText="1" readingOrder="2"/>
    </xf>
    <xf numFmtId="0" fontId="6" fillId="0" borderId="1" xfId="0" applyFont="1" applyFill="1" applyBorder="1" applyAlignment="1">
      <alignment horizontal="center" vertical="center" wrapText="1" readingOrder="2"/>
    </xf>
    <xf numFmtId="0" fontId="4" fillId="0" borderId="5" xfId="0" applyFont="1" applyFill="1" applyBorder="1" applyAlignment="1">
      <alignment horizontal="center" vertical="center" wrapText="1" readingOrder="2"/>
    </xf>
    <xf numFmtId="44" fontId="1" fillId="0" borderId="5" xfId="1" applyNumberFormat="1" applyFill="1" applyBorder="1" applyAlignment="1">
      <alignment horizontal="center" vertical="center" wrapText="1"/>
    </xf>
    <xf numFmtId="0" fontId="7" fillId="0" borderId="5" xfId="0" applyFont="1" applyFill="1" applyBorder="1" applyAlignment="1">
      <alignment horizontal="center" vertical="center" wrapText="1" readingOrder="2"/>
    </xf>
    <xf numFmtId="166" fontId="20" fillId="0" borderId="5" xfId="0" applyNumberFormat="1" applyFont="1" applyFill="1" applyBorder="1" applyAlignment="1">
      <alignment horizontal="center" vertical="center" wrapText="1" readingOrder="2"/>
    </xf>
    <xf numFmtId="0" fontId="13" fillId="0" borderId="5" xfId="0" applyFont="1" applyBorder="1" applyAlignment="1">
      <alignment horizontal="center" vertical="center" wrapText="1" readingOrder="2"/>
    </xf>
    <xf numFmtId="166" fontId="25" fillId="6" borderId="1" xfId="2" applyNumberFormat="1" applyFont="1" applyFill="1" applyBorder="1" applyAlignment="1">
      <alignment horizontal="center" vertical="center" wrapText="1" readingOrder="2"/>
    </xf>
    <xf numFmtId="0" fontId="5" fillId="0" borderId="1" xfId="0" applyFont="1" applyBorder="1" applyAlignment="1">
      <alignment horizontal="center" vertical="center" readingOrder="2"/>
    </xf>
    <xf numFmtId="0" fontId="6" fillId="0" borderId="1" xfId="0" applyFont="1" applyBorder="1" applyAlignment="1">
      <alignment horizontal="center" vertical="center" wrapText="1" readingOrder="2"/>
    </xf>
    <xf numFmtId="0" fontId="4" fillId="0" borderId="1" xfId="0" applyFont="1" applyBorder="1" applyAlignment="1">
      <alignment horizontal="center" vertical="center" wrapText="1" readingOrder="2"/>
    </xf>
    <xf numFmtId="0" fontId="5" fillId="0" borderId="1" xfId="0" applyFont="1" applyFill="1" applyBorder="1" applyAlignment="1">
      <alignment horizontal="center" vertical="center" readingOrder="2"/>
    </xf>
    <xf numFmtId="0" fontId="6" fillId="0" borderId="1" xfId="0" applyFont="1" applyFill="1" applyBorder="1" applyAlignment="1">
      <alignment horizontal="center" vertical="center" wrapText="1" readingOrder="2"/>
    </xf>
    <xf numFmtId="7" fontId="9" fillId="6" borderId="1" xfId="2" applyNumberFormat="1" applyFont="1" applyFill="1" applyBorder="1" applyAlignment="1">
      <alignment horizontal="center" vertical="center" wrapText="1" readingOrder="2"/>
    </xf>
    <xf numFmtId="166" fontId="6" fillId="7" borderId="1" xfId="0" applyNumberFormat="1" applyFont="1" applyFill="1" applyBorder="1" applyAlignment="1">
      <alignment horizontal="center" vertical="center" wrapText="1" readingOrder="2"/>
    </xf>
    <xf numFmtId="10" fontId="6" fillId="7" borderId="1" xfId="0" applyNumberFormat="1" applyFont="1" applyFill="1" applyBorder="1" applyAlignment="1">
      <alignment horizontal="center" vertical="center" wrapText="1" readingOrder="2"/>
    </xf>
    <xf numFmtId="166" fontId="9" fillId="7" borderId="1" xfId="2" applyNumberFormat="1" applyFont="1" applyFill="1" applyBorder="1" applyAlignment="1">
      <alignment horizontal="center" vertical="center" wrapText="1" readingOrder="2"/>
    </xf>
    <xf numFmtId="0" fontId="6" fillId="0" borderId="1" xfId="0" applyFont="1" applyBorder="1" applyAlignment="1">
      <alignment horizontal="center" vertical="center" wrapText="1" readingOrder="2"/>
    </xf>
    <xf numFmtId="0" fontId="4" fillId="0" borderId="5" xfId="0" applyFont="1" applyFill="1" applyBorder="1" applyAlignment="1">
      <alignment horizontal="center" vertical="center" wrapText="1" readingOrder="2"/>
    </xf>
    <xf numFmtId="0" fontId="6" fillId="0" borderId="5" xfId="0" applyFont="1" applyFill="1" applyBorder="1" applyAlignment="1">
      <alignment horizontal="center" vertical="center" wrapText="1" readingOrder="2"/>
    </xf>
    <xf numFmtId="166" fontId="4" fillId="0" borderId="5" xfId="0" applyNumberFormat="1" applyFont="1" applyFill="1" applyBorder="1" applyAlignment="1">
      <alignment horizontal="center" vertical="center" wrapText="1" readingOrder="2"/>
    </xf>
    <xf numFmtId="44" fontId="1" fillId="0" borderId="5" xfId="1" applyNumberFormat="1" applyFill="1" applyBorder="1" applyAlignment="1">
      <alignment horizontal="center" vertical="center" wrapText="1"/>
    </xf>
    <xf numFmtId="0" fontId="7" fillId="0" borderId="5" xfId="0" applyFont="1" applyFill="1" applyBorder="1" applyAlignment="1">
      <alignment horizontal="center" vertical="center" wrapText="1" readingOrder="2"/>
    </xf>
    <xf numFmtId="166" fontId="23" fillId="7" borderId="1" xfId="2" applyNumberFormat="1" applyFont="1" applyFill="1" applyBorder="1" applyAlignment="1">
      <alignment horizontal="center" vertical="center" wrapText="1" readingOrder="2"/>
    </xf>
    <xf numFmtId="0" fontId="6" fillId="0" borderId="5" xfId="0" applyFont="1" applyFill="1" applyBorder="1" applyAlignment="1">
      <alignment horizontal="center" vertical="center" wrapText="1" readingOrder="2"/>
    </xf>
    <xf numFmtId="166" fontId="20" fillId="0" borderId="5" xfId="0" applyNumberFormat="1" applyFont="1" applyFill="1" applyBorder="1" applyAlignment="1">
      <alignment horizontal="center" vertical="center" wrapText="1" readingOrder="2"/>
    </xf>
    <xf numFmtId="0" fontId="7" fillId="0" borderId="5" xfId="0" applyFont="1" applyFill="1" applyBorder="1" applyAlignment="1">
      <alignment horizontal="center" vertical="center" wrapText="1" readingOrder="2"/>
    </xf>
    <xf numFmtId="0" fontId="6" fillId="0" borderId="1" xfId="0" applyFont="1" applyFill="1" applyBorder="1" applyAlignment="1">
      <alignment horizontal="center" vertical="center" wrapText="1" readingOrder="2"/>
    </xf>
    <xf numFmtId="0" fontId="8" fillId="0" borderId="5" xfId="0" applyFont="1" applyBorder="1" applyAlignment="1">
      <alignment horizontal="center" vertical="center"/>
    </xf>
    <xf numFmtId="0" fontId="9" fillId="7" borderId="1" xfId="2" applyFont="1" applyFill="1" applyBorder="1" applyAlignment="1">
      <alignment horizontal="center" vertical="center" wrapText="1" readingOrder="2"/>
    </xf>
    <xf numFmtId="3" fontId="6" fillId="0" borderId="1" xfId="0" applyNumberFormat="1" applyFont="1" applyBorder="1" applyAlignment="1">
      <alignment horizontal="center" vertical="center" wrapText="1" readingOrder="2"/>
    </xf>
    <xf numFmtId="0" fontId="4" fillId="0" borderId="0" xfId="0" applyFont="1" applyFill="1" applyBorder="1" applyAlignment="1">
      <alignment horizontal="right" vertical="center" wrapText="1" readingOrder="2"/>
    </xf>
    <xf numFmtId="0" fontId="4" fillId="0" borderId="5" xfId="0" applyFont="1" applyFill="1" applyBorder="1" applyAlignment="1">
      <alignment horizontal="center" vertical="center" wrapText="1" readingOrder="2"/>
    </xf>
    <xf numFmtId="0" fontId="4" fillId="0" borderId="5" xfId="0" applyFont="1" applyFill="1" applyBorder="1" applyAlignment="1">
      <alignment horizontal="center" vertical="center" wrapText="1" readingOrder="2"/>
    </xf>
    <xf numFmtId="0" fontId="15" fillId="6" borderId="1" xfId="2" applyFont="1" applyFill="1" applyBorder="1" applyAlignment="1">
      <alignment horizontal="center" vertical="center" wrapText="1" readingOrder="2"/>
    </xf>
    <xf numFmtId="3" fontId="15" fillId="6" borderId="1" xfId="2" applyNumberFormat="1" applyFont="1" applyFill="1" applyBorder="1" applyAlignment="1">
      <alignment horizontal="center" vertical="center" wrapText="1" readingOrder="2"/>
    </xf>
    <xf numFmtId="10" fontId="6" fillId="6" borderId="1" xfId="0" applyNumberFormat="1" applyFont="1" applyFill="1" applyBorder="1" applyAlignment="1">
      <alignment horizontal="center" vertical="center" wrapText="1" readingOrder="2"/>
    </xf>
    <xf numFmtId="10" fontId="6" fillId="8" borderId="1" xfId="0" applyNumberFormat="1" applyFont="1" applyFill="1" applyBorder="1" applyAlignment="1">
      <alignment horizontal="center" vertical="center" wrapText="1" readingOrder="2"/>
    </xf>
    <xf numFmtId="166" fontId="20" fillId="0" borderId="5" xfId="0" applyNumberFormat="1" applyFont="1" applyFill="1" applyBorder="1" applyAlignment="1">
      <alignment horizontal="center" vertical="center" wrapText="1" readingOrder="2"/>
    </xf>
    <xf numFmtId="0" fontId="7" fillId="0" borderId="5" xfId="0" applyFont="1" applyFill="1" applyBorder="1" applyAlignment="1">
      <alignment horizontal="center" vertical="center" wrapText="1" readingOrder="2"/>
    </xf>
    <xf numFmtId="0" fontId="6" fillId="0" borderId="5" xfId="0" applyFont="1" applyFill="1" applyBorder="1" applyAlignment="1">
      <alignment horizontal="center" vertical="center" wrapText="1" readingOrder="2"/>
    </xf>
    <xf numFmtId="0" fontId="8" fillId="0" borderId="5" xfId="0" applyFont="1" applyBorder="1" applyAlignment="1">
      <alignment horizontal="center" vertical="center"/>
    </xf>
    <xf numFmtId="0" fontId="4" fillId="0" borderId="1" xfId="0" applyFont="1" applyBorder="1" applyAlignment="1">
      <alignment horizontal="center" vertical="center" wrapText="1" readingOrder="2"/>
    </xf>
    <xf numFmtId="0" fontId="5" fillId="0" borderId="1" xfId="0" applyFont="1" applyBorder="1" applyAlignment="1">
      <alignment horizontal="center" vertical="center" readingOrder="2"/>
    </xf>
    <xf numFmtId="0" fontId="6" fillId="0" borderId="1" xfId="0" applyFont="1" applyBorder="1" applyAlignment="1">
      <alignment horizontal="center" vertical="center" wrapText="1" readingOrder="2"/>
    </xf>
    <xf numFmtId="0" fontId="5" fillId="0" borderId="1" xfId="0" applyFont="1" applyFill="1" applyBorder="1" applyAlignment="1">
      <alignment horizontal="center" vertical="center" readingOrder="2"/>
    </xf>
    <xf numFmtId="0" fontId="6" fillId="0" borderId="1" xfId="0" applyFont="1" applyFill="1" applyBorder="1" applyAlignment="1">
      <alignment horizontal="center" vertical="center" wrapText="1" readingOrder="2"/>
    </xf>
    <xf numFmtId="0" fontId="6" fillId="0" borderId="1" xfId="0" applyFont="1" applyFill="1" applyBorder="1" applyAlignment="1">
      <alignment horizontal="center" vertical="center" wrapText="1" readingOrder="2"/>
    </xf>
    <xf numFmtId="0" fontId="6" fillId="0" borderId="5" xfId="0" applyFont="1" applyFill="1" applyBorder="1" applyAlignment="1">
      <alignment horizontal="center" vertical="center" wrapText="1" readingOrder="2"/>
    </xf>
    <xf numFmtId="166" fontId="20" fillId="0" borderId="5" xfId="0" applyNumberFormat="1" applyFont="1" applyFill="1" applyBorder="1" applyAlignment="1">
      <alignment horizontal="center" vertical="center" wrapText="1" readingOrder="2"/>
    </xf>
    <xf numFmtId="0" fontId="7" fillId="0" borderId="5" xfId="0" applyFont="1" applyFill="1" applyBorder="1" applyAlignment="1">
      <alignment horizontal="center" vertical="center" wrapText="1" readingOrder="2"/>
    </xf>
    <xf numFmtId="0" fontId="8" fillId="0" borderId="5" xfId="0" applyFont="1" applyBorder="1" applyAlignment="1">
      <alignment horizontal="center" vertical="center"/>
    </xf>
    <xf numFmtId="0" fontId="6" fillId="0" borderId="1" xfId="0" applyFont="1" applyFill="1" applyBorder="1" applyAlignment="1">
      <alignment horizontal="center" vertical="center" wrapText="1" readingOrder="2"/>
    </xf>
    <xf numFmtId="0" fontId="4" fillId="0" borderId="5" xfId="0" applyFont="1" applyFill="1" applyBorder="1" applyAlignment="1">
      <alignment horizontal="center" vertical="center" wrapText="1" readingOrder="2"/>
    </xf>
    <xf numFmtId="0" fontId="6" fillId="0" borderId="5" xfId="0" applyFont="1" applyFill="1" applyBorder="1" applyAlignment="1">
      <alignment horizontal="center" vertical="center" wrapText="1" readingOrder="2"/>
    </xf>
    <xf numFmtId="0" fontId="4" fillId="0" borderId="5" xfId="0" applyFont="1" applyFill="1" applyBorder="1" applyAlignment="1">
      <alignment horizontal="center" vertical="center" wrapText="1" readingOrder="2"/>
    </xf>
    <xf numFmtId="166" fontId="20" fillId="0" borderId="5" xfId="0" applyNumberFormat="1" applyFont="1" applyFill="1" applyBorder="1" applyAlignment="1">
      <alignment horizontal="center" vertical="center" wrapText="1" readingOrder="2"/>
    </xf>
    <xf numFmtId="0" fontId="7" fillId="0" borderId="5" xfId="0" applyFont="1" applyFill="1" applyBorder="1" applyAlignment="1">
      <alignment horizontal="center" vertical="center" wrapText="1" readingOrder="2"/>
    </xf>
    <xf numFmtId="0" fontId="8" fillId="0" borderId="5" xfId="0" applyFont="1" applyBorder="1" applyAlignment="1">
      <alignment horizontal="center" vertical="center"/>
    </xf>
    <xf numFmtId="0" fontId="6" fillId="0" borderId="1" xfId="0" applyFont="1" applyBorder="1" applyAlignment="1">
      <alignment horizontal="center" vertical="center" wrapText="1" readingOrder="2"/>
    </xf>
    <xf numFmtId="0" fontId="4" fillId="0" borderId="1" xfId="0" applyFont="1" applyBorder="1" applyAlignment="1">
      <alignment horizontal="center" vertical="center" wrapText="1" readingOrder="2"/>
    </xf>
    <xf numFmtId="0" fontId="5" fillId="0" borderId="1" xfId="0" applyFont="1" applyBorder="1" applyAlignment="1">
      <alignment horizontal="center" vertical="center" readingOrder="2"/>
    </xf>
    <xf numFmtId="0" fontId="6" fillId="0" borderId="1" xfId="0" applyFont="1" applyBorder="1" applyAlignment="1">
      <alignment horizontal="center" vertical="center" wrapText="1" readingOrder="2"/>
    </xf>
    <xf numFmtId="0" fontId="5" fillId="0" borderId="1" xfId="0" applyFont="1" applyFill="1" applyBorder="1" applyAlignment="1">
      <alignment horizontal="center" vertical="center" readingOrder="2"/>
    </xf>
    <xf numFmtId="0" fontId="6" fillId="0" borderId="1" xfId="0" applyFont="1" applyFill="1" applyBorder="1" applyAlignment="1">
      <alignment horizontal="center" vertical="center" wrapText="1" readingOrder="2"/>
    </xf>
    <xf numFmtId="0" fontId="6" fillId="0" borderId="7" xfId="0" applyFont="1" applyFill="1" applyBorder="1" applyAlignment="1">
      <alignment horizontal="center" vertical="center" wrapText="1" readingOrder="2"/>
    </xf>
    <xf numFmtId="44" fontId="1" fillId="0" borderId="7" xfId="1" applyNumberFormat="1" applyFill="1" applyBorder="1" applyAlignment="1">
      <alignment horizontal="center" vertical="center" wrapText="1"/>
    </xf>
    <xf numFmtId="0" fontId="7" fillId="0" borderId="7" xfId="0" applyFont="1" applyFill="1" applyBorder="1" applyAlignment="1">
      <alignment horizontal="center" vertical="center" wrapText="1" readingOrder="2"/>
    </xf>
    <xf numFmtId="0" fontId="14" fillId="0" borderId="7" xfId="0" applyFont="1" applyFill="1" applyBorder="1" applyAlignment="1">
      <alignment horizontal="center" vertical="center" wrapText="1" readingOrder="2"/>
    </xf>
    <xf numFmtId="0" fontId="6" fillId="0" borderId="1" xfId="0" applyFont="1" applyFill="1" applyBorder="1" applyAlignment="1">
      <alignment horizontal="center" vertical="center" wrapText="1" readingOrder="2"/>
    </xf>
    <xf numFmtId="0" fontId="8" fillId="0" borderId="1" xfId="0" applyFont="1" applyBorder="1" applyAlignment="1">
      <alignment horizontal="center" vertical="center"/>
    </xf>
    <xf numFmtId="0" fontId="7" fillId="0" borderId="1" xfId="0" applyFont="1" applyFill="1" applyBorder="1" applyAlignment="1">
      <alignment horizontal="center" vertical="center" wrapText="1" readingOrder="2"/>
    </xf>
    <xf numFmtId="0" fontId="4" fillId="0" borderId="5" xfId="0" applyFont="1" applyFill="1" applyBorder="1" applyAlignment="1">
      <alignment horizontal="center" vertical="center" wrapText="1" readingOrder="2"/>
    </xf>
    <xf numFmtId="44" fontId="1" fillId="0" borderId="5" xfId="1" applyNumberFormat="1" applyFill="1" applyBorder="1" applyAlignment="1">
      <alignment horizontal="center" vertical="center" wrapText="1"/>
    </xf>
    <xf numFmtId="0" fontId="6" fillId="0" borderId="5" xfId="0" applyFont="1" applyFill="1" applyBorder="1" applyAlignment="1">
      <alignment horizontal="center" vertical="center" wrapText="1" readingOrder="2"/>
    </xf>
    <xf numFmtId="0" fontId="7" fillId="0" borderId="5" xfId="0" applyFont="1" applyFill="1" applyBorder="1" applyAlignment="1">
      <alignment horizontal="center" vertical="center" wrapText="1" readingOrder="2"/>
    </xf>
    <xf numFmtId="0" fontId="4" fillId="0" borderId="5" xfId="0" applyFont="1" applyFill="1" applyBorder="1" applyAlignment="1">
      <alignment horizontal="center" vertical="center" wrapText="1" readingOrder="2"/>
    </xf>
    <xf numFmtId="0" fontId="4" fillId="0" borderId="7" xfId="0" applyFont="1" applyFill="1" applyBorder="1" applyAlignment="1">
      <alignment horizontal="center" vertical="center" wrapText="1" readingOrder="2"/>
    </xf>
    <xf numFmtId="0" fontId="4" fillId="0" borderId="1" xfId="0" applyFont="1" applyFill="1" applyBorder="1" applyAlignment="1">
      <alignment horizontal="center" vertical="center" wrapText="1" readingOrder="2"/>
    </xf>
    <xf numFmtId="166" fontId="5" fillId="0" borderId="7" xfId="0" applyNumberFormat="1" applyFont="1" applyFill="1" applyBorder="1" applyAlignment="1">
      <alignment horizontal="center" vertical="center" wrapText="1" readingOrder="2"/>
    </xf>
    <xf numFmtId="166" fontId="5" fillId="0" borderId="1" xfId="0" applyNumberFormat="1" applyFont="1" applyFill="1" applyBorder="1" applyAlignment="1">
      <alignment horizontal="center" vertical="center" wrapText="1" readingOrder="2"/>
    </xf>
    <xf numFmtId="166" fontId="5" fillId="0" borderId="5" xfId="0" applyNumberFormat="1" applyFont="1" applyFill="1" applyBorder="1" applyAlignment="1">
      <alignment horizontal="center" vertical="center" wrapText="1" readingOrder="2"/>
    </xf>
    <xf numFmtId="0" fontId="9" fillId="6" borderId="1" xfId="2" applyNumberFormat="1" applyFont="1" applyFill="1" applyBorder="1" applyAlignment="1">
      <alignment horizontal="center" vertical="center" wrapText="1" readingOrder="2"/>
    </xf>
    <xf numFmtId="166" fontId="5" fillId="0" borderId="5" xfId="0" applyNumberFormat="1" applyFont="1" applyBorder="1" applyAlignment="1">
      <alignment vertical="center" wrapText="1" readingOrder="2"/>
    </xf>
    <xf numFmtId="166" fontId="5" fillId="0" borderId="7" xfId="0" applyNumberFormat="1" applyFont="1" applyBorder="1" applyAlignment="1">
      <alignment vertical="center" wrapText="1" readingOrder="2"/>
    </xf>
    <xf numFmtId="0" fontId="7" fillId="0" borderId="5" xfId="0" applyFont="1" applyFill="1" applyBorder="1" applyAlignment="1">
      <alignment horizontal="center" vertical="center" wrapText="1" readingOrder="2"/>
    </xf>
    <xf numFmtId="0" fontId="6" fillId="0" borderId="5" xfId="0" applyFont="1" applyFill="1" applyBorder="1" applyAlignment="1">
      <alignment horizontal="center" vertical="center" wrapText="1" readingOrder="2"/>
    </xf>
    <xf numFmtId="0" fontId="4" fillId="0" borderId="5" xfId="0" applyFont="1" applyFill="1" applyBorder="1" applyAlignment="1">
      <alignment horizontal="center" vertical="center" wrapText="1" readingOrder="2"/>
    </xf>
    <xf numFmtId="44" fontId="1" fillId="0" borderId="5" xfId="1" applyNumberFormat="1" applyFill="1" applyBorder="1" applyAlignment="1">
      <alignment horizontal="center" vertical="center" wrapText="1"/>
    </xf>
    <xf numFmtId="166" fontId="5" fillId="0" borderId="5" xfId="0" applyNumberFormat="1" applyFont="1" applyFill="1" applyBorder="1" applyAlignment="1">
      <alignment horizontal="center" vertical="center" wrapText="1" readingOrder="2"/>
    </xf>
    <xf numFmtId="0" fontId="5" fillId="0" borderId="5" xfId="0" applyFont="1" applyFill="1" applyBorder="1" applyAlignment="1">
      <alignment horizontal="center" vertical="center" wrapText="1" readingOrder="2"/>
    </xf>
    <xf numFmtId="0" fontId="4" fillId="0" borderId="1" xfId="0" applyFont="1" applyBorder="1" applyAlignment="1">
      <alignment horizontal="center" vertical="center" wrapText="1" readingOrder="2"/>
    </xf>
    <xf numFmtId="0" fontId="5" fillId="0" borderId="1" xfId="0" applyFont="1" applyBorder="1" applyAlignment="1">
      <alignment horizontal="center" vertical="center" readingOrder="2"/>
    </xf>
    <xf numFmtId="0" fontId="6" fillId="0" borderId="1" xfId="0" applyFont="1" applyBorder="1" applyAlignment="1">
      <alignment horizontal="center" vertical="center" wrapText="1" readingOrder="2"/>
    </xf>
    <xf numFmtId="0" fontId="5" fillId="0" borderId="1" xfId="0" applyFont="1" applyFill="1" applyBorder="1" applyAlignment="1">
      <alignment horizontal="center" vertical="center" readingOrder="2"/>
    </xf>
    <xf numFmtId="0" fontId="6" fillId="0" borderId="1" xfId="0" applyFont="1" applyFill="1" applyBorder="1" applyAlignment="1">
      <alignment horizontal="center" vertical="center" wrapText="1" readingOrder="2"/>
    </xf>
    <xf numFmtId="0" fontId="13" fillId="0" borderId="5" xfId="0" applyFont="1" applyFill="1" applyBorder="1" applyAlignment="1">
      <alignment horizontal="center" vertical="center" wrapText="1" readingOrder="2"/>
    </xf>
    <xf numFmtId="0" fontId="4" fillId="0" borderId="5" xfId="0" applyFont="1" applyFill="1" applyBorder="1" applyAlignment="1">
      <alignment horizontal="center" vertical="center" wrapText="1" readingOrder="2"/>
    </xf>
    <xf numFmtId="44" fontId="1" fillId="0" borderId="5" xfId="1" applyNumberFormat="1" applyFill="1" applyBorder="1" applyAlignment="1">
      <alignment horizontal="center" vertical="center" wrapText="1"/>
    </xf>
    <xf numFmtId="0" fontId="7" fillId="0" borderId="5" xfId="0" applyFont="1" applyFill="1" applyBorder="1" applyAlignment="1">
      <alignment horizontal="center" vertical="center" wrapText="1" readingOrder="2"/>
    </xf>
    <xf numFmtId="0" fontId="6" fillId="0" borderId="5" xfId="0" applyFont="1" applyFill="1" applyBorder="1" applyAlignment="1">
      <alignment horizontal="center" vertical="center" wrapText="1" readingOrder="2"/>
    </xf>
    <xf numFmtId="166" fontId="5" fillId="0" borderId="5" xfId="0" applyNumberFormat="1" applyFont="1" applyFill="1" applyBorder="1" applyAlignment="1">
      <alignment horizontal="center" vertical="center" wrapText="1" readingOrder="2"/>
    </xf>
    <xf numFmtId="0" fontId="5" fillId="0" borderId="1" xfId="0" applyFont="1" applyFill="1" applyBorder="1" applyAlignment="1">
      <alignment horizontal="center" vertical="center" readingOrder="2"/>
    </xf>
    <xf numFmtId="0" fontId="6" fillId="0" borderId="1" xfId="0" applyFont="1" applyFill="1" applyBorder="1" applyAlignment="1">
      <alignment horizontal="center" vertical="center" wrapText="1" readingOrder="2"/>
    </xf>
    <xf numFmtId="0" fontId="4" fillId="0" borderId="1" xfId="0" applyFont="1" applyBorder="1" applyAlignment="1">
      <alignment horizontal="center" vertical="center" wrapText="1" readingOrder="2"/>
    </xf>
    <xf numFmtId="0" fontId="5" fillId="0" borderId="1" xfId="0" applyFont="1" applyBorder="1" applyAlignment="1">
      <alignment horizontal="center" vertical="center" readingOrder="2"/>
    </xf>
    <xf numFmtId="0" fontId="6" fillId="0" borderId="1" xfId="0" applyFont="1" applyBorder="1" applyAlignment="1">
      <alignment horizontal="center" vertical="center" wrapText="1" readingOrder="2"/>
    </xf>
    <xf numFmtId="0" fontId="6" fillId="0" borderId="5" xfId="0" applyFont="1" applyFill="1" applyBorder="1" applyAlignment="1">
      <alignment horizontal="center" vertical="center" wrapText="1" readingOrder="2"/>
    </xf>
    <xf numFmtId="0" fontId="4" fillId="0" borderId="5" xfId="0" applyFont="1" applyFill="1" applyBorder="1" applyAlignment="1">
      <alignment horizontal="center" vertical="center" wrapText="1" readingOrder="2"/>
    </xf>
    <xf numFmtId="44" fontId="1" fillId="0" borderId="5" xfId="1" applyNumberFormat="1" applyFill="1" applyBorder="1" applyAlignment="1">
      <alignment horizontal="center" vertical="center" wrapText="1"/>
    </xf>
    <xf numFmtId="0" fontId="7" fillId="0" borderId="5" xfId="0" applyFont="1" applyFill="1" applyBorder="1" applyAlignment="1">
      <alignment horizontal="center" vertical="center" wrapText="1" readingOrder="2"/>
    </xf>
    <xf numFmtId="166" fontId="5" fillId="0" borderId="5" xfId="0" applyNumberFormat="1" applyFont="1" applyFill="1" applyBorder="1" applyAlignment="1">
      <alignment horizontal="center" vertical="center" wrapText="1" readingOrder="2"/>
    </xf>
    <xf numFmtId="44" fontId="1" fillId="0" borderId="5" xfId="1" applyNumberFormat="1" applyFill="1" applyBorder="1" applyAlignment="1">
      <alignment horizontal="center" vertical="center" wrapText="1"/>
    </xf>
    <xf numFmtId="0" fontId="4" fillId="0" borderId="5" xfId="0" applyFont="1" applyFill="1" applyBorder="1" applyAlignment="1">
      <alignment horizontal="center" vertical="center" wrapText="1" readingOrder="2"/>
    </xf>
    <xf numFmtId="0" fontId="7" fillId="0" borderId="5" xfId="0" applyFont="1" applyFill="1" applyBorder="1" applyAlignment="1">
      <alignment horizontal="center" vertical="center" wrapText="1" readingOrder="2"/>
    </xf>
    <xf numFmtId="0" fontId="6" fillId="0" borderId="5" xfId="0" applyFont="1" applyFill="1" applyBorder="1" applyAlignment="1">
      <alignment horizontal="center" vertical="center" wrapText="1" readingOrder="2"/>
    </xf>
    <xf numFmtId="166" fontId="5" fillId="0" borderId="5" xfId="0" applyNumberFormat="1" applyFont="1" applyFill="1" applyBorder="1" applyAlignment="1">
      <alignment horizontal="center" vertical="center" wrapText="1" readingOrder="2"/>
    </xf>
    <xf numFmtId="0" fontId="9" fillId="8" borderId="1" xfId="2" applyNumberFormat="1" applyFont="1" applyFill="1" applyBorder="1" applyAlignment="1">
      <alignment horizontal="center" vertical="center" wrapText="1" readingOrder="2"/>
    </xf>
    <xf numFmtId="0" fontId="9" fillId="0" borderId="1" xfId="2" applyNumberFormat="1" applyFont="1" applyFill="1" applyBorder="1" applyAlignment="1">
      <alignment horizontal="center" vertical="center" wrapText="1" readingOrder="2"/>
    </xf>
    <xf numFmtId="0" fontId="4" fillId="0" borderId="5" xfId="0" applyFont="1" applyFill="1" applyBorder="1" applyAlignment="1">
      <alignment horizontal="center" vertical="center" wrapText="1" readingOrder="2"/>
    </xf>
    <xf numFmtId="44" fontId="1" fillId="0" borderId="5" xfId="1" applyNumberFormat="1" applyFill="1" applyBorder="1" applyAlignment="1">
      <alignment horizontal="center" vertical="center" wrapText="1"/>
    </xf>
    <xf numFmtId="0" fontId="6" fillId="0" borderId="5" xfId="0" applyFont="1" applyFill="1" applyBorder="1" applyAlignment="1">
      <alignment horizontal="center" vertical="center" wrapText="1" readingOrder="2"/>
    </xf>
    <xf numFmtId="0" fontId="7" fillId="0" borderId="5" xfId="0" applyFont="1" applyFill="1" applyBorder="1" applyAlignment="1">
      <alignment horizontal="center" vertical="center" wrapText="1" readingOrder="2"/>
    </xf>
    <xf numFmtId="0" fontId="9" fillId="0" borderId="5" xfId="2" applyFont="1" applyFill="1" applyBorder="1" applyAlignment="1">
      <alignment horizontal="center" vertical="center" wrapText="1" readingOrder="2"/>
    </xf>
    <xf numFmtId="167" fontId="5" fillId="0" borderId="5" xfId="0" applyNumberFormat="1" applyFont="1" applyFill="1" applyBorder="1" applyAlignment="1">
      <alignment horizontal="center" vertical="center" wrapText="1" readingOrder="2"/>
    </xf>
    <xf numFmtId="167" fontId="9" fillId="6" borderId="1" xfId="2" applyNumberFormat="1" applyFont="1" applyFill="1" applyBorder="1" applyAlignment="1">
      <alignment horizontal="center" vertical="center" wrapText="1" readingOrder="2"/>
    </xf>
    <xf numFmtId="49" fontId="5" fillId="5" borderId="2" xfId="0" applyNumberFormat="1" applyFont="1" applyFill="1" applyBorder="1" applyAlignment="1">
      <alignment horizontal="center" vertical="center" readingOrder="2"/>
    </xf>
    <xf numFmtId="49" fontId="5" fillId="5" borderId="3" xfId="0" applyNumberFormat="1" applyFont="1" applyFill="1" applyBorder="1" applyAlignment="1">
      <alignment horizontal="center" vertical="center" readingOrder="2"/>
    </xf>
    <xf numFmtId="49" fontId="5" fillId="5" borderId="4" xfId="0" applyNumberFormat="1" applyFont="1" applyFill="1" applyBorder="1" applyAlignment="1">
      <alignment horizontal="center" vertical="center" readingOrder="2"/>
    </xf>
    <xf numFmtId="0" fontId="5" fillId="0" borderId="5" xfId="0" applyFont="1" applyFill="1" applyBorder="1" applyAlignment="1">
      <alignment horizontal="center" vertical="center" readingOrder="2"/>
    </xf>
    <xf numFmtId="0" fontId="5" fillId="0" borderId="6" xfId="0" applyFont="1" applyFill="1" applyBorder="1" applyAlignment="1">
      <alignment horizontal="center" vertical="center" readingOrder="2"/>
    </xf>
    <xf numFmtId="0" fontId="4" fillId="0" borderId="2" xfId="0" applyFont="1" applyFill="1" applyBorder="1" applyAlignment="1">
      <alignment horizontal="right" vertical="center" wrapText="1" readingOrder="2"/>
    </xf>
    <xf numFmtId="0" fontId="4" fillId="0" borderId="3" xfId="0" applyFont="1" applyFill="1" applyBorder="1" applyAlignment="1">
      <alignment horizontal="right" vertical="center" wrapText="1" readingOrder="2"/>
    </xf>
    <xf numFmtId="0" fontId="4" fillId="0" borderId="4" xfId="0" applyFont="1" applyFill="1" applyBorder="1" applyAlignment="1">
      <alignment horizontal="right" vertical="center" wrapText="1" readingOrder="2"/>
    </xf>
    <xf numFmtId="0" fontId="5" fillId="0" borderId="7" xfId="0" applyFont="1" applyFill="1" applyBorder="1" applyAlignment="1">
      <alignment horizontal="center" vertical="center" readingOrder="2"/>
    </xf>
    <xf numFmtId="0" fontId="4" fillId="0" borderId="1" xfId="0" applyFont="1" applyFill="1" applyBorder="1" applyAlignment="1">
      <alignment horizontal="right" vertical="center" wrapText="1" readingOrder="2"/>
    </xf>
    <xf numFmtId="0" fontId="6" fillId="0" borderId="5" xfId="0" applyFont="1" applyFill="1" applyBorder="1" applyAlignment="1">
      <alignment horizontal="center" vertical="center" wrapText="1" readingOrder="2"/>
    </xf>
    <xf numFmtId="0" fontId="6" fillId="0" borderId="6" xfId="0" applyFont="1" applyFill="1" applyBorder="1" applyAlignment="1">
      <alignment horizontal="center" vertical="center" wrapText="1" readingOrder="2"/>
    </xf>
    <xf numFmtId="0" fontId="4" fillId="0" borderId="5" xfId="0" applyFont="1" applyFill="1" applyBorder="1" applyAlignment="1">
      <alignment horizontal="center" vertical="center" wrapText="1" readingOrder="2"/>
    </xf>
    <xf numFmtId="0" fontId="4" fillId="0" borderId="6" xfId="0" applyFont="1" applyFill="1" applyBorder="1" applyAlignment="1">
      <alignment horizontal="center" vertical="center" wrapText="1" readingOrder="2"/>
    </xf>
    <xf numFmtId="166" fontId="5" fillId="0" borderId="5" xfId="0" applyNumberFormat="1" applyFont="1" applyFill="1" applyBorder="1" applyAlignment="1">
      <alignment horizontal="center" vertical="center" wrapText="1" readingOrder="2"/>
    </xf>
    <xf numFmtId="166" fontId="5" fillId="0" borderId="6" xfId="0" applyNumberFormat="1" applyFont="1" applyFill="1" applyBorder="1" applyAlignment="1">
      <alignment horizontal="center" vertical="center" wrapText="1" readingOrder="2"/>
    </xf>
    <xf numFmtId="44" fontId="1" fillId="0" borderId="5" xfId="1" applyNumberFormat="1" applyFill="1" applyBorder="1" applyAlignment="1">
      <alignment horizontal="center" vertical="center" wrapText="1"/>
    </xf>
    <xf numFmtId="44" fontId="1" fillId="0" borderId="6" xfId="1" applyNumberFormat="1" applyFill="1" applyBorder="1" applyAlignment="1">
      <alignment horizontal="center" vertical="center" wrapText="1"/>
    </xf>
    <xf numFmtId="0" fontId="7" fillId="0" borderId="5" xfId="0" applyFont="1" applyFill="1" applyBorder="1" applyAlignment="1">
      <alignment horizontal="center" vertical="center" wrapText="1" readingOrder="2"/>
    </xf>
    <xf numFmtId="0" fontId="7" fillId="0" borderId="6" xfId="0" applyFont="1" applyFill="1" applyBorder="1" applyAlignment="1">
      <alignment horizontal="center" vertical="center" wrapText="1" readingOrder="2"/>
    </xf>
    <xf numFmtId="0" fontId="9" fillId="0" borderId="5" xfId="2" applyFont="1" applyFill="1" applyBorder="1" applyAlignment="1">
      <alignment horizontal="center" vertical="center" wrapText="1" readingOrder="2"/>
    </xf>
    <xf numFmtId="0" fontId="9" fillId="0" borderId="6" xfId="2" applyFont="1" applyFill="1" applyBorder="1" applyAlignment="1">
      <alignment horizontal="center" vertical="center" wrapText="1" readingOrder="2"/>
    </xf>
    <xf numFmtId="0" fontId="0" fillId="0" borderId="1" xfId="0" applyBorder="1" applyAlignment="1">
      <alignment horizontal="center" readingOrder="2"/>
    </xf>
    <xf numFmtId="0" fontId="3" fillId="4" borderId="1" xfId="0" applyFont="1" applyFill="1" applyBorder="1" applyAlignment="1">
      <alignment horizontal="center" vertical="center" readingOrder="2"/>
    </xf>
    <xf numFmtId="0" fontId="4" fillId="4" borderId="1" xfId="0" applyFont="1" applyFill="1" applyBorder="1" applyAlignment="1">
      <alignment horizontal="right" vertical="center" wrapText="1" readingOrder="2"/>
    </xf>
    <xf numFmtId="0" fontId="5" fillId="0" borderId="1" xfId="0" applyFont="1" applyFill="1" applyBorder="1" applyAlignment="1">
      <alignment horizontal="right" vertical="center" readingOrder="2"/>
    </xf>
    <xf numFmtId="0" fontId="4" fillId="0" borderId="1" xfId="0" applyFont="1" applyFill="1" applyBorder="1" applyAlignment="1">
      <alignment horizontal="right" vertical="center" readingOrder="2"/>
    </xf>
    <xf numFmtId="0" fontId="5" fillId="0" borderId="5" xfId="0" applyFont="1" applyBorder="1" applyAlignment="1">
      <alignment horizontal="center" vertical="center" readingOrder="2"/>
    </xf>
    <xf numFmtId="0" fontId="5" fillId="0" borderId="7" xfId="0" applyFont="1" applyBorder="1" applyAlignment="1">
      <alignment horizontal="center" vertical="center" readingOrder="2"/>
    </xf>
    <xf numFmtId="0" fontId="5" fillId="0" borderId="6" xfId="0" applyFont="1" applyBorder="1" applyAlignment="1">
      <alignment horizontal="center" vertical="center" readingOrder="2"/>
    </xf>
    <xf numFmtId="0" fontId="6" fillId="0" borderId="5" xfId="0" applyFont="1" applyBorder="1" applyAlignment="1">
      <alignment horizontal="center" vertical="center" wrapText="1" readingOrder="2"/>
    </xf>
    <xf numFmtId="0" fontId="6" fillId="0" borderId="7" xfId="0" applyFont="1" applyBorder="1" applyAlignment="1">
      <alignment horizontal="center" vertical="center" wrapText="1" readingOrder="2"/>
    </xf>
    <xf numFmtId="0" fontId="6" fillId="0" borderId="6" xfId="0" applyFont="1" applyBorder="1" applyAlignment="1">
      <alignment horizontal="center" vertical="center" wrapText="1" readingOrder="2"/>
    </xf>
    <xf numFmtId="0" fontId="4" fillId="0" borderId="7" xfId="0" applyFont="1" applyFill="1" applyBorder="1" applyAlignment="1">
      <alignment horizontal="center" vertical="center" wrapText="1" readingOrder="2"/>
    </xf>
    <xf numFmtId="166" fontId="5" fillId="0" borderId="5" xfId="0" applyNumberFormat="1" applyFont="1" applyBorder="1" applyAlignment="1">
      <alignment horizontal="center" vertical="center" wrapText="1" readingOrder="2"/>
    </xf>
    <xf numFmtId="166" fontId="5" fillId="0" borderId="7" xfId="0" applyNumberFormat="1" applyFont="1" applyBorder="1" applyAlignment="1">
      <alignment horizontal="center" vertical="center" wrapText="1" readingOrder="2"/>
    </xf>
    <xf numFmtId="166" fontId="5" fillId="0" borderId="6" xfId="0" applyNumberFormat="1" applyFont="1" applyBorder="1" applyAlignment="1">
      <alignment horizontal="center" vertical="center" wrapText="1" readingOrder="2"/>
    </xf>
    <xf numFmtId="44" fontId="1" fillId="0" borderId="7" xfId="1" applyNumberFormat="1" applyFill="1" applyBorder="1" applyAlignment="1">
      <alignment horizontal="center" vertical="center" wrapText="1"/>
    </xf>
    <xf numFmtId="0" fontId="7" fillId="0" borderId="5" xfId="4" applyNumberFormat="1" applyFont="1" applyBorder="1" applyAlignment="1">
      <alignment horizontal="center" vertical="center" wrapText="1" readingOrder="2"/>
    </xf>
    <xf numFmtId="0" fontId="7" fillId="0" borderId="7" xfId="4" applyNumberFormat="1" applyFont="1" applyBorder="1" applyAlignment="1">
      <alignment horizontal="center" vertical="center" wrapText="1" readingOrder="2"/>
    </xf>
    <xf numFmtId="0" fontId="7" fillId="0" borderId="6" xfId="4" applyNumberFormat="1" applyFont="1" applyBorder="1" applyAlignment="1">
      <alignment horizontal="center" vertical="center" wrapText="1" readingOrder="2"/>
    </xf>
    <xf numFmtId="0" fontId="6" fillId="0" borderId="7" xfId="0" applyFont="1" applyFill="1" applyBorder="1" applyAlignment="1">
      <alignment horizontal="center" vertical="center" wrapText="1" readingOrder="2"/>
    </xf>
    <xf numFmtId="0" fontId="20" fillId="0" borderId="5" xfId="0" applyFont="1" applyFill="1" applyBorder="1" applyAlignment="1">
      <alignment horizontal="center" vertical="center" wrapText="1" readingOrder="2"/>
    </xf>
    <xf numFmtId="0" fontId="20" fillId="0" borderId="7" xfId="0" applyFont="1" applyFill="1" applyBorder="1" applyAlignment="1">
      <alignment horizontal="center" vertical="center" wrapText="1" readingOrder="2"/>
    </xf>
    <xf numFmtId="166" fontId="20" fillId="0" borderId="5" xfId="0" applyNumberFormat="1" applyFont="1" applyFill="1" applyBorder="1" applyAlignment="1">
      <alignment horizontal="center" vertical="center" wrapText="1" readingOrder="2"/>
    </xf>
    <xf numFmtId="166" fontId="20" fillId="0" borderId="7" xfId="0" applyNumberFormat="1" applyFont="1" applyFill="1" applyBorder="1" applyAlignment="1">
      <alignment horizontal="center" vertical="center" wrapText="1" readingOrder="2"/>
    </xf>
    <xf numFmtId="0" fontId="7" fillId="0" borderId="7" xfId="0" applyFont="1" applyFill="1" applyBorder="1" applyAlignment="1">
      <alignment horizontal="center" vertical="center" wrapText="1" readingOrder="2"/>
    </xf>
    <xf numFmtId="166" fontId="4" fillId="0" borderId="5" xfId="0" applyNumberFormat="1" applyFont="1" applyBorder="1" applyAlignment="1">
      <alignment horizontal="center" vertical="center" wrapText="1" readingOrder="2"/>
    </xf>
    <xf numFmtId="166" fontId="4" fillId="0" borderId="7" xfId="0" applyNumberFormat="1" applyFont="1" applyBorder="1" applyAlignment="1">
      <alignment horizontal="center" vertical="center" wrapText="1" readingOrder="2"/>
    </xf>
    <xf numFmtId="166" fontId="5" fillId="0" borderId="7" xfId="0" applyNumberFormat="1" applyFont="1" applyFill="1" applyBorder="1" applyAlignment="1">
      <alignment horizontal="center" vertical="center" wrapText="1" readingOrder="2"/>
    </xf>
    <xf numFmtId="166" fontId="4" fillId="0" borderId="6" xfId="0" applyNumberFormat="1" applyFont="1" applyBorder="1" applyAlignment="1">
      <alignment horizontal="center" vertical="center" wrapText="1" readingOrder="2"/>
    </xf>
    <xf numFmtId="0" fontId="4" fillId="0" borderId="2" xfId="0" applyFont="1" applyBorder="1" applyAlignment="1">
      <alignment horizontal="center" vertical="center" wrapText="1" readingOrder="2"/>
    </xf>
    <xf numFmtId="0" fontId="4" fillId="0" borderId="3" xfId="0" applyFont="1" applyBorder="1" applyAlignment="1">
      <alignment horizontal="center" vertical="center" wrapText="1" readingOrder="2"/>
    </xf>
    <xf numFmtId="0" fontId="4" fillId="0" borderId="4" xfId="0" applyFont="1" applyBorder="1" applyAlignment="1">
      <alignment horizontal="center" vertical="center" wrapText="1" readingOrder="2"/>
    </xf>
    <xf numFmtId="0" fontId="7" fillId="0" borderId="5" xfId="0" applyFont="1" applyBorder="1" applyAlignment="1">
      <alignment horizontal="center" vertical="center" wrapText="1" readingOrder="2"/>
    </xf>
    <xf numFmtId="0" fontId="7" fillId="0" borderId="7" xfId="0" applyFont="1" applyBorder="1" applyAlignment="1">
      <alignment horizontal="center" vertical="center" wrapText="1" readingOrder="2"/>
    </xf>
    <xf numFmtId="0" fontId="7" fillId="0" borderId="6" xfId="0" applyFont="1" applyBorder="1" applyAlignment="1">
      <alignment horizontal="center" vertical="center" wrapText="1" readingOrder="2"/>
    </xf>
    <xf numFmtId="166" fontId="20" fillId="0" borderId="6" xfId="0" applyNumberFormat="1" applyFont="1" applyFill="1" applyBorder="1" applyAlignment="1">
      <alignment horizontal="center" vertical="center" wrapText="1" readingOrder="2"/>
    </xf>
    <xf numFmtId="0" fontId="14" fillId="0" borderId="5" xfId="0" applyFont="1" applyBorder="1" applyAlignment="1">
      <alignment horizontal="center" vertical="center" wrapText="1" readingOrder="2"/>
    </xf>
    <xf numFmtId="0" fontId="14" fillId="0" borderId="7" xfId="0" applyFont="1" applyBorder="1" applyAlignment="1">
      <alignment horizontal="center" vertical="center" wrapText="1" readingOrder="2"/>
    </xf>
    <xf numFmtId="0" fontId="14" fillId="0" borderId="6" xfId="0" applyFont="1" applyBorder="1" applyAlignment="1">
      <alignment horizontal="center" vertical="center" wrapText="1" readingOrder="2"/>
    </xf>
    <xf numFmtId="0" fontId="20" fillId="0" borderId="6" xfId="0" applyFont="1" applyFill="1" applyBorder="1" applyAlignment="1">
      <alignment horizontal="center" vertical="center" wrapText="1" readingOrder="2"/>
    </xf>
    <xf numFmtId="0" fontId="14" fillId="0" borderId="5" xfId="0" applyFont="1" applyFill="1" applyBorder="1" applyAlignment="1">
      <alignment horizontal="center" vertical="center" wrapText="1" readingOrder="2"/>
    </xf>
    <xf numFmtId="0" fontId="14" fillId="0" borderId="7" xfId="0" applyFont="1" applyFill="1" applyBorder="1" applyAlignment="1">
      <alignment horizontal="center" vertical="center" wrapText="1" readingOrder="2"/>
    </xf>
    <xf numFmtId="0" fontId="14" fillId="0" borderId="6" xfId="0" applyFont="1" applyFill="1" applyBorder="1" applyAlignment="1">
      <alignment horizontal="center" vertical="center" wrapText="1" readingOrder="2"/>
    </xf>
    <xf numFmtId="166" fontId="4" fillId="0" borderId="5" xfId="0" applyNumberFormat="1" applyFont="1" applyFill="1" applyBorder="1" applyAlignment="1">
      <alignment horizontal="center" vertical="center" wrapText="1" readingOrder="2"/>
    </xf>
    <xf numFmtId="166" fontId="4" fillId="0" borderId="7" xfId="0" applyNumberFormat="1" applyFont="1" applyFill="1" applyBorder="1" applyAlignment="1">
      <alignment horizontal="center" vertical="center" wrapText="1" readingOrder="2"/>
    </xf>
    <xf numFmtId="166" fontId="4" fillId="0" borderId="6" xfId="0" applyNumberFormat="1" applyFont="1" applyFill="1" applyBorder="1" applyAlignment="1">
      <alignment horizontal="center" vertical="center" wrapText="1" readingOrder="2"/>
    </xf>
    <xf numFmtId="0" fontId="8" fillId="0" borderId="5" xfId="0" applyFont="1" applyBorder="1" applyAlignment="1">
      <alignment horizontal="center" vertical="center"/>
    </xf>
    <xf numFmtId="0" fontId="8" fillId="0" borderId="7" xfId="0" applyFont="1" applyBorder="1" applyAlignment="1">
      <alignment horizontal="center" vertical="center"/>
    </xf>
    <xf numFmtId="0" fontId="8" fillId="0" borderId="6" xfId="0" applyFont="1" applyBorder="1" applyAlignment="1">
      <alignment horizontal="center" vertical="center"/>
    </xf>
    <xf numFmtId="0" fontId="7" fillId="0" borderId="5" xfId="0" applyNumberFormat="1" applyFont="1" applyBorder="1" applyAlignment="1">
      <alignment horizontal="center" vertical="center" wrapText="1" readingOrder="2"/>
    </xf>
    <xf numFmtId="0" fontId="7" fillId="0" borderId="7" xfId="0" applyNumberFormat="1" applyFont="1" applyBorder="1" applyAlignment="1">
      <alignment horizontal="center" vertical="center" wrapText="1" readingOrder="2"/>
    </xf>
    <xf numFmtId="0" fontId="7" fillId="0" borderId="6" xfId="0" applyNumberFormat="1" applyFont="1" applyBorder="1" applyAlignment="1">
      <alignment horizontal="center" vertical="center" wrapText="1" readingOrder="2"/>
    </xf>
    <xf numFmtId="0" fontId="4" fillId="0" borderId="2" xfId="0" applyFont="1" applyBorder="1" applyAlignment="1">
      <alignment horizontal="right" vertical="center" wrapText="1" readingOrder="2"/>
    </xf>
    <xf numFmtId="0" fontId="4" fillId="0" borderId="3" xfId="0" applyFont="1" applyBorder="1" applyAlignment="1">
      <alignment horizontal="right" vertical="center" wrapText="1" readingOrder="2"/>
    </xf>
    <xf numFmtId="0" fontId="4" fillId="0" borderId="4" xfId="0" applyFont="1" applyBorder="1" applyAlignment="1">
      <alignment horizontal="right" vertical="center" wrapText="1" readingOrder="2"/>
    </xf>
    <xf numFmtId="3" fontId="7" fillId="0" borderId="5" xfId="0" applyNumberFormat="1" applyFont="1" applyBorder="1" applyAlignment="1">
      <alignment horizontal="center" vertical="center" wrapText="1" readingOrder="2"/>
    </xf>
    <xf numFmtId="3" fontId="7" fillId="0" borderId="7" xfId="0" applyNumberFormat="1" applyFont="1" applyBorder="1" applyAlignment="1">
      <alignment horizontal="center" vertical="center" wrapText="1" readingOrder="2"/>
    </xf>
    <xf numFmtId="3" fontId="7" fillId="0" borderId="6" xfId="0" applyNumberFormat="1" applyFont="1" applyBorder="1" applyAlignment="1">
      <alignment horizontal="center" vertical="center" wrapText="1" readingOrder="2"/>
    </xf>
    <xf numFmtId="0" fontId="5" fillId="0" borderId="5" xfId="0" applyFont="1" applyFill="1" applyBorder="1" applyAlignment="1">
      <alignment horizontal="center" vertical="center" wrapText="1" readingOrder="2"/>
    </xf>
    <xf numFmtId="0" fontId="5" fillId="0" borderId="7" xfId="0" applyFont="1" applyFill="1" applyBorder="1" applyAlignment="1">
      <alignment horizontal="center" vertical="center" wrapText="1" readingOrder="2"/>
    </xf>
    <xf numFmtId="49" fontId="5" fillId="5" borderId="1" xfId="0" applyNumberFormat="1" applyFont="1" applyFill="1" applyBorder="1" applyAlignment="1">
      <alignment horizontal="center" vertical="center" readingOrder="2"/>
    </xf>
    <xf numFmtId="0" fontId="4" fillId="0" borderId="1" xfId="0" applyFont="1" applyBorder="1" applyAlignment="1">
      <alignment horizontal="center" vertical="center" wrapText="1" readingOrder="2"/>
    </xf>
    <xf numFmtId="166" fontId="4" fillId="0" borderId="1" xfId="0" applyNumberFormat="1" applyFont="1" applyBorder="1" applyAlignment="1">
      <alignment horizontal="center" vertical="center" wrapText="1" readingOrder="2"/>
    </xf>
    <xf numFmtId="0" fontId="5" fillId="0" borderId="1" xfId="0" applyFont="1" applyBorder="1" applyAlignment="1">
      <alignment horizontal="center" vertical="center" readingOrder="2"/>
    </xf>
    <xf numFmtId="0" fontId="6" fillId="0" borderId="1" xfId="0" applyFont="1" applyBorder="1" applyAlignment="1">
      <alignment horizontal="center" vertical="center" wrapText="1" readingOrder="2"/>
    </xf>
    <xf numFmtId="44" fontId="1" fillId="0" borderId="1" xfId="1" applyNumberFormat="1" applyFill="1" applyBorder="1" applyAlignment="1">
      <alignment horizontal="center" vertical="center" wrapText="1"/>
    </xf>
    <xf numFmtId="0" fontId="7" fillId="0" borderId="1" xfId="0" applyFont="1" applyBorder="1" applyAlignment="1">
      <alignment horizontal="center" vertical="center" wrapText="1" readingOrder="2"/>
    </xf>
    <xf numFmtId="0" fontId="4" fillId="0" borderId="1" xfId="0" applyFont="1" applyBorder="1" applyAlignment="1">
      <alignment horizontal="right" vertical="center" wrapText="1" readingOrder="2"/>
    </xf>
    <xf numFmtId="0" fontId="5" fillId="0" borderId="1" xfId="0" applyFont="1" applyFill="1" applyBorder="1" applyAlignment="1">
      <alignment horizontal="center" vertical="center" readingOrder="2"/>
    </xf>
    <xf numFmtId="0" fontId="6" fillId="0" borderId="1" xfId="0" applyFont="1" applyFill="1" applyBorder="1" applyAlignment="1">
      <alignment horizontal="center" vertical="center" wrapText="1" readingOrder="2"/>
    </xf>
    <xf numFmtId="0" fontId="4" fillId="0" borderId="1" xfId="0" applyFont="1" applyFill="1" applyBorder="1" applyAlignment="1">
      <alignment horizontal="center" vertical="center" wrapText="1" readingOrder="2"/>
    </xf>
    <xf numFmtId="166" fontId="4" fillId="0" borderId="1" xfId="0" applyNumberFormat="1" applyFont="1" applyFill="1" applyBorder="1" applyAlignment="1">
      <alignment horizontal="center" vertical="center" wrapText="1" readingOrder="2"/>
    </xf>
    <xf numFmtId="0" fontId="8" fillId="0" borderId="1" xfId="0" applyFont="1" applyBorder="1" applyAlignment="1">
      <alignment horizontal="center" vertical="center"/>
    </xf>
    <xf numFmtId="0" fontId="7" fillId="0" borderId="1" xfId="0" applyFont="1" applyFill="1" applyBorder="1" applyAlignment="1">
      <alignment horizontal="center" vertical="center" wrapText="1" readingOrder="2"/>
    </xf>
    <xf numFmtId="0" fontId="5" fillId="0" borderId="6" xfId="0" applyFont="1" applyFill="1" applyBorder="1" applyAlignment="1">
      <alignment horizontal="center" vertical="center" wrapText="1" readingOrder="2"/>
    </xf>
    <xf numFmtId="0" fontId="12" fillId="0" borderId="5" xfId="0" applyFont="1" applyFill="1" applyBorder="1" applyAlignment="1">
      <alignment horizontal="center" vertical="center" wrapText="1" readingOrder="2"/>
    </xf>
    <xf numFmtId="0" fontId="12" fillId="0" borderId="7" xfId="0" applyFont="1" applyFill="1" applyBorder="1" applyAlignment="1">
      <alignment horizontal="center" vertical="center" wrapText="1" readingOrder="2"/>
    </xf>
    <xf numFmtId="0" fontId="12" fillId="0" borderId="6" xfId="0" applyFont="1" applyFill="1" applyBorder="1" applyAlignment="1">
      <alignment horizontal="center" vertical="center" wrapText="1" readingOrder="2"/>
    </xf>
    <xf numFmtId="0" fontId="5" fillId="0" borderId="10" xfId="0" applyFont="1" applyFill="1" applyBorder="1" applyAlignment="1">
      <alignment horizontal="center" vertical="center" readingOrder="2"/>
    </xf>
    <xf numFmtId="0" fontId="5" fillId="0" borderId="8" xfId="0" applyFont="1" applyFill="1" applyBorder="1" applyAlignment="1">
      <alignment horizontal="center" vertical="center" readingOrder="2"/>
    </xf>
    <xf numFmtId="0" fontId="13" fillId="0" borderId="5" xfId="0" applyFont="1" applyFill="1" applyBorder="1" applyAlignment="1">
      <alignment horizontal="center" vertical="center" wrapText="1" readingOrder="2"/>
    </xf>
    <xf numFmtId="0" fontId="13" fillId="0" borderId="7" xfId="0" applyFont="1" applyFill="1" applyBorder="1" applyAlignment="1">
      <alignment horizontal="center" vertical="center" wrapText="1" readingOrder="2"/>
    </xf>
    <xf numFmtId="0" fontId="13" fillId="0" borderId="6" xfId="0" applyFont="1" applyFill="1" applyBorder="1" applyAlignment="1">
      <alignment horizontal="center" vertical="center" wrapText="1" readingOrder="2"/>
    </xf>
    <xf numFmtId="0" fontId="4" fillId="0" borderId="2" xfId="0" applyFont="1" applyFill="1" applyBorder="1" applyAlignment="1">
      <alignment horizontal="center" vertical="center" wrapText="1" readingOrder="2"/>
    </xf>
    <xf numFmtId="0" fontId="4" fillId="0" borderId="3" xfId="0" applyFont="1" applyFill="1" applyBorder="1" applyAlignment="1">
      <alignment horizontal="center" vertical="center" wrapText="1" readingOrder="2"/>
    </xf>
    <xf numFmtId="0" fontId="4" fillId="0" borderId="4" xfId="0" applyFont="1" applyFill="1" applyBorder="1" applyAlignment="1">
      <alignment horizontal="center" vertical="center" wrapText="1" readingOrder="2"/>
    </xf>
    <xf numFmtId="0" fontId="19" fillId="0" borderId="5" xfId="0" applyFont="1" applyFill="1" applyBorder="1" applyAlignment="1">
      <alignment horizontal="center" vertical="center" wrapText="1" readingOrder="2"/>
    </xf>
    <xf numFmtId="0" fontId="19" fillId="0" borderId="7" xfId="0" applyFont="1" applyFill="1" applyBorder="1" applyAlignment="1">
      <alignment horizontal="center" vertical="center" wrapText="1" readingOrder="2"/>
    </xf>
    <xf numFmtId="0" fontId="8" fillId="0" borderId="0" xfId="0" applyFont="1" applyAlignment="1">
      <alignment horizontal="center" vertical="center"/>
    </xf>
    <xf numFmtId="0" fontId="22" fillId="0" borderId="5" xfId="0" applyFont="1" applyFill="1" applyBorder="1" applyAlignment="1">
      <alignment horizontal="center" vertical="center" wrapText="1" readingOrder="2"/>
    </xf>
    <xf numFmtId="0" fontId="22" fillId="0" borderId="7" xfId="0" applyFont="1" applyFill="1" applyBorder="1" applyAlignment="1">
      <alignment horizontal="center" vertical="center" wrapText="1" readingOrder="2"/>
    </xf>
    <xf numFmtId="0" fontId="22" fillId="0" borderId="6" xfId="0" applyFont="1" applyFill="1" applyBorder="1" applyAlignment="1">
      <alignment horizontal="center" vertical="center" wrapText="1" readingOrder="2"/>
    </xf>
  </cellXfs>
  <cellStyles count="5">
    <cellStyle name="Comma" xfId="4" builtinId="3"/>
    <cellStyle name="Normal" xfId="0" builtinId="0"/>
    <cellStyle name="Percent" xfId="3" builtinId="5"/>
    <cellStyle name="טוב" xfId="1" builtinId="26"/>
    <cellStyle name="רע" xfId="2" builtinId="27"/>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15575C-E4C1-4B1D-B681-C05245949815}">
  <sheetPr>
    <pageSetUpPr fitToPage="1"/>
  </sheetPr>
  <dimension ref="A1:Q50"/>
  <sheetViews>
    <sheetView rightToLeft="1" zoomScale="85" zoomScaleNormal="85" workbookViewId="0">
      <selection activeCell="A50" sqref="A50:XFD50"/>
    </sheetView>
  </sheetViews>
  <sheetFormatPr defaultColWidth="8.75" defaultRowHeight="15" x14ac:dyDescent="0.2"/>
  <cols>
    <col min="1" max="1" width="4.25" customWidth="1"/>
    <col min="2" max="2" width="21.125" style="9" bestFit="1" customWidth="1"/>
    <col min="4" max="4" width="7.25" customWidth="1"/>
    <col min="5" max="5" width="7.75" customWidth="1"/>
    <col min="6" max="6" width="10.25" bestFit="1" customWidth="1"/>
    <col min="7" max="7" width="12.125" style="10" bestFit="1" customWidth="1"/>
    <col min="8" max="8" width="13.625" style="11" bestFit="1" customWidth="1"/>
    <col min="9" max="9" width="16" style="11" bestFit="1" customWidth="1"/>
    <col min="10" max="10" width="9" customWidth="1"/>
    <col min="11" max="11" width="12.875" style="12" customWidth="1"/>
    <col min="12" max="12" width="19.375" style="12" customWidth="1"/>
    <col min="13" max="13" width="15" style="12" customWidth="1"/>
    <col min="14" max="14" width="10.875" style="13" customWidth="1"/>
    <col min="15" max="15" width="13" style="14" customWidth="1"/>
  </cols>
  <sheetData>
    <row r="1" spans="1:17" ht="20.25" x14ac:dyDescent="0.2">
      <c r="A1" s="354"/>
      <c r="B1" s="355" t="s">
        <v>1163</v>
      </c>
      <c r="C1" s="355"/>
      <c r="D1" s="355"/>
      <c r="E1" s="355"/>
      <c r="F1" s="355"/>
      <c r="G1" s="355"/>
      <c r="H1" s="355"/>
      <c r="I1" s="355"/>
      <c r="J1" s="355"/>
      <c r="K1" s="355"/>
      <c r="L1" s="355"/>
      <c r="M1" s="355"/>
      <c r="N1" s="355"/>
      <c r="O1" s="355"/>
    </row>
    <row r="2" spans="1:17" ht="14.25" x14ac:dyDescent="0.2">
      <c r="A2" s="354"/>
      <c r="B2" s="356" t="s">
        <v>1005</v>
      </c>
      <c r="C2" s="356"/>
      <c r="D2" s="356"/>
      <c r="E2" s="356"/>
      <c r="F2" s="356"/>
      <c r="G2" s="356"/>
      <c r="H2" s="356"/>
      <c r="I2" s="356"/>
      <c r="J2" s="356"/>
      <c r="K2" s="356"/>
      <c r="L2" s="356"/>
      <c r="M2" s="356"/>
      <c r="N2" s="356"/>
      <c r="O2" s="356"/>
    </row>
    <row r="3" spans="1:17" ht="15.75" x14ac:dyDescent="0.2">
      <c r="A3" s="354"/>
      <c r="B3" s="357" t="s">
        <v>663</v>
      </c>
      <c r="C3" s="357"/>
      <c r="D3" s="357"/>
      <c r="E3" s="357"/>
      <c r="F3" s="357"/>
      <c r="G3" s="357"/>
      <c r="H3" s="357"/>
      <c r="I3" s="357"/>
      <c r="J3" s="357"/>
      <c r="K3" s="357"/>
      <c r="L3" s="357"/>
      <c r="M3" s="357"/>
      <c r="N3" s="357"/>
      <c r="O3" s="357"/>
    </row>
    <row r="4" spans="1:17" ht="14.25" x14ac:dyDescent="0.2">
      <c r="A4" s="354"/>
      <c r="B4" s="358" t="s">
        <v>71</v>
      </c>
      <c r="C4" s="358"/>
      <c r="D4" s="358"/>
      <c r="E4" s="358"/>
      <c r="F4" s="358"/>
      <c r="G4" s="358"/>
      <c r="H4" s="358"/>
      <c r="I4" s="358"/>
      <c r="J4" s="358"/>
      <c r="K4" s="358"/>
      <c r="L4" s="358"/>
      <c r="M4" s="358"/>
      <c r="N4" s="358"/>
      <c r="O4" s="358"/>
    </row>
    <row r="5" spans="1:17" ht="14.25" x14ac:dyDescent="0.2">
      <c r="A5" s="354"/>
      <c r="B5" s="358" t="s">
        <v>70</v>
      </c>
      <c r="C5" s="358"/>
      <c r="D5" s="358"/>
      <c r="E5" s="358"/>
      <c r="F5" s="358"/>
      <c r="G5" s="358"/>
      <c r="H5" s="358"/>
      <c r="I5" s="358"/>
      <c r="J5" s="358"/>
      <c r="K5" s="358"/>
      <c r="L5" s="358"/>
      <c r="M5" s="358"/>
      <c r="N5" s="358"/>
      <c r="O5" s="358"/>
    </row>
    <row r="6" spans="1:17" ht="46.5" customHeight="1" x14ac:dyDescent="0.2">
      <c r="A6" s="354"/>
      <c r="B6" s="308" t="s">
        <v>1</v>
      </c>
      <c r="C6" s="311" t="s">
        <v>2</v>
      </c>
      <c r="D6" s="3" t="s">
        <v>3</v>
      </c>
      <c r="E6" s="3" t="s">
        <v>4</v>
      </c>
      <c r="F6" s="3" t="s">
        <v>5</v>
      </c>
      <c r="G6" s="3" t="s">
        <v>6</v>
      </c>
      <c r="H6" s="4" t="s">
        <v>7</v>
      </c>
      <c r="I6" s="5" t="s">
        <v>8</v>
      </c>
      <c r="J6" s="3" t="s">
        <v>9</v>
      </c>
      <c r="K6" s="3" t="s">
        <v>10</v>
      </c>
      <c r="L6" s="3" t="s">
        <v>525</v>
      </c>
      <c r="M6" s="310" t="s">
        <v>526</v>
      </c>
      <c r="N6" s="175" t="s">
        <v>11</v>
      </c>
      <c r="O6" s="3" t="s">
        <v>12</v>
      </c>
    </row>
    <row r="7" spans="1:17" ht="15.75" x14ac:dyDescent="0.2">
      <c r="A7" s="332" t="s">
        <v>1119</v>
      </c>
      <c r="B7" s="333"/>
      <c r="C7" s="333"/>
      <c r="D7" s="333"/>
      <c r="E7" s="333"/>
      <c r="F7" s="333"/>
      <c r="G7" s="333"/>
      <c r="H7" s="333"/>
      <c r="I7" s="333"/>
      <c r="J7" s="333"/>
      <c r="K7" s="333"/>
      <c r="L7" s="333"/>
      <c r="M7" s="333"/>
      <c r="N7" s="333"/>
      <c r="O7" s="334"/>
    </row>
    <row r="8" spans="1:17" ht="38.25" x14ac:dyDescent="0.2">
      <c r="A8" s="359">
        <v>1</v>
      </c>
      <c r="B8" s="362" t="s">
        <v>1118</v>
      </c>
      <c r="C8" s="362" t="s">
        <v>1120</v>
      </c>
      <c r="D8" s="80" t="s">
        <v>1121</v>
      </c>
      <c r="E8" s="81">
        <v>100</v>
      </c>
      <c r="F8" s="82" t="s">
        <v>13</v>
      </c>
      <c r="G8" s="82" t="s">
        <v>1122</v>
      </c>
      <c r="H8" s="82">
        <f>200</f>
        <v>200</v>
      </c>
      <c r="I8" s="82">
        <f>H8*48*12</f>
        <v>115200</v>
      </c>
      <c r="J8" s="80" t="s">
        <v>14</v>
      </c>
      <c r="K8" s="344" t="s">
        <v>18</v>
      </c>
      <c r="L8" s="344" t="s">
        <v>1166</v>
      </c>
      <c r="M8" s="366">
        <f>180*40*12</f>
        <v>86400</v>
      </c>
      <c r="N8" s="348" t="s">
        <v>22</v>
      </c>
      <c r="O8" s="370"/>
      <c r="P8" s="13"/>
      <c r="Q8" s="14"/>
    </row>
    <row r="9" spans="1:17" ht="38.25" x14ac:dyDescent="0.2">
      <c r="A9" s="360"/>
      <c r="B9" s="363"/>
      <c r="C9" s="363"/>
      <c r="D9" s="312" t="s">
        <v>1125</v>
      </c>
      <c r="E9" s="236">
        <v>80</v>
      </c>
      <c r="F9" s="171" t="s">
        <v>13</v>
      </c>
      <c r="G9" s="171" t="s">
        <v>1122</v>
      </c>
      <c r="H9" s="171">
        <f>250*117/100</f>
        <v>292.5</v>
      </c>
      <c r="I9" s="171">
        <f t="shared" ref="I9:I11" si="0">H9*48*12</f>
        <v>168480</v>
      </c>
      <c r="J9" s="312" t="s">
        <v>14</v>
      </c>
      <c r="K9" s="365"/>
      <c r="L9" s="365"/>
      <c r="M9" s="367"/>
      <c r="N9" s="369"/>
      <c r="O9" s="371"/>
      <c r="P9" s="13"/>
      <c r="Q9" s="14"/>
    </row>
    <row r="10" spans="1:17" ht="38.25" x14ac:dyDescent="0.2">
      <c r="A10" s="360"/>
      <c r="B10" s="363"/>
      <c r="C10" s="363"/>
      <c r="D10" s="312" t="s">
        <v>1123</v>
      </c>
      <c r="E10" s="236">
        <v>70</v>
      </c>
      <c r="F10" s="171" t="s">
        <v>13</v>
      </c>
      <c r="G10" s="171" t="s">
        <v>1122</v>
      </c>
      <c r="H10" s="171">
        <f>300*117/100</f>
        <v>351</v>
      </c>
      <c r="I10" s="171">
        <f t="shared" si="0"/>
        <v>202176</v>
      </c>
      <c r="J10" s="312" t="s">
        <v>14</v>
      </c>
      <c r="K10" s="365"/>
      <c r="L10" s="365"/>
      <c r="M10" s="367"/>
      <c r="N10" s="369"/>
      <c r="O10" s="371"/>
      <c r="P10" s="13"/>
      <c r="Q10" s="14"/>
    </row>
    <row r="11" spans="1:17" ht="38.25" x14ac:dyDescent="0.2">
      <c r="A11" s="360"/>
      <c r="B11" s="364"/>
      <c r="C11" s="364"/>
      <c r="D11" s="312" t="s">
        <v>1124</v>
      </c>
      <c r="E11" s="236">
        <v>67</v>
      </c>
      <c r="F11" s="171" t="s">
        <v>13</v>
      </c>
      <c r="G11" s="171" t="s">
        <v>1122</v>
      </c>
      <c r="H11" s="171">
        <f>320*117/100</f>
        <v>374.4</v>
      </c>
      <c r="I11" s="171">
        <f t="shared" si="0"/>
        <v>215654.39999999997</v>
      </c>
      <c r="J11" s="312" t="s">
        <v>14</v>
      </c>
      <c r="K11" s="345"/>
      <c r="L11" s="345"/>
      <c r="M11" s="368"/>
      <c r="N11" s="349"/>
      <c r="O11" s="372"/>
      <c r="P11" s="13"/>
      <c r="Q11" s="14"/>
    </row>
    <row r="12" spans="1:17" ht="15" customHeight="1" x14ac:dyDescent="0.2">
      <c r="A12" s="361"/>
      <c r="B12" s="337"/>
      <c r="C12" s="338"/>
      <c r="D12" s="338"/>
      <c r="E12" s="338"/>
      <c r="F12" s="338"/>
      <c r="G12" s="338"/>
      <c r="H12" s="338"/>
      <c r="I12" s="338"/>
      <c r="J12" s="338"/>
      <c r="K12" s="338"/>
      <c r="L12" s="338"/>
      <c r="M12" s="338"/>
      <c r="N12" s="338"/>
      <c r="O12" s="339"/>
    </row>
    <row r="13" spans="1:17" ht="15.75" x14ac:dyDescent="0.2">
      <c r="A13" s="332" t="s">
        <v>1129</v>
      </c>
      <c r="B13" s="333"/>
      <c r="C13" s="333"/>
      <c r="D13" s="333"/>
      <c r="E13" s="333"/>
      <c r="F13" s="333"/>
      <c r="G13" s="333"/>
      <c r="H13" s="333"/>
      <c r="I13" s="333"/>
      <c r="J13" s="333"/>
      <c r="K13" s="333"/>
      <c r="L13" s="333"/>
      <c r="M13" s="333"/>
      <c r="N13" s="333"/>
      <c r="O13" s="334"/>
    </row>
    <row r="14" spans="1:17" ht="89.25" x14ac:dyDescent="0.2">
      <c r="A14" s="335">
        <v>2</v>
      </c>
      <c r="B14" s="306" t="s">
        <v>1126</v>
      </c>
      <c r="C14" s="306" t="s">
        <v>1130</v>
      </c>
      <c r="D14" s="42" t="s">
        <v>1127</v>
      </c>
      <c r="E14" s="43">
        <v>100</v>
      </c>
      <c r="F14" s="44" t="s">
        <v>17</v>
      </c>
      <c r="G14" s="44" t="s">
        <v>17</v>
      </c>
      <c r="H14" s="44">
        <f>28000*117/100</f>
        <v>32760</v>
      </c>
      <c r="I14" s="44">
        <f>H14</f>
        <v>32760</v>
      </c>
      <c r="J14" s="42"/>
      <c r="K14" s="303" t="s">
        <v>258</v>
      </c>
      <c r="L14" s="303" t="s">
        <v>1153</v>
      </c>
      <c r="M14" s="307"/>
      <c r="N14" s="304" t="s">
        <v>22</v>
      </c>
      <c r="O14" s="305">
        <v>2550032750</v>
      </c>
      <c r="P14" s="13"/>
      <c r="Q14" s="14"/>
    </row>
    <row r="15" spans="1:17" ht="14.25" x14ac:dyDescent="0.2">
      <c r="A15" s="336"/>
      <c r="B15" s="337" t="s">
        <v>1128</v>
      </c>
      <c r="C15" s="338"/>
      <c r="D15" s="338"/>
      <c r="E15" s="338"/>
      <c r="F15" s="338"/>
      <c r="G15" s="338"/>
      <c r="H15" s="338"/>
      <c r="I15" s="338"/>
      <c r="J15" s="338"/>
      <c r="K15" s="338"/>
      <c r="L15" s="338"/>
      <c r="M15" s="338"/>
      <c r="N15" s="338"/>
      <c r="O15" s="339"/>
    </row>
    <row r="16" spans="1:17" ht="15.75" x14ac:dyDescent="0.2">
      <c r="A16" s="332" t="s">
        <v>1131</v>
      </c>
      <c r="B16" s="333"/>
      <c r="C16" s="333"/>
      <c r="D16" s="333"/>
      <c r="E16" s="333"/>
      <c r="F16" s="333"/>
      <c r="G16" s="333"/>
      <c r="H16" s="333"/>
      <c r="I16" s="333"/>
      <c r="J16" s="333"/>
      <c r="K16" s="333"/>
      <c r="L16" s="333"/>
      <c r="M16" s="333"/>
      <c r="N16" s="333"/>
      <c r="O16" s="334"/>
    </row>
    <row r="17" spans="1:15" ht="38.25" x14ac:dyDescent="0.2">
      <c r="A17" s="359">
        <v>3</v>
      </c>
      <c r="B17" s="362" t="s">
        <v>1132</v>
      </c>
      <c r="C17" s="362" t="s">
        <v>78</v>
      </c>
      <c r="D17" s="16" t="s">
        <v>1133</v>
      </c>
      <c r="E17" s="17">
        <v>100</v>
      </c>
      <c r="F17" s="18" t="s">
        <v>17</v>
      </c>
      <c r="G17" s="21" t="s">
        <v>17</v>
      </c>
      <c r="H17" s="21">
        <f>10000*117/100</f>
        <v>11700</v>
      </c>
      <c r="I17" s="21">
        <f>H17</f>
        <v>11700</v>
      </c>
      <c r="J17" s="16" t="s">
        <v>14</v>
      </c>
      <c r="K17" s="344" t="s">
        <v>18</v>
      </c>
      <c r="L17" s="344" t="s">
        <v>529</v>
      </c>
      <c r="M17" s="366">
        <f>I17</f>
        <v>11700</v>
      </c>
      <c r="N17" s="348" t="s">
        <v>22</v>
      </c>
      <c r="O17" s="370">
        <v>213018275</v>
      </c>
    </row>
    <row r="18" spans="1:15" ht="38.25" x14ac:dyDescent="0.2">
      <c r="A18" s="360"/>
      <c r="B18" s="363"/>
      <c r="C18" s="363"/>
      <c r="D18" s="23" t="s">
        <v>1134</v>
      </c>
      <c r="E18" s="32">
        <v>88</v>
      </c>
      <c r="F18" s="171" t="s">
        <v>17</v>
      </c>
      <c r="G18" s="15" t="s">
        <v>17</v>
      </c>
      <c r="H18" s="15">
        <f>12000*117/100</f>
        <v>14040</v>
      </c>
      <c r="I18" s="15">
        <f>H18</f>
        <v>14040</v>
      </c>
      <c r="J18" s="312" t="s">
        <v>14</v>
      </c>
      <c r="K18" s="365"/>
      <c r="L18" s="365"/>
      <c r="M18" s="367"/>
      <c r="N18" s="369"/>
      <c r="O18" s="371"/>
    </row>
    <row r="19" spans="1:15" ht="38.25" x14ac:dyDescent="0.2">
      <c r="A19" s="360"/>
      <c r="B19" s="363"/>
      <c r="C19" s="363"/>
      <c r="D19" s="309" t="s">
        <v>1135</v>
      </c>
      <c r="E19" s="7">
        <v>76</v>
      </c>
      <c r="F19" s="8" t="s">
        <v>17</v>
      </c>
      <c r="G19" s="15" t="s">
        <v>17</v>
      </c>
      <c r="H19" s="15">
        <f>12000*117/100</f>
        <v>14040</v>
      </c>
      <c r="I19" s="15">
        <f t="shared" ref="I19:I20" si="1">H19</f>
        <v>14040</v>
      </c>
      <c r="J19" s="309" t="s">
        <v>14</v>
      </c>
      <c r="K19" s="365"/>
      <c r="L19" s="365"/>
      <c r="M19" s="367"/>
      <c r="N19" s="369"/>
      <c r="O19" s="371"/>
    </row>
    <row r="20" spans="1:15" ht="38.25" x14ac:dyDescent="0.2">
      <c r="A20" s="360"/>
      <c r="B20" s="363"/>
      <c r="C20" s="363"/>
      <c r="D20" s="309" t="s">
        <v>1136</v>
      </c>
      <c r="E20" s="7">
        <v>74</v>
      </c>
      <c r="F20" s="8" t="s">
        <v>17</v>
      </c>
      <c r="G20" s="15" t="s">
        <v>17</v>
      </c>
      <c r="H20" s="15">
        <f>14000*117/100</f>
        <v>16380</v>
      </c>
      <c r="I20" s="15">
        <f t="shared" si="1"/>
        <v>16380</v>
      </c>
      <c r="J20" s="309" t="s">
        <v>14</v>
      </c>
      <c r="K20" s="365"/>
      <c r="L20" s="365"/>
      <c r="M20" s="367"/>
      <c r="N20" s="369"/>
      <c r="O20" s="371"/>
    </row>
    <row r="21" spans="1:15" ht="14.25" x14ac:dyDescent="0.2">
      <c r="A21" s="360"/>
      <c r="B21" s="363"/>
      <c r="C21" s="363"/>
      <c r="D21" s="309" t="s">
        <v>165</v>
      </c>
      <c r="E21" s="7">
        <v>73</v>
      </c>
      <c r="F21" s="8" t="s">
        <v>17</v>
      </c>
      <c r="G21" s="15" t="s">
        <v>17</v>
      </c>
      <c r="H21" s="15">
        <f>14400*117/100</f>
        <v>16848</v>
      </c>
      <c r="I21" s="15">
        <f t="shared" ref="I21:I22" si="2">H21</f>
        <v>16848</v>
      </c>
      <c r="J21" s="309" t="s">
        <v>14</v>
      </c>
      <c r="K21" s="365"/>
      <c r="L21" s="365"/>
      <c r="M21" s="367"/>
      <c r="N21" s="369"/>
      <c r="O21" s="371"/>
    </row>
    <row r="22" spans="1:15" ht="25.5" x14ac:dyDescent="0.2">
      <c r="A22" s="360"/>
      <c r="B22" s="364"/>
      <c r="C22" s="364"/>
      <c r="D22" s="309" t="s">
        <v>945</v>
      </c>
      <c r="E22" s="7">
        <v>68</v>
      </c>
      <c r="F22" s="8" t="s">
        <v>17</v>
      </c>
      <c r="G22" s="15" t="s">
        <v>17</v>
      </c>
      <c r="H22" s="15">
        <f>16000*117/100</f>
        <v>18720</v>
      </c>
      <c r="I22" s="15">
        <f t="shared" si="2"/>
        <v>18720</v>
      </c>
      <c r="J22" s="309" t="s">
        <v>14</v>
      </c>
      <c r="K22" s="345"/>
      <c r="L22" s="345"/>
      <c r="M22" s="368"/>
      <c r="N22" s="349"/>
      <c r="O22" s="372"/>
    </row>
    <row r="23" spans="1:15" ht="14.25" customHeight="1" x14ac:dyDescent="0.2">
      <c r="A23" s="361"/>
      <c r="B23" s="337"/>
      <c r="C23" s="338"/>
      <c r="D23" s="338"/>
      <c r="E23" s="338"/>
      <c r="F23" s="338"/>
      <c r="G23" s="338"/>
      <c r="H23" s="338"/>
      <c r="I23" s="338"/>
      <c r="J23" s="338"/>
      <c r="K23" s="338"/>
      <c r="L23" s="338"/>
      <c r="M23" s="338"/>
      <c r="N23" s="338"/>
      <c r="O23" s="339"/>
    </row>
    <row r="24" spans="1:15" ht="15.75" x14ac:dyDescent="0.2">
      <c r="A24" s="332" t="s">
        <v>1142</v>
      </c>
      <c r="B24" s="333"/>
      <c r="C24" s="333"/>
      <c r="D24" s="333"/>
      <c r="E24" s="333"/>
      <c r="F24" s="333"/>
      <c r="G24" s="333"/>
      <c r="H24" s="333"/>
      <c r="I24" s="333"/>
      <c r="J24" s="333"/>
      <c r="K24" s="333"/>
      <c r="L24" s="333"/>
      <c r="M24" s="333"/>
      <c r="N24" s="333"/>
      <c r="O24" s="334"/>
    </row>
    <row r="25" spans="1:15" ht="76.5" x14ac:dyDescent="0.2">
      <c r="A25" s="335">
        <v>4</v>
      </c>
      <c r="B25" s="306" t="s">
        <v>1140</v>
      </c>
      <c r="C25" s="23" t="s">
        <v>1137</v>
      </c>
      <c r="D25" s="83" t="s">
        <v>1138</v>
      </c>
      <c r="E25" s="323">
        <v>100</v>
      </c>
      <c r="F25" s="84" t="s">
        <v>996</v>
      </c>
      <c r="G25" s="84" t="s">
        <v>1141</v>
      </c>
      <c r="H25" s="84">
        <f>18000</f>
        <v>18000</v>
      </c>
      <c r="I25" s="84">
        <f>H25*6</f>
        <v>108000</v>
      </c>
      <c r="J25" s="86" t="s">
        <v>14</v>
      </c>
      <c r="K25" s="303" t="s">
        <v>1155</v>
      </c>
      <c r="L25" s="303" t="s">
        <v>1154</v>
      </c>
      <c r="M25" s="307">
        <f>H25*0.9*4</f>
        <v>64800</v>
      </c>
      <c r="N25" s="304" t="s">
        <v>22</v>
      </c>
      <c r="O25" s="305"/>
    </row>
    <row r="26" spans="1:15" ht="14.25" customHeight="1" x14ac:dyDescent="0.2">
      <c r="A26" s="336"/>
      <c r="B26" s="337" t="s">
        <v>1139</v>
      </c>
      <c r="C26" s="338"/>
      <c r="D26" s="338"/>
      <c r="E26" s="338"/>
      <c r="F26" s="338"/>
      <c r="G26" s="338"/>
      <c r="H26" s="338"/>
      <c r="I26" s="338"/>
      <c r="J26" s="338"/>
      <c r="K26" s="338"/>
      <c r="L26" s="338"/>
      <c r="M26" s="338"/>
      <c r="N26" s="338"/>
      <c r="O26" s="339"/>
    </row>
    <row r="27" spans="1:15" ht="15.75" x14ac:dyDescent="0.2">
      <c r="A27" s="332" t="s">
        <v>1143</v>
      </c>
      <c r="B27" s="333"/>
      <c r="C27" s="333"/>
      <c r="D27" s="333"/>
      <c r="E27" s="333"/>
      <c r="F27" s="333"/>
      <c r="G27" s="333"/>
      <c r="H27" s="333"/>
      <c r="I27" s="333"/>
      <c r="J27" s="333"/>
      <c r="K27" s="333"/>
      <c r="L27" s="333"/>
      <c r="M27" s="333"/>
      <c r="N27" s="333"/>
      <c r="O27" s="334"/>
    </row>
    <row r="28" spans="1:15" ht="51" x14ac:dyDescent="0.2">
      <c r="A28" s="335">
        <v>5</v>
      </c>
      <c r="B28" s="313" t="s">
        <v>1151</v>
      </c>
      <c r="C28" s="23" t="s">
        <v>1044</v>
      </c>
      <c r="D28" s="16" t="s">
        <v>744</v>
      </c>
      <c r="E28" s="17">
        <v>86</v>
      </c>
      <c r="F28" s="18" t="s">
        <v>57</v>
      </c>
      <c r="G28" s="18" t="s">
        <v>59</v>
      </c>
      <c r="H28" s="18">
        <f>18000*117/100</f>
        <v>21060</v>
      </c>
      <c r="I28" s="18">
        <f>H28*3</f>
        <v>63180</v>
      </c>
      <c r="J28" s="16" t="s">
        <v>14</v>
      </c>
      <c r="K28" s="314" t="s">
        <v>45</v>
      </c>
      <c r="L28" s="314" t="s">
        <v>1164</v>
      </c>
      <c r="M28" s="317">
        <f>I28</f>
        <v>63180</v>
      </c>
      <c r="N28" s="315" t="s">
        <v>22</v>
      </c>
      <c r="O28" s="316">
        <v>1614000550</v>
      </c>
    </row>
    <row r="29" spans="1:15" ht="14.25" customHeight="1" x14ac:dyDescent="0.2">
      <c r="A29" s="336"/>
      <c r="B29" s="337" t="s">
        <v>1152</v>
      </c>
      <c r="C29" s="338"/>
      <c r="D29" s="338"/>
      <c r="E29" s="338"/>
      <c r="F29" s="338"/>
      <c r="G29" s="338"/>
      <c r="H29" s="338"/>
      <c r="I29" s="338"/>
      <c r="J29" s="338"/>
      <c r="K29" s="338"/>
      <c r="L29" s="338"/>
      <c r="M29" s="338"/>
      <c r="N29" s="338"/>
      <c r="O29" s="339"/>
    </row>
    <row r="30" spans="1:15" ht="15.75" x14ac:dyDescent="0.2">
      <c r="A30" s="332" t="s">
        <v>1147</v>
      </c>
      <c r="B30" s="333"/>
      <c r="C30" s="333"/>
      <c r="D30" s="333"/>
      <c r="E30" s="333"/>
      <c r="F30" s="333"/>
      <c r="G30" s="333"/>
      <c r="H30" s="333"/>
      <c r="I30" s="333"/>
      <c r="J30" s="333"/>
      <c r="K30" s="333"/>
      <c r="L30" s="333"/>
      <c r="M30" s="333"/>
      <c r="N30" s="333"/>
      <c r="O30" s="334"/>
    </row>
    <row r="31" spans="1:15" ht="25.5" x14ac:dyDescent="0.2">
      <c r="A31" s="359">
        <v>6</v>
      </c>
      <c r="B31" s="362" t="s">
        <v>1144</v>
      </c>
      <c r="C31" s="362" t="s">
        <v>287</v>
      </c>
      <c r="D31" s="19" t="s">
        <v>316</v>
      </c>
      <c r="E31" s="17">
        <v>100</v>
      </c>
      <c r="F31" s="18" t="s">
        <v>15</v>
      </c>
      <c r="G31" s="18" t="s">
        <v>1145</v>
      </c>
      <c r="H31" s="242">
        <v>2.3E-2</v>
      </c>
      <c r="I31" s="21">
        <f>H31*12500000*117/100</f>
        <v>336375</v>
      </c>
      <c r="J31" s="19" t="s">
        <v>14</v>
      </c>
      <c r="K31" s="344" t="s">
        <v>18</v>
      </c>
      <c r="L31" s="344" t="s">
        <v>529</v>
      </c>
      <c r="M31" s="366">
        <f>I31</f>
        <v>336375</v>
      </c>
      <c r="N31" s="348" t="s">
        <v>22</v>
      </c>
      <c r="O31" s="370" t="s">
        <v>1146</v>
      </c>
    </row>
    <row r="32" spans="1:15" ht="25.5" x14ac:dyDescent="0.2">
      <c r="A32" s="360"/>
      <c r="B32" s="363"/>
      <c r="C32" s="363"/>
      <c r="D32" s="23" t="s">
        <v>324</v>
      </c>
      <c r="E32" s="32">
        <v>99</v>
      </c>
      <c r="F32" s="220" t="s">
        <v>15</v>
      </c>
      <c r="G32" s="220" t="s">
        <v>1145</v>
      </c>
      <c r="H32" s="221">
        <v>2.3400000000000001E-2</v>
      </c>
      <c r="I32" s="222">
        <f>H32*12500000*117/100</f>
        <v>342225</v>
      </c>
      <c r="J32" s="23" t="s">
        <v>14</v>
      </c>
      <c r="K32" s="365"/>
      <c r="L32" s="365"/>
      <c r="M32" s="367"/>
      <c r="N32" s="369"/>
      <c r="O32" s="371"/>
    </row>
    <row r="33" spans="1:17" ht="25.5" x14ac:dyDescent="0.2">
      <c r="A33" s="360"/>
      <c r="B33" s="363"/>
      <c r="C33" s="363"/>
      <c r="D33" s="23" t="s">
        <v>320</v>
      </c>
      <c r="E33" s="32">
        <v>97</v>
      </c>
      <c r="F33" s="220" t="s">
        <v>15</v>
      </c>
      <c r="G33" s="220" t="s">
        <v>1145</v>
      </c>
      <c r="H33" s="221">
        <v>2.4E-2</v>
      </c>
      <c r="I33" s="222">
        <f>H33*12500000*117/100</f>
        <v>351000</v>
      </c>
      <c r="J33" s="23" t="s">
        <v>14</v>
      </c>
      <c r="K33" s="365"/>
      <c r="L33" s="365"/>
      <c r="M33" s="367"/>
      <c r="N33" s="369"/>
      <c r="O33" s="371"/>
    </row>
    <row r="34" spans="1:17" ht="25.5" x14ac:dyDescent="0.2">
      <c r="A34" s="360"/>
      <c r="B34" s="364"/>
      <c r="C34" s="364"/>
      <c r="D34" s="23" t="s">
        <v>911</v>
      </c>
      <c r="E34" s="32">
        <v>84</v>
      </c>
      <c r="F34" s="220" t="s">
        <v>15</v>
      </c>
      <c r="G34" s="220" t="s">
        <v>1145</v>
      </c>
      <c r="H34" s="221">
        <v>0.03</v>
      </c>
      <c r="I34" s="222">
        <f>H34*12500000*117/100</f>
        <v>438750</v>
      </c>
      <c r="J34" s="23" t="s">
        <v>14</v>
      </c>
      <c r="K34" s="345"/>
      <c r="L34" s="345"/>
      <c r="M34" s="368"/>
      <c r="N34" s="349"/>
      <c r="O34" s="372"/>
    </row>
    <row r="35" spans="1:17" ht="14.25" customHeight="1" x14ac:dyDescent="0.2">
      <c r="A35" s="361"/>
      <c r="B35" s="337"/>
      <c r="C35" s="338"/>
      <c r="D35" s="338"/>
      <c r="E35" s="338"/>
      <c r="F35" s="338"/>
      <c r="G35" s="338"/>
      <c r="H35" s="338"/>
      <c r="I35" s="338"/>
      <c r="J35" s="338"/>
      <c r="K35" s="338"/>
      <c r="L35" s="338"/>
      <c r="M35" s="338"/>
      <c r="N35" s="338"/>
      <c r="O35" s="339"/>
    </row>
    <row r="36" spans="1:17" ht="15.75" x14ac:dyDescent="0.2">
      <c r="A36" s="332" t="s">
        <v>1150</v>
      </c>
      <c r="B36" s="333"/>
      <c r="C36" s="333"/>
      <c r="D36" s="333"/>
      <c r="E36" s="333"/>
      <c r="F36" s="333"/>
      <c r="G36" s="333"/>
      <c r="H36" s="333"/>
      <c r="I36" s="333"/>
      <c r="J36" s="333"/>
      <c r="K36" s="333"/>
      <c r="L36" s="333"/>
      <c r="M36" s="333"/>
      <c r="N36" s="333"/>
      <c r="O36" s="334"/>
    </row>
    <row r="37" spans="1:17" ht="38.25" x14ac:dyDescent="0.2">
      <c r="A37" s="335">
        <v>7</v>
      </c>
      <c r="B37" s="313" t="s">
        <v>1148</v>
      </c>
      <c r="C37" s="23" t="s">
        <v>286</v>
      </c>
      <c r="D37" s="83" t="s">
        <v>1149</v>
      </c>
      <c r="E37" s="323">
        <v>100</v>
      </c>
      <c r="F37" s="84" t="s">
        <v>17</v>
      </c>
      <c r="G37" s="84" t="s">
        <v>17</v>
      </c>
      <c r="H37" s="84">
        <f>30000*117/100</f>
        <v>35100</v>
      </c>
      <c r="I37" s="84">
        <f>H37</f>
        <v>35100</v>
      </c>
      <c r="J37" s="86" t="s">
        <v>14</v>
      </c>
      <c r="K37" s="319" t="s">
        <v>45</v>
      </c>
      <c r="L37" s="314" t="s">
        <v>1165</v>
      </c>
      <c r="M37" s="317">
        <f>I37*0.9</f>
        <v>31590</v>
      </c>
      <c r="N37" s="315" t="s">
        <v>22</v>
      </c>
      <c r="O37" s="316"/>
    </row>
    <row r="38" spans="1:17" ht="14.25" customHeight="1" x14ac:dyDescent="0.2">
      <c r="A38" s="336"/>
      <c r="B38" s="337"/>
      <c r="C38" s="338"/>
      <c r="D38" s="338"/>
      <c r="E38" s="338"/>
      <c r="F38" s="338"/>
      <c r="G38" s="338"/>
      <c r="H38" s="338"/>
      <c r="I38" s="338"/>
      <c r="J38" s="338"/>
      <c r="K38" s="338"/>
      <c r="L38" s="338"/>
      <c r="M38" s="338"/>
      <c r="N38" s="338"/>
      <c r="O38" s="339"/>
    </row>
    <row r="39" spans="1:17" s="13" customFormat="1" ht="15.75" x14ac:dyDescent="0.2">
      <c r="A39" s="332" t="s">
        <v>1156</v>
      </c>
      <c r="B39" s="333"/>
      <c r="C39" s="333"/>
      <c r="D39" s="333"/>
      <c r="E39" s="333"/>
      <c r="F39" s="333"/>
      <c r="G39" s="333"/>
      <c r="H39" s="333"/>
      <c r="I39" s="333"/>
      <c r="J39" s="333"/>
      <c r="K39" s="333"/>
      <c r="L39" s="333"/>
      <c r="M39" s="333"/>
      <c r="N39" s="333"/>
      <c r="O39" s="334"/>
      <c r="P39"/>
      <c r="Q39"/>
    </row>
    <row r="40" spans="1:17" s="13" customFormat="1" ht="38.25" x14ac:dyDescent="0.2">
      <c r="A40" s="335">
        <v>8</v>
      </c>
      <c r="B40" s="321" t="s">
        <v>1157</v>
      </c>
      <c r="C40" s="23" t="s">
        <v>286</v>
      </c>
      <c r="D40" s="83" t="s">
        <v>1158</v>
      </c>
      <c r="E40" s="323">
        <v>100</v>
      </c>
      <c r="F40" s="84" t="s">
        <v>17</v>
      </c>
      <c r="G40" s="84" t="s">
        <v>17</v>
      </c>
      <c r="H40" s="84">
        <f>35000*117/100</f>
        <v>40950</v>
      </c>
      <c r="I40" s="84">
        <f>H40</f>
        <v>40950</v>
      </c>
      <c r="J40" s="86" t="s">
        <v>14</v>
      </c>
      <c r="K40" s="319" t="s">
        <v>45</v>
      </c>
      <c r="L40" s="319" t="s">
        <v>1165</v>
      </c>
      <c r="M40" s="322">
        <f>I40*0.9</f>
        <v>36855</v>
      </c>
      <c r="N40" s="318" t="s">
        <v>22</v>
      </c>
      <c r="O40" s="320"/>
      <c r="P40"/>
      <c r="Q40"/>
    </row>
    <row r="41" spans="1:17" ht="14.25" x14ac:dyDescent="0.2">
      <c r="A41" s="336"/>
      <c r="B41" s="337"/>
      <c r="C41" s="338"/>
      <c r="D41" s="338"/>
      <c r="E41" s="338"/>
      <c r="F41" s="338"/>
      <c r="G41" s="338"/>
      <c r="H41" s="338"/>
      <c r="I41" s="338"/>
      <c r="J41" s="338"/>
      <c r="K41" s="338"/>
      <c r="L41" s="338"/>
      <c r="M41" s="338"/>
      <c r="N41" s="338"/>
      <c r="O41" s="339"/>
    </row>
    <row r="42" spans="1:17" s="13" customFormat="1" ht="15.75" x14ac:dyDescent="0.2">
      <c r="A42" s="332" t="s">
        <v>1159</v>
      </c>
      <c r="B42" s="333"/>
      <c r="C42" s="333"/>
      <c r="D42" s="333"/>
      <c r="E42" s="333"/>
      <c r="F42" s="333"/>
      <c r="G42" s="333"/>
      <c r="H42" s="333"/>
      <c r="I42" s="333"/>
      <c r="J42" s="333"/>
      <c r="K42" s="333"/>
      <c r="L42" s="333"/>
      <c r="M42" s="333"/>
      <c r="N42" s="333"/>
      <c r="O42" s="334"/>
      <c r="P42"/>
      <c r="Q42"/>
    </row>
    <row r="43" spans="1:17" s="13" customFormat="1" ht="66.75" customHeight="1" x14ac:dyDescent="0.2">
      <c r="A43" s="335">
        <v>9</v>
      </c>
      <c r="B43" s="342" t="s">
        <v>1160</v>
      </c>
      <c r="C43" s="352" t="s">
        <v>286</v>
      </c>
      <c r="D43" s="20" t="s">
        <v>1161</v>
      </c>
      <c r="E43" s="288"/>
      <c r="F43" s="21" t="s">
        <v>17</v>
      </c>
      <c r="G43" s="21" t="s">
        <v>17</v>
      </c>
      <c r="H43" s="21">
        <f>68220*117/100</f>
        <v>79817.399999999994</v>
      </c>
      <c r="I43" s="21">
        <f>H43</f>
        <v>79817.399999999994</v>
      </c>
      <c r="J43" s="19" t="s">
        <v>14</v>
      </c>
      <c r="K43" s="344" t="s">
        <v>45</v>
      </c>
      <c r="L43" s="344" t="s">
        <v>1171</v>
      </c>
      <c r="M43" s="346">
        <f>64800*117/100</f>
        <v>75816</v>
      </c>
      <c r="N43" s="348" t="s">
        <v>22</v>
      </c>
      <c r="O43" s="350"/>
      <c r="P43"/>
      <c r="Q43"/>
    </row>
    <row r="44" spans="1:17" s="13" customFormat="1" ht="62.25" customHeight="1" x14ac:dyDescent="0.2">
      <c r="A44" s="340"/>
      <c r="B44" s="343"/>
      <c r="C44" s="353"/>
      <c r="D44" s="32" t="s">
        <v>1162</v>
      </c>
      <c r="E44" s="324"/>
      <c r="F44" s="15" t="s">
        <v>97</v>
      </c>
      <c r="G44" s="15"/>
      <c r="H44" s="15">
        <f>500*117/100</f>
        <v>585</v>
      </c>
      <c r="I44" s="15"/>
      <c r="J44" s="23"/>
      <c r="K44" s="345"/>
      <c r="L44" s="345"/>
      <c r="M44" s="347"/>
      <c r="N44" s="349"/>
      <c r="O44" s="351"/>
      <c r="P44"/>
      <c r="Q44"/>
    </row>
    <row r="45" spans="1:17" ht="14.25" x14ac:dyDescent="0.2">
      <c r="A45" s="336"/>
      <c r="B45" s="341"/>
      <c r="C45" s="341"/>
      <c r="D45" s="341"/>
      <c r="E45" s="341"/>
      <c r="F45" s="341"/>
      <c r="G45" s="341"/>
      <c r="H45" s="341"/>
      <c r="I45" s="341"/>
      <c r="J45" s="341"/>
      <c r="K45" s="341"/>
      <c r="L45" s="341"/>
      <c r="M45" s="341"/>
      <c r="N45" s="341"/>
      <c r="O45" s="341"/>
    </row>
    <row r="46" spans="1:17" s="13" customFormat="1" ht="15.75" x14ac:dyDescent="0.2">
      <c r="A46" s="332" t="s">
        <v>1167</v>
      </c>
      <c r="B46" s="333"/>
      <c r="C46" s="333"/>
      <c r="D46" s="333"/>
      <c r="E46" s="333"/>
      <c r="F46" s="333"/>
      <c r="G46" s="333"/>
      <c r="H46" s="333"/>
      <c r="I46" s="333"/>
      <c r="J46" s="333"/>
      <c r="K46" s="333"/>
      <c r="L46" s="333"/>
      <c r="M46" s="333"/>
      <c r="N46" s="333"/>
      <c r="O46" s="334"/>
      <c r="P46"/>
      <c r="Q46"/>
    </row>
    <row r="47" spans="1:17" s="13" customFormat="1" ht="38.25" x14ac:dyDescent="0.2">
      <c r="A47" s="335">
        <v>10</v>
      </c>
      <c r="B47" s="327" t="s">
        <v>1168</v>
      </c>
      <c r="C47" s="329" t="s">
        <v>286</v>
      </c>
      <c r="D47" s="20" t="s">
        <v>1170</v>
      </c>
      <c r="E47" s="288"/>
      <c r="F47" s="21" t="s">
        <v>97</v>
      </c>
      <c r="G47" s="21" t="s">
        <v>1169</v>
      </c>
      <c r="H47" s="331">
        <v>152</v>
      </c>
      <c r="I47" s="331">
        <f>152*48</f>
        <v>7296</v>
      </c>
      <c r="J47" s="19" t="s">
        <v>14</v>
      </c>
      <c r="K47" s="325" t="s">
        <v>45</v>
      </c>
      <c r="L47" s="325" t="s">
        <v>529</v>
      </c>
      <c r="M47" s="330">
        <f>I47</f>
        <v>7296</v>
      </c>
      <c r="N47" s="326"/>
      <c r="O47" s="328"/>
      <c r="P47"/>
      <c r="Q47"/>
    </row>
    <row r="48" spans="1:17" ht="14.25" x14ac:dyDescent="0.2">
      <c r="A48" s="336"/>
      <c r="B48" s="337"/>
      <c r="C48" s="338"/>
      <c r="D48" s="338"/>
      <c r="E48" s="338"/>
      <c r="F48" s="338"/>
      <c r="G48" s="338"/>
      <c r="H48" s="338"/>
      <c r="I48" s="338"/>
      <c r="J48" s="338"/>
      <c r="K48" s="338"/>
      <c r="L48" s="338"/>
      <c r="M48" s="338"/>
      <c r="N48" s="338"/>
      <c r="O48" s="339"/>
    </row>
    <row r="49" spans="1:13" ht="15.75" x14ac:dyDescent="0.2">
      <c r="A49" s="25"/>
      <c r="B49" s="237"/>
      <c r="C49" s="237"/>
      <c r="D49" s="237"/>
      <c r="E49" s="237"/>
      <c r="F49" s="237"/>
      <c r="G49" s="237"/>
      <c r="H49" s="237"/>
      <c r="I49" s="237"/>
      <c r="J49" s="237"/>
      <c r="K49" s="237"/>
      <c r="L49" s="237"/>
      <c r="M49" s="237"/>
    </row>
    <row r="50" spans="1:13" x14ac:dyDescent="0.2">
      <c r="B50" s="28"/>
    </row>
  </sheetData>
  <mergeCells count="64">
    <mergeCell ref="B35:O35"/>
    <mergeCell ref="O31:O34"/>
    <mergeCell ref="N31:N34"/>
    <mergeCell ref="M31:M34"/>
    <mergeCell ref="L31:L34"/>
    <mergeCell ref="K31:K34"/>
    <mergeCell ref="A24:O24"/>
    <mergeCell ref="A25:A26"/>
    <mergeCell ref="B26:O26"/>
    <mergeCell ref="A39:O39"/>
    <mergeCell ref="A40:A41"/>
    <mergeCell ref="B41:O41"/>
    <mergeCell ref="A36:O36"/>
    <mergeCell ref="A37:A38"/>
    <mergeCell ref="B38:O38"/>
    <mergeCell ref="A27:O27"/>
    <mergeCell ref="A28:A29"/>
    <mergeCell ref="B29:O29"/>
    <mergeCell ref="A30:O30"/>
    <mergeCell ref="A31:A35"/>
    <mergeCell ref="B31:B34"/>
    <mergeCell ref="C31:C34"/>
    <mergeCell ref="A16:O16"/>
    <mergeCell ref="A17:A23"/>
    <mergeCell ref="B17:B22"/>
    <mergeCell ref="C17:C22"/>
    <mergeCell ref="K17:K22"/>
    <mergeCell ref="L17:L22"/>
    <mergeCell ref="M17:M22"/>
    <mergeCell ref="N17:N22"/>
    <mergeCell ref="O17:O22"/>
    <mergeCell ref="B23:O23"/>
    <mergeCell ref="A13:O13"/>
    <mergeCell ref="A14:A15"/>
    <mergeCell ref="B15:O15"/>
    <mergeCell ref="A7:O7"/>
    <mergeCell ref="A8:A12"/>
    <mergeCell ref="B8:B11"/>
    <mergeCell ref="C8:C11"/>
    <mergeCell ref="K8:K11"/>
    <mergeCell ref="L8:L11"/>
    <mergeCell ref="M8:M11"/>
    <mergeCell ref="N8:N11"/>
    <mergeCell ref="O8:O11"/>
    <mergeCell ref="B12:O12"/>
    <mergeCell ref="A1:A6"/>
    <mergeCell ref="B1:O1"/>
    <mergeCell ref="B2:O2"/>
    <mergeCell ref="B3:O3"/>
    <mergeCell ref="B4:O4"/>
    <mergeCell ref="B5:O5"/>
    <mergeCell ref="A46:O46"/>
    <mergeCell ref="A47:A48"/>
    <mergeCell ref="B48:O48"/>
    <mergeCell ref="A42:O42"/>
    <mergeCell ref="A43:A45"/>
    <mergeCell ref="B45:O45"/>
    <mergeCell ref="B43:B44"/>
    <mergeCell ref="K43:K44"/>
    <mergeCell ref="L43:L44"/>
    <mergeCell ref="M43:M44"/>
    <mergeCell ref="N43:N44"/>
    <mergeCell ref="O43:O44"/>
    <mergeCell ref="C43:C44"/>
  </mergeCells>
  <pageMargins left="0.25" right="0.25" top="0.75" bottom="0.75" header="0.3" footer="0.3"/>
  <pageSetup paperSize="9" scale="72" fitToHeight="0" orientation="landscape" r:id="rId1"/>
  <rowBreaks count="2" manualBreakCount="2">
    <brk id="23" max="16383" man="1"/>
    <brk id="45" max="1638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Q144"/>
  <sheetViews>
    <sheetView rightToLeft="1" topLeftCell="A127" zoomScaleNormal="100" workbookViewId="0">
      <selection activeCell="A134" sqref="A134:XFD134"/>
    </sheetView>
  </sheetViews>
  <sheetFormatPr defaultColWidth="8.75" defaultRowHeight="15" x14ac:dyDescent="0.2"/>
  <cols>
    <col min="1" max="1" width="4.25" customWidth="1"/>
    <col min="2" max="2" width="21.125" style="9" bestFit="1" customWidth="1"/>
    <col min="4" max="4" width="7.25" customWidth="1"/>
    <col min="5" max="5" width="7.75" customWidth="1"/>
    <col min="6" max="6" width="10.25" bestFit="1" customWidth="1"/>
    <col min="7" max="7" width="12.125" style="10" bestFit="1" customWidth="1"/>
    <col min="8" max="8" width="13.625" style="11" bestFit="1" customWidth="1"/>
    <col min="9" max="9" width="14.625" style="11" bestFit="1" customWidth="1"/>
    <col min="10" max="10" width="9" customWidth="1"/>
    <col min="11" max="11" width="12.875" style="12" customWidth="1"/>
    <col min="12" max="12" width="19.375" style="12" customWidth="1"/>
    <col min="13" max="13" width="15" style="12" customWidth="1"/>
    <col min="14" max="14" width="10.875" style="13" customWidth="1"/>
    <col min="15" max="15" width="13" style="14" customWidth="1"/>
  </cols>
  <sheetData>
    <row r="1" spans="1:15" ht="20.25" x14ac:dyDescent="0.2">
      <c r="A1" s="354"/>
      <c r="B1" s="355" t="s">
        <v>664</v>
      </c>
      <c r="C1" s="355"/>
      <c r="D1" s="355"/>
      <c r="E1" s="355"/>
      <c r="F1" s="355"/>
      <c r="G1" s="355"/>
      <c r="H1" s="355"/>
      <c r="I1" s="355"/>
      <c r="J1" s="355"/>
      <c r="K1" s="355"/>
      <c r="L1" s="355"/>
      <c r="M1" s="355"/>
      <c r="N1" s="355"/>
      <c r="O1" s="355"/>
    </row>
    <row r="2" spans="1:15" ht="14.25" x14ac:dyDescent="0.2">
      <c r="A2" s="354"/>
      <c r="B2" s="356" t="s">
        <v>198</v>
      </c>
      <c r="C2" s="356"/>
      <c r="D2" s="356"/>
      <c r="E2" s="356"/>
      <c r="F2" s="356"/>
      <c r="G2" s="356"/>
      <c r="H2" s="356"/>
      <c r="I2" s="356"/>
      <c r="J2" s="356"/>
      <c r="K2" s="356"/>
      <c r="L2" s="356"/>
      <c r="M2" s="356"/>
      <c r="N2" s="356"/>
      <c r="O2" s="356"/>
    </row>
    <row r="3" spans="1:15" ht="15.75" x14ac:dyDescent="0.2">
      <c r="A3" s="354"/>
      <c r="B3" s="357" t="s">
        <v>663</v>
      </c>
      <c r="C3" s="357"/>
      <c r="D3" s="357"/>
      <c r="E3" s="357"/>
      <c r="F3" s="357"/>
      <c r="G3" s="357"/>
      <c r="H3" s="357"/>
      <c r="I3" s="357"/>
      <c r="J3" s="357"/>
      <c r="K3" s="357"/>
      <c r="L3" s="357"/>
      <c r="M3" s="357"/>
      <c r="N3" s="357"/>
      <c r="O3" s="357"/>
    </row>
    <row r="4" spans="1:15" ht="14.25" x14ac:dyDescent="0.2">
      <c r="A4" s="354"/>
      <c r="B4" s="358" t="s">
        <v>71</v>
      </c>
      <c r="C4" s="358"/>
      <c r="D4" s="358"/>
      <c r="E4" s="358"/>
      <c r="F4" s="358"/>
      <c r="G4" s="358"/>
      <c r="H4" s="358"/>
      <c r="I4" s="358"/>
      <c r="J4" s="358"/>
      <c r="K4" s="358"/>
      <c r="L4" s="358"/>
      <c r="M4" s="358"/>
      <c r="N4" s="358"/>
      <c r="O4" s="358"/>
    </row>
    <row r="5" spans="1:15" ht="14.25" x14ac:dyDescent="0.2">
      <c r="A5" s="354"/>
      <c r="B5" s="358" t="s">
        <v>70</v>
      </c>
      <c r="C5" s="358"/>
      <c r="D5" s="358"/>
      <c r="E5" s="358"/>
      <c r="F5" s="358"/>
      <c r="G5" s="358"/>
      <c r="H5" s="358"/>
      <c r="I5" s="358"/>
      <c r="J5" s="358"/>
      <c r="K5" s="358"/>
      <c r="L5" s="358"/>
      <c r="M5" s="358"/>
      <c r="N5" s="358"/>
      <c r="O5" s="358"/>
    </row>
    <row r="6" spans="1:15" ht="46.5" customHeight="1" x14ac:dyDescent="0.2">
      <c r="A6" s="354"/>
      <c r="B6" s="1" t="s">
        <v>1</v>
      </c>
      <c r="C6" s="2" t="s">
        <v>2</v>
      </c>
      <c r="D6" s="3" t="s">
        <v>3</v>
      </c>
      <c r="E6" s="3" t="s">
        <v>4</v>
      </c>
      <c r="F6" s="3" t="s">
        <v>5</v>
      </c>
      <c r="G6" s="3" t="s">
        <v>6</v>
      </c>
      <c r="H6" s="4" t="s">
        <v>7</v>
      </c>
      <c r="I6" s="5" t="s">
        <v>8</v>
      </c>
      <c r="J6" s="3" t="s">
        <v>9</v>
      </c>
      <c r="K6" s="3" t="s">
        <v>10</v>
      </c>
      <c r="L6" s="3" t="s">
        <v>525</v>
      </c>
      <c r="M6" s="109" t="s">
        <v>526</v>
      </c>
      <c r="N6" s="6" t="s">
        <v>11</v>
      </c>
      <c r="O6" s="3" t="s">
        <v>12</v>
      </c>
    </row>
    <row r="7" spans="1:15" ht="15.75" x14ac:dyDescent="0.2">
      <c r="A7" s="332" t="s">
        <v>563</v>
      </c>
      <c r="B7" s="333"/>
      <c r="C7" s="333"/>
      <c r="D7" s="333"/>
      <c r="E7" s="333"/>
      <c r="F7" s="333"/>
      <c r="G7" s="333"/>
      <c r="H7" s="333"/>
      <c r="I7" s="333"/>
      <c r="J7" s="333"/>
      <c r="K7" s="333"/>
      <c r="L7" s="333"/>
      <c r="M7" s="333"/>
      <c r="N7" s="333"/>
      <c r="O7" s="334"/>
    </row>
    <row r="8" spans="1:15" ht="25.5" customHeight="1" x14ac:dyDescent="0.2">
      <c r="A8" s="335">
        <v>1</v>
      </c>
      <c r="B8" s="342" t="s">
        <v>561</v>
      </c>
      <c r="C8" s="342" t="s">
        <v>287</v>
      </c>
      <c r="D8" s="80" t="s">
        <v>564</v>
      </c>
      <c r="E8" s="81">
        <v>100</v>
      </c>
      <c r="F8" s="82" t="s">
        <v>17</v>
      </c>
      <c r="G8" s="82" t="s">
        <v>17</v>
      </c>
      <c r="H8" s="82">
        <f>20000*117/100</f>
        <v>23400</v>
      </c>
      <c r="I8" s="140">
        <f>H8</f>
        <v>23400</v>
      </c>
      <c r="J8" s="80" t="s">
        <v>14</v>
      </c>
      <c r="K8" s="344" t="s">
        <v>665</v>
      </c>
      <c r="L8" s="429" t="s">
        <v>666</v>
      </c>
      <c r="M8" s="376">
        <f>I8</f>
        <v>23400</v>
      </c>
      <c r="N8" s="348" t="s">
        <v>22</v>
      </c>
      <c r="O8" s="350" t="s">
        <v>562</v>
      </c>
    </row>
    <row r="9" spans="1:15" ht="25.5" x14ac:dyDescent="0.2">
      <c r="A9" s="340"/>
      <c r="B9" s="373"/>
      <c r="C9" s="373"/>
      <c r="D9" s="31" t="s">
        <v>329</v>
      </c>
      <c r="E9" s="7">
        <v>97</v>
      </c>
      <c r="F9" s="8" t="s">
        <v>17</v>
      </c>
      <c r="G9" s="8" t="s">
        <v>17</v>
      </c>
      <c r="H9" s="8">
        <f>20700*117/100</f>
        <v>24219</v>
      </c>
      <c r="I9" s="15">
        <f>H9</f>
        <v>24219</v>
      </c>
      <c r="J9" s="31" t="s">
        <v>14</v>
      </c>
      <c r="K9" s="365"/>
      <c r="L9" s="430"/>
      <c r="M9" s="377"/>
      <c r="N9" s="369"/>
      <c r="O9" s="378"/>
    </row>
    <row r="10" spans="1:15" ht="15" customHeight="1" x14ac:dyDescent="0.2">
      <c r="A10" s="340"/>
      <c r="B10" s="373"/>
      <c r="C10" s="373"/>
      <c r="D10" s="31" t="s">
        <v>565</v>
      </c>
      <c r="E10" s="7">
        <v>93</v>
      </c>
      <c r="F10" s="8" t="s">
        <v>17</v>
      </c>
      <c r="G10" s="8" t="s">
        <v>17</v>
      </c>
      <c r="H10" s="8">
        <f>22500*117/100</f>
        <v>26325</v>
      </c>
      <c r="I10" s="15">
        <f>H10</f>
        <v>26325</v>
      </c>
      <c r="J10" s="31" t="s">
        <v>14</v>
      </c>
      <c r="K10" s="365"/>
      <c r="L10" s="430"/>
      <c r="M10" s="377"/>
      <c r="N10" s="369"/>
      <c r="O10" s="378"/>
    </row>
    <row r="11" spans="1:15" ht="25.5" x14ac:dyDescent="0.2">
      <c r="A11" s="340"/>
      <c r="B11" s="343"/>
      <c r="C11" s="343"/>
      <c r="D11" s="31" t="s">
        <v>566</v>
      </c>
      <c r="E11" s="7">
        <v>87</v>
      </c>
      <c r="F11" s="8" t="s">
        <v>17</v>
      </c>
      <c r="G11" s="8" t="s">
        <v>17</v>
      </c>
      <c r="H11" s="8">
        <f>24350*117/100</f>
        <v>28489.5</v>
      </c>
      <c r="I11" s="15">
        <f>H11</f>
        <v>28489.5</v>
      </c>
      <c r="J11" s="31" t="s">
        <v>14</v>
      </c>
      <c r="K11" s="345"/>
      <c r="L11" s="431"/>
      <c r="M11" s="389"/>
      <c r="N11" s="349"/>
      <c r="O11" s="351"/>
    </row>
    <row r="12" spans="1:15" ht="14.25" customHeight="1" x14ac:dyDescent="0.2">
      <c r="A12" s="336"/>
      <c r="B12" s="337"/>
      <c r="C12" s="338"/>
      <c r="D12" s="338"/>
      <c r="E12" s="338"/>
      <c r="F12" s="338"/>
      <c r="G12" s="338"/>
      <c r="H12" s="338"/>
      <c r="I12" s="338"/>
      <c r="J12" s="338"/>
      <c r="K12" s="338"/>
      <c r="L12" s="338"/>
      <c r="M12" s="338"/>
      <c r="N12" s="338"/>
      <c r="O12" s="339"/>
    </row>
    <row r="13" spans="1:15" ht="15.75" x14ac:dyDescent="0.2">
      <c r="A13" s="332" t="s">
        <v>567</v>
      </c>
      <c r="B13" s="333"/>
      <c r="C13" s="333"/>
      <c r="D13" s="333"/>
      <c r="E13" s="333"/>
      <c r="F13" s="333"/>
      <c r="G13" s="333"/>
      <c r="H13" s="333"/>
      <c r="I13" s="333"/>
      <c r="J13" s="333"/>
      <c r="K13" s="333"/>
      <c r="L13" s="333"/>
      <c r="M13" s="333"/>
      <c r="N13" s="333"/>
      <c r="O13" s="334"/>
    </row>
    <row r="14" spans="1:15" ht="25.5" customHeight="1" x14ac:dyDescent="0.2">
      <c r="A14" s="335">
        <v>2</v>
      </c>
      <c r="B14" s="342" t="s">
        <v>568</v>
      </c>
      <c r="C14" s="342" t="s">
        <v>287</v>
      </c>
      <c r="D14" s="86" t="s">
        <v>482</v>
      </c>
      <c r="E14" s="83">
        <v>100</v>
      </c>
      <c r="F14" s="84" t="s">
        <v>15</v>
      </c>
      <c r="G14" s="84" t="s">
        <v>569</v>
      </c>
      <c r="H14" s="85">
        <v>3.4000000000000002E-2</v>
      </c>
      <c r="I14" s="84">
        <f>H14*3500000*117/100</f>
        <v>139230.00000000003</v>
      </c>
      <c r="J14" s="86" t="s">
        <v>14</v>
      </c>
      <c r="K14" s="429" t="s">
        <v>665</v>
      </c>
      <c r="L14" s="429" t="s">
        <v>666</v>
      </c>
      <c r="M14" s="376">
        <f>I14</f>
        <v>139230.00000000003</v>
      </c>
      <c r="N14" s="348" t="s">
        <v>22</v>
      </c>
      <c r="O14" s="350" t="s">
        <v>562</v>
      </c>
    </row>
    <row r="15" spans="1:15" ht="25.5" x14ac:dyDescent="0.2">
      <c r="A15" s="340"/>
      <c r="B15" s="373"/>
      <c r="C15" s="373"/>
      <c r="D15" s="23" t="s">
        <v>570</v>
      </c>
      <c r="E15" s="32">
        <v>80</v>
      </c>
      <c r="F15" s="8" t="s">
        <v>15</v>
      </c>
      <c r="G15" s="15" t="s">
        <v>569</v>
      </c>
      <c r="H15" s="33">
        <v>4.8000000000000001E-2</v>
      </c>
      <c r="I15" s="15">
        <f>H15*3500000*117/100</f>
        <v>196560</v>
      </c>
      <c r="J15" s="23" t="s">
        <v>14</v>
      </c>
      <c r="K15" s="430"/>
      <c r="L15" s="430"/>
      <c r="M15" s="377"/>
      <c r="N15" s="369"/>
      <c r="O15" s="378"/>
    </row>
    <row r="16" spans="1:15" ht="25.5" x14ac:dyDescent="0.2">
      <c r="A16" s="340"/>
      <c r="B16" s="373"/>
      <c r="C16" s="373"/>
      <c r="D16" s="23" t="s">
        <v>571</v>
      </c>
      <c r="E16" s="32">
        <v>72</v>
      </c>
      <c r="F16" s="8" t="s">
        <v>15</v>
      </c>
      <c r="G16" s="15" t="s">
        <v>569</v>
      </c>
      <c r="H16" s="33">
        <v>5.6000000000000001E-2</v>
      </c>
      <c r="I16" s="15">
        <f t="shared" ref="I16:I17" si="0">H16*3500000*117/100</f>
        <v>229320</v>
      </c>
      <c r="J16" s="23" t="s">
        <v>14</v>
      </c>
      <c r="K16" s="430"/>
      <c r="L16" s="430"/>
      <c r="M16" s="377"/>
      <c r="N16" s="369"/>
      <c r="O16" s="378"/>
    </row>
    <row r="17" spans="1:15" ht="25.5" x14ac:dyDescent="0.2">
      <c r="A17" s="340"/>
      <c r="B17" s="373"/>
      <c r="C17" s="373"/>
      <c r="D17" s="23" t="s">
        <v>572</v>
      </c>
      <c r="E17" s="32">
        <v>60</v>
      </c>
      <c r="F17" s="8" t="s">
        <v>15</v>
      </c>
      <c r="G17" s="15" t="s">
        <v>569</v>
      </c>
      <c r="H17" s="33">
        <v>7.9899999999999999E-2</v>
      </c>
      <c r="I17" s="15">
        <f t="shared" si="0"/>
        <v>327190.5</v>
      </c>
      <c r="J17" s="23" t="s">
        <v>14</v>
      </c>
      <c r="K17" s="430"/>
      <c r="L17" s="430"/>
      <c r="M17" s="377"/>
      <c r="N17" s="369"/>
      <c r="O17" s="378"/>
    </row>
    <row r="18" spans="1:15" ht="14.25" customHeight="1" x14ac:dyDescent="0.2">
      <c r="A18" s="336"/>
      <c r="B18" s="337"/>
      <c r="C18" s="338"/>
      <c r="D18" s="338"/>
      <c r="E18" s="338"/>
      <c r="F18" s="338"/>
      <c r="G18" s="338"/>
      <c r="H18" s="338"/>
      <c r="I18" s="338"/>
      <c r="J18" s="338"/>
      <c r="K18" s="338"/>
      <c r="L18" s="338"/>
      <c r="M18" s="338"/>
      <c r="N18" s="338"/>
      <c r="O18" s="339"/>
    </row>
    <row r="19" spans="1:15" ht="15.75" x14ac:dyDescent="0.2">
      <c r="A19" s="332" t="s">
        <v>573</v>
      </c>
      <c r="B19" s="333"/>
      <c r="C19" s="333"/>
      <c r="D19" s="333"/>
      <c r="E19" s="333"/>
      <c r="F19" s="333"/>
      <c r="G19" s="333"/>
      <c r="H19" s="333"/>
      <c r="I19" s="333"/>
      <c r="J19" s="333"/>
      <c r="K19" s="333"/>
      <c r="L19" s="333"/>
      <c r="M19" s="333"/>
      <c r="N19" s="333"/>
      <c r="O19" s="334"/>
    </row>
    <row r="20" spans="1:15" ht="25.5" customHeight="1" x14ac:dyDescent="0.2">
      <c r="A20" s="335">
        <v>3</v>
      </c>
      <c r="B20" s="342" t="s">
        <v>574</v>
      </c>
      <c r="C20" s="342" t="s">
        <v>287</v>
      </c>
      <c r="D20" s="80" t="s">
        <v>575</v>
      </c>
      <c r="E20" s="81">
        <v>100</v>
      </c>
      <c r="F20" s="82" t="s">
        <v>17</v>
      </c>
      <c r="G20" s="82" t="s">
        <v>17</v>
      </c>
      <c r="H20" s="82">
        <f>5900*117/100</f>
        <v>6903</v>
      </c>
      <c r="I20" s="140">
        <f>H20</f>
        <v>6903</v>
      </c>
      <c r="J20" s="80" t="s">
        <v>14</v>
      </c>
      <c r="K20" s="429" t="s">
        <v>667</v>
      </c>
      <c r="L20" s="429" t="s">
        <v>666</v>
      </c>
      <c r="M20" s="376">
        <f>I20</f>
        <v>6903</v>
      </c>
      <c r="N20" s="348" t="s">
        <v>22</v>
      </c>
      <c r="O20" s="350" t="s">
        <v>562</v>
      </c>
    </row>
    <row r="21" spans="1:15" ht="25.5" x14ac:dyDescent="0.2">
      <c r="A21" s="340"/>
      <c r="B21" s="373"/>
      <c r="C21" s="373"/>
      <c r="D21" s="31" t="s">
        <v>29</v>
      </c>
      <c r="E21" s="7">
        <v>99</v>
      </c>
      <c r="F21" s="8" t="s">
        <v>17</v>
      </c>
      <c r="G21" s="8" t="s">
        <v>17</v>
      </c>
      <c r="H21" s="8">
        <f>6000*117/100</f>
        <v>7020</v>
      </c>
      <c r="I21" s="15">
        <f>H21</f>
        <v>7020</v>
      </c>
      <c r="J21" s="31" t="s">
        <v>14</v>
      </c>
      <c r="K21" s="430"/>
      <c r="L21" s="430"/>
      <c r="M21" s="377"/>
      <c r="N21" s="369"/>
      <c r="O21" s="378"/>
    </row>
    <row r="22" spans="1:15" ht="25.5" x14ac:dyDescent="0.2">
      <c r="A22" s="340"/>
      <c r="B22" s="373"/>
      <c r="C22" s="373"/>
      <c r="D22" s="31" t="s">
        <v>329</v>
      </c>
      <c r="E22" s="7">
        <v>82</v>
      </c>
      <c r="F22" s="8" t="s">
        <v>17</v>
      </c>
      <c r="G22" s="8" t="s">
        <v>17</v>
      </c>
      <c r="H22" s="8">
        <f>7900*117/100</f>
        <v>9243</v>
      </c>
      <c r="I22" s="15">
        <f>H22</f>
        <v>9243</v>
      </c>
      <c r="J22" s="31" t="s">
        <v>14</v>
      </c>
      <c r="K22" s="430"/>
      <c r="L22" s="430"/>
      <c r="M22" s="377"/>
      <c r="N22" s="369"/>
      <c r="O22" s="378"/>
    </row>
    <row r="23" spans="1:15" ht="25.5" x14ac:dyDescent="0.2">
      <c r="A23" s="340"/>
      <c r="B23" s="343"/>
      <c r="C23" s="343"/>
      <c r="D23" s="31" t="s">
        <v>576</v>
      </c>
      <c r="E23" s="7">
        <v>73</v>
      </c>
      <c r="F23" s="8" t="s">
        <v>17</v>
      </c>
      <c r="G23" s="8" t="s">
        <v>17</v>
      </c>
      <c r="H23" s="8">
        <f>9500*117/100</f>
        <v>11115</v>
      </c>
      <c r="I23" s="15">
        <f>H23</f>
        <v>11115</v>
      </c>
      <c r="J23" s="31" t="s">
        <v>14</v>
      </c>
      <c r="K23" s="431"/>
      <c r="L23" s="431"/>
      <c r="M23" s="389"/>
      <c r="N23" s="349"/>
      <c r="O23" s="351"/>
    </row>
    <row r="24" spans="1:15" ht="14.25" customHeight="1" x14ac:dyDescent="0.2">
      <c r="A24" s="336"/>
      <c r="B24" s="337"/>
      <c r="C24" s="338"/>
      <c r="D24" s="338"/>
      <c r="E24" s="338"/>
      <c r="F24" s="338"/>
      <c r="G24" s="338"/>
      <c r="H24" s="338"/>
      <c r="I24" s="338"/>
      <c r="J24" s="338"/>
      <c r="K24" s="338"/>
      <c r="L24" s="338"/>
      <c r="M24" s="338"/>
      <c r="N24" s="338"/>
      <c r="O24" s="339"/>
    </row>
    <row r="25" spans="1:15" ht="15.75" x14ac:dyDescent="0.2">
      <c r="A25" s="332" t="s">
        <v>577</v>
      </c>
      <c r="B25" s="333"/>
      <c r="C25" s="333"/>
      <c r="D25" s="333"/>
      <c r="E25" s="333"/>
      <c r="F25" s="333"/>
      <c r="G25" s="333"/>
      <c r="H25" s="333"/>
      <c r="I25" s="333"/>
      <c r="J25" s="333"/>
      <c r="K25" s="333"/>
      <c r="L25" s="333"/>
      <c r="M25" s="333"/>
      <c r="N25" s="333"/>
      <c r="O25" s="334"/>
    </row>
    <row r="26" spans="1:15" ht="25.5" customHeight="1" x14ac:dyDescent="0.2">
      <c r="A26" s="335">
        <v>4</v>
      </c>
      <c r="B26" s="342" t="s">
        <v>578</v>
      </c>
      <c r="C26" s="342" t="s">
        <v>287</v>
      </c>
      <c r="D26" s="86" t="s">
        <v>40</v>
      </c>
      <c r="E26" s="83">
        <v>100</v>
      </c>
      <c r="F26" s="84" t="s">
        <v>15</v>
      </c>
      <c r="G26" s="84" t="s">
        <v>579</v>
      </c>
      <c r="H26" s="85">
        <v>4.9599999999999998E-2</v>
      </c>
      <c r="I26" s="84">
        <f>H26*2500000*117/100</f>
        <v>145080</v>
      </c>
      <c r="J26" s="86" t="s">
        <v>14</v>
      </c>
      <c r="K26" s="429" t="s">
        <v>667</v>
      </c>
      <c r="L26" s="429" t="s">
        <v>666</v>
      </c>
      <c r="M26" s="376">
        <f>I26</f>
        <v>145080</v>
      </c>
      <c r="N26" s="348" t="s">
        <v>22</v>
      </c>
      <c r="O26" s="350" t="s">
        <v>562</v>
      </c>
    </row>
    <row r="27" spans="1:15" ht="25.5" x14ac:dyDescent="0.2">
      <c r="A27" s="340"/>
      <c r="B27" s="373"/>
      <c r="C27" s="373"/>
      <c r="D27" s="23" t="s">
        <v>580</v>
      </c>
      <c r="E27" s="32">
        <v>96</v>
      </c>
      <c r="F27" s="8" t="s">
        <v>15</v>
      </c>
      <c r="G27" s="15" t="s">
        <v>579</v>
      </c>
      <c r="H27" s="33">
        <v>5.1999999999999998E-2</v>
      </c>
      <c r="I27" s="15">
        <f>H27*2500000*117/100</f>
        <v>152100</v>
      </c>
      <c r="J27" s="23" t="s">
        <v>14</v>
      </c>
      <c r="K27" s="430"/>
      <c r="L27" s="430"/>
      <c r="M27" s="377"/>
      <c r="N27" s="369"/>
      <c r="O27" s="378"/>
    </row>
    <row r="28" spans="1:15" ht="25.5" x14ac:dyDescent="0.2">
      <c r="A28" s="340"/>
      <c r="B28" s="373"/>
      <c r="C28" s="373"/>
      <c r="D28" s="23" t="s">
        <v>581</v>
      </c>
      <c r="E28" s="32">
        <v>88</v>
      </c>
      <c r="F28" s="8" t="s">
        <v>15</v>
      </c>
      <c r="G28" s="15" t="s">
        <v>579</v>
      </c>
      <c r="H28" s="33">
        <v>0.06</v>
      </c>
      <c r="I28" s="15">
        <f t="shared" ref="I28:I30" si="1">H28*2500000*117/100</f>
        <v>175500</v>
      </c>
      <c r="J28" s="23" t="s">
        <v>14</v>
      </c>
      <c r="K28" s="430"/>
      <c r="L28" s="430"/>
      <c r="M28" s="377"/>
      <c r="N28" s="369"/>
      <c r="O28" s="378"/>
    </row>
    <row r="29" spans="1:15" ht="25.5" x14ac:dyDescent="0.2">
      <c r="A29" s="340"/>
      <c r="B29" s="373"/>
      <c r="C29" s="373"/>
      <c r="D29" s="23" t="s">
        <v>582</v>
      </c>
      <c r="E29" s="32">
        <v>86</v>
      </c>
      <c r="F29" s="8" t="s">
        <v>15</v>
      </c>
      <c r="G29" s="15" t="s">
        <v>579</v>
      </c>
      <c r="H29" s="33">
        <v>6.1800000000000001E-2</v>
      </c>
      <c r="I29" s="15">
        <f t="shared" si="1"/>
        <v>180765</v>
      </c>
      <c r="J29" s="23" t="s">
        <v>14</v>
      </c>
      <c r="K29" s="430"/>
      <c r="L29" s="430"/>
      <c r="M29" s="377"/>
      <c r="N29" s="369"/>
      <c r="O29" s="378"/>
    </row>
    <row r="30" spans="1:15" ht="25.5" x14ac:dyDescent="0.2">
      <c r="A30" s="340"/>
      <c r="B30" s="373"/>
      <c r="C30" s="373"/>
      <c r="D30" s="23" t="s">
        <v>583</v>
      </c>
      <c r="E30" s="32">
        <v>86</v>
      </c>
      <c r="F30" s="8" t="s">
        <v>15</v>
      </c>
      <c r="G30" s="15" t="s">
        <v>579</v>
      </c>
      <c r="H30" s="33">
        <v>6.2E-2</v>
      </c>
      <c r="I30" s="15">
        <f t="shared" si="1"/>
        <v>181350</v>
      </c>
      <c r="J30" s="23" t="s">
        <v>14</v>
      </c>
      <c r="K30" s="430"/>
      <c r="L30" s="430"/>
      <c r="M30" s="377"/>
      <c r="N30" s="369"/>
      <c r="O30" s="378"/>
    </row>
    <row r="31" spans="1:15" ht="14.25" customHeight="1" x14ac:dyDescent="0.2">
      <c r="A31" s="336"/>
      <c r="B31" s="337"/>
      <c r="C31" s="338"/>
      <c r="D31" s="338"/>
      <c r="E31" s="338"/>
      <c r="F31" s="338"/>
      <c r="G31" s="338"/>
      <c r="H31" s="338"/>
      <c r="I31" s="338"/>
      <c r="J31" s="338"/>
      <c r="K31" s="338"/>
      <c r="L31" s="338"/>
      <c r="M31" s="338"/>
      <c r="N31" s="338"/>
      <c r="O31" s="339"/>
    </row>
    <row r="32" spans="1:15" ht="15.75" x14ac:dyDescent="0.2">
      <c r="A32" s="332" t="s">
        <v>584</v>
      </c>
      <c r="B32" s="333"/>
      <c r="C32" s="333"/>
      <c r="D32" s="333"/>
      <c r="E32" s="333"/>
      <c r="F32" s="333"/>
      <c r="G32" s="333"/>
      <c r="H32" s="333"/>
      <c r="I32" s="333"/>
      <c r="J32" s="333"/>
      <c r="K32" s="333"/>
      <c r="L32" s="333"/>
      <c r="M32" s="333"/>
      <c r="N32" s="333"/>
      <c r="O32" s="334"/>
    </row>
    <row r="33" spans="1:15" ht="25.5" customHeight="1" x14ac:dyDescent="0.2">
      <c r="A33" s="335">
        <v>5</v>
      </c>
      <c r="B33" s="342" t="s">
        <v>586</v>
      </c>
      <c r="C33" s="342" t="s">
        <v>287</v>
      </c>
      <c r="D33" s="80" t="s">
        <v>587</v>
      </c>
      <c r="E33" s="81">
        <v>100</v>
      </c>
      <c r="F33" s="82" t="s">
        <v>17</v>
      </c>
      <c r="G33" s="82" t="s">
        <v>17</v>
      </c>
      <c r="H33" s="82">
        <f>12000*117/100</f>
        <v>14040</v>
      </c>
      <c r="I33" s="140">
        <f>H33</f>
        <v>14040</v>
      </c>
      <c r="J33" s="80" t="s">
        <v>14</v>
      </c>
      <c r="K33" s="429" t="s">
        <v>667</v>
      </c>
      <c r="L33" s="429" t="s">
        <v>666</v>
      </c>
      <c r="M33" s="376">
        <f>I33</f>
        <v>14040</v>
      </c>
      <c r="N33" s="348" t="s">
        <v>22</v>
      </c>
      <c r="O33" s="350" t="s">
        <v>562</v>
      </c>
    </row>
    <row r="34" spans="1:15" ht="25.5" x14ac:dyDescent="0.2">
      <c r="A34" s="340"/>
      <c r="B34" s="373"/>
      <c r="C34" s="373"/>
      <c r="D34" s="31" t="s">
        <v>588</v>
      </c>
      <c r="E34" s="7">
        <v>77</v>
      </c>
      <c r="F34" s="8" t="s">
        <v>17</v>
      </c>
      <c r="G34" s="8" t="s">
        <v>17</v>
      </c>
      <c r="H34" s="8">
        <f>18000*117/100</f>
        <v>21060</v>
      </c>
      <c r="I34" s="15">
        <f>H34</f>
        <v>21060</v>
      </c>
      <c r="J34" s="31" t="s">
        <v>14</v>
      </c>
      <c r="K34" s="430"/>
      <c r="L34" s="430"/>
      <c r="M34" s="377"/>
      <c r="N34" s="369"/>
      <c r="O34" s="378"/>
    </row>
    <row r="35" spans="1:15" ht="38.25" x14ac:dyDescent="0.2">
      <c r="A35" s="340"/>
      <c r="B35" s="373"/>
      <c r="C35" s="373"/>
      <c r="D35" s="31" t="s">
        <v>589</v>
      </c>
      <c r="E35" s="7">
        <v>69</v>
      </c>
      <c r="F35" s="8" t="s">
        <v>17</v>
      </c>
      <c r="G35" s="8" t="s">
        <v>17</v>
      </c>
      <c r="H35" s="8">
        <f>21500*117/100</f>
        <v>25155</v>
      </c>
      <c r="I35" s="15">
        <f>H35</f>
        <v>25155</v>
      </c>
      <c r="J35" s="31" t="s">
        <v>14</v>
      </c>
      <c r="K35" s="430"/>
      <c r="L35" s="430"/>
      <c r="M35" s="377"/>
      <c r="N35" s="369"/>
      <c r="O35" s="378"/>
    </row>
    <row r="36" spans="1:15" ht="38.25" x14ac:dyDescent="0.2">
      <c r="A36" s="340"/>
      <c r="B36" s="343"/>
      <c r="C36" s="343"/>
      <c r="D36" s="31" t="s">
        <v>590</v>
      </c>
      <c r="E36" s="7">
        <v>57</v>
      </c>
      <c r="F36" s="8" t="s">
        <v>17</v>
      </c>
      <c r="G36" s="8" t="s">
        <v>17</v>
      </c>
      <c r="H36" s="8">
        <f>31000*117/100</f>
        <v>36270</v>
      </c>
      <c r="I36" s="15">
        <f>H36</f>
        <v>36270</v>
      </c>
      <c r="J36" s="31" t="s">
        <v>14</v>
      </c>
      <c r="K36" s="431"/>
      <c r="L36" s="431"/>
      <c r="M36" s="389"/>
      <c r="N36" s="349"/>
      <c r="O36" s="351"/>
    </row>
    <row r="37" spans="1:15" ht="14.25" customHeight="1" x14ac:dyDescent="0.2">
      <c r="A37" s="336"/>
      <c r="B37" s="337"/>
      <c r="C37" s="338"/>
      <c r="D37" s="338"/>
      <c r="E37" s="338"/>
      <c r="F37" s="338"/>
      <c r="G37" s="338"/>
      <c r="H37" s="338"/>
      <c r="I37" s="338"/>
      <c r="J37" s="338"/>
      <c r="K37" s="338"/>
      <c r="L37" s="338"/>
      <c r="M37" s="338"/>
      <c r="N37" s="338"/>
      <c r="O37" s="339"/>
    </row>
    <row r="38" spans="1:15" ht="15.75" x14ac:dyDescent="0.2">
      <c r="A38" s="332" t="s">
        <v>585</v>
      </c>
      <c r="B38" s="333"/>
      <c r="C38" s="333"/>
      <c r="D38" s="333"/>
      <c r="E38" s="333"/>
      <c r="F38" s="333"/>
      <c r="G38" s="333"/>
      <c r="H38" s="333"/>
      <c r="I38" s="333"/>
      <c r="J38" s="333"/>
      <c r="K38" s="333"/>
      <c r="L38" s="333"/>
      <c r="M38" s="333"/>
      <c r="N38" s="333"/>
      <c r="O38" s="334"/>
    </row>
    <row r="39" spans="1:15" ht="25.5" customHeight="1" x14ac:dyDescent="0.2">
      <c r="A39" s="335">
        <v>6</v>
      </c>
      <c r="B39" s="342" t="s">
        <v>592</v>
      </c>
      <c r="C39" s="342" t="s">
        <v>287</v>
      </c>
      <c r="D39" s="86" t="s">
        <v>575</v>
      </c>
      <c r="E39" s="83">
        <v>100</v>
      </c>
      <c r="F39" s="84" t="s">
        <v>15</v>
      </c>
      <c r="G39" s="84" t="s">
        <v>54</v>
      </c>
      <c r="H39" s="85">
        <v>0.03</v>
      </c>
      <c r="I39" s="84">
        <f>H39*7000000*117/100</f>
        <v>245700</v>
      </c>
      <c r="J39" s="86" t="s">
        <v>14</v>
      </c>
      <c r="K39" s="429" t="s">
        <v>667</v>
      </c>
      <c r="L39" s="429" t="s">
        <v>666</v>
      </c>
      <c r="M39" s="376">
        <f>I39</f>
        <v>245700</v>
      </c>
      <c r="N39" s="348" t="s">
        <v>22</v>
      </c>
      <c r="O39" s="350" t="s">
        <v>562</v>
      </c>
    </row>
    <row r="40" spans="1:15" ht="25.5" x14ac:dyDescent="0.2">
      <c r="A40" s="340"/>
      <c r="B40" s="373"/>
      <c r="C40" s="373"/>
      <c r="D40" s="23" t="s">
        <v>593</v>
      </c>
      <c r="E40" s="32">
        <v>83</v>
      </c>
      <c r="F40" s="8" t="s">
        <v>15</v>
      </c>
      <c r="G40" s="15" t="s">
        <v>54</v>
      </c>
      <c r="H40" s="33">
        <v>0.04</v>
      </c>
      <c r="I40" s="15">
        <f>H40*7000000*117/100</f>
        <v>327600</v>
      </c>
      <c r="J40" s="23" t="s">
        <v>14</v>
      </c>
      <c r="K40" s="430"/>
      <c r="L40" s="430"/>
      <c r="M40" s="377"/>
      <c r="N40" s="369"/>
      <c r="O40" s="378"/>
    </row>
    <row r="41" spans="1:15" ht="25.5" x14ac:dyDescent="0.2">
      <c r="A41" s="340"/>
      <c r="B41" s="373"/>
      <c r="C41" s="373"/>
      <c r="D41" s="23" t="s">
        <v>594</v>
      </c>
      <c r="E41" s="32">
        <v>77</v>
      </c>
      <c r="F41" s="8" t="s">
        <v>15</v>
      </c>
      <c r="G41" s="15" t="s">
        <v>54</v>
      </c>
      <c r="H41" s="33">
        <v>4.4999999999999998E-2</v>
      </c>
      <c r="I41" s="15">
        <f t="shared" ref="I41:I43" si="2">H41*7000000*117/100</f>
        <v>368550</v>
      </c>
      <c r="J41" s="23" t="s">
        <v>14</v>
      </c>
      <c r="K41" s="430"/>
      <c r="L41" s="430"/>
      <c r="M41" s="377"/>
      <c r="N41" s="369"/>
      <c r="O41" s="378"/>
    </row>
    <row r="42" spans="1:15" ht="25.5" x14ac:dyDescent="0.2">
      <c r="A42" s="340"/>
      <c r="B42" s="373"/>
      <c r="C42" s="373"/>
      <c r="D42" s="23" t="s">
        <v>595</v>
      </c>
      <c r="E42" s="32">
        <v>77</v>
      </c>
      <c r="F42" s="8" t="s">
        <v>15</v>
      </c>
      <c r="G42" s="15" t="s">
        <v>54</v>
      </c>
      <c r="H42" s="33">
        <v>4.4999999999999998E-2</v>
      </c>
      <c r="I42" s="15">
        <f t="shared" si="2"/>
        <v>368550</v>
      </c>
      <c r="J42" s="23" t="s">
        <v>14</v>
      </c>
      <c r="K42" s="430"/>
      <c r="L42" s="430"/>
      <c r="M42" s="377"/>
      <c r="N42" s="369"/>
      <c r="O42" s="378"/>
    </row>
    <row r="43" spans="1:15" ht="25.5" x14ac:dyDescent="0.2">
      <c r="A43" s="340"/>
      <c r="B43" s="373"/>
      <c r="C43" s="373"/>
      <c r="D43" s="23" t="s">
        <v>93</v>
      </c>
      <c r="E43" s="32">
        <v>74</v>
      </c>
      <c r="F43" s="8" t="s">
        <v>15</v>
      </c>
      <c r="G43" s="15" t="s">
        <v>54</v>
      </c>
      <c r="H43" s="33">
        <v>4.8000000000000001E-2</v>
      </c>
      <c r="I43" s="15">
        <f t="shared" si="2"/>
        <v>393120</v>
      </c>
      <c r="J43" s="23" t="s">
        <v>14</v>
      </c>
      <c r="K43" s="430"/>
      <c r="L43" s="430"/>
      <c r="M43" s="377"/>
      <c r="N43" s="369"/>
      <c r="O43" s="378"/>
    </row>
    <row r="44" spans="1:15" ht="14.25" customHeight="1" x14ac:dyDescent="0.2">
      <c r="A44" s="336"/>
      <c r="B44" s="337"/>
      <c r="C44" s="338"/>
      <c r="D44" s="338"/>
      <c r="E44" s="338"/>
      <c r="F44" s="338"/>
      <c r="G44" s="338"/>
      <c r="H44" s="338"/>
      <c r="I44" s="338"/>
      <c r="J44" s="338"/>
      <c r="K44" s="338"/>
      <c r="L44" s="338"/>
      <c r="M44" s="338"/>
      <c r="N44" s="338"/>
      <c r="O44" s="339"/>
    </row>
    <row r="45" spans="1:15" ht="15.75" x14ac:dyDescent="0.2">
      <c r="A45" s="332" t="s">
        <v>591</v>
      </c>
      <c r="B45" s="333"/>
      <c r="C45" s="333"/>
      <c r="D45" s="333"/>
      <c r="E45" s="333"/>
      <c r="F45" s="333"/>
      <c r="G45" s="333"/>
      <c r="H45" s="333"/>
      <c r="I45" s="333"/>
      <c r="J45" s="333"/>
      <c r="K45" s="333"/>
      <c r="L45" s="333"/>
      <c r="M45" s="333"/>
      <c r="N45" s="333"/>
      <c r="O45" s="334"/>
    </row>
    <row r="46" spans="1:15" ht="25.5" customHeight="1" x14ac:dyDescent="0.2">
      <c r="A46" s="335">
        <v>7</v>
      </c>
      <c r="B46" s="342" t="s">
        <v>597</v>
      </c>
      <c r="C46" s="342" t="s">
        <v>287</v>
      </c>
      <c r="D46" s="80" t="s">
        <v>598</v>
      </c>
      <c r="E46" s="81">
        <v>100</v>
      </c>
      <c r="F46" s="82" t="s">
        <v>17</v>
      </c>
      <c r="G46" s="82" t="s">
        <v>17</v>
      </c>
      <c r="H46" s="82">
        <f>10000*117/100</f>
        <v>11700</v>
      </c>
      <c r="I46" s="140">
        <f>H46</f>
        <v>11700</v>
      </c>
      <c r="J46" s="80" t="s">
        <v>14</v>
      </c>
      <c r="K46" s="344" t="s">
        <v>667</v>
      </c>
      <c r="L46" s="429" t="s">
        <v>666</v>
      </c>
      <c r="M46" s="376">
        <f>I46</f>
        <v>11700</v>
      </c>
      <c r="N46" s="348" t="s">
        <v>22</v>
      </c>
      <c r="O46" s="350" t="s">
        <v>562</v>
      </c>
    </row>
    <row r="47" spans="1:15" ht="25.5" x14ac:dyDescent="0.2">
      <c r="A47" s="340"/>
      <c r="B47" s="373"/>
      <c r="C47" s="373"/>
      <c r="D47" s="31" t="s">
        <v>599</v>
      </c>
      <c r="E47" s="7">
        <v>80</v>
      </c>
      <c r="F47" s="8" t="s">
        <v>17</v>
      </c>
      <c r="G47" s="8" t="s">
        <v>17</v>
      </c>
      <c r="H47" s="8">
        <f>14000*117/100</f>
        <v>16380</v>
      </c>
      <c r="I47" s="15">
        <f>H47</f>
        <v>16380</v>
      </c>
      <c r="J47" s="31" t="s">
        <v>14</v>
      </c>
      <c r="K47" s="365"/>
      <c r="L47" s="430"/>
      <c r="M47" s="377"/>
      <c r="N47" s="369"/>
      <c r="O47" s="378"/>
    </row>
    <row r="48" spans="1:15" ht="14.25" x14ac:dyDescent="0.2">
      <c r="A48" s="340"/>
      <c r="B48" s="373"/>
      <c r="C48" s="373"/>
      <c r="D48" s="31" t="s">
        <v>600</v>
      </c>
      <c r="E48" s="7">
        <v>77</v>
      </c>
      <c r="F48" s="8" t="s">
        <v>17</v>
      </c>
      <c r="G48" s="8" t="s">
        <v>17</v>
      </c>
      <c r="H48" s="8">
        <f>15000*117/100</f>
        <v>17550</v>
      </c>
      <c r="I48" s="15">
        <f>H48</f>
        <v>17550</v>
      </c>
      <c r="J48" s="31" t="s">
        <v>14</v>
      </c>
      <c r="K48" s="365"/>
      <c r="L48" s="430"/>
      <c r="M48" s="377"/>
      <c r="N48" s="369"/>
      <c r="O48" s="378"/>
    </row>
    <row r="49" spans="1:17" ht="25.5" x14ac:dyDescent="0.2">
      <c r="A49" s="340"/>
      <c r="B49" s="343"/>
      <c r="C49" s="343"/>
      <c r="D49" s="31" t="s">
        <v>601</v>
      </c>
      <c r="E49" s="7">
        <v>77</v>
      </c>
      <c r="F49" s="8" t="s">
        <v>17</v>
      </c>
      <c r="G49" s="8" t="s">
        <v>17</v>
      </c>
      <c r="H49" s="8">
        <f>18000*117/100</f>
        <v>21060</v>
      </c>
      <c r="I49" s="15">
        <f>H49</f>
        <v>21060</v>
      </c>
      <c r="J49" s="31" t="s">
        <v>14</v>
      </c>
      <c r="K49" s="345"/>
      <c r="L49" s="431"/>
      <c r="M49" s="389"/>
      <c r="N49" s="349"/>
      <c r="O49" s="351"/>
    </row>
    <row r="50" spans="1:17" ht="14.25" customHeight="1" x14ac:dyDescent="0.2">
      <c r="A50" s="336"/>
      <c r="B50" s="337"/>
      <c r="C50" s="338"/>
      <c r="D50" s="338"/>
      <c r="E50" s="338"/>
      <c r="F50" s="338"/>
      <c r="G50" s="338"/>
      <c r="H50" s="338"/>
      <c r="I50" s="338"/>
      <c r="J50" s="338"/>
      <c r="K50" s="338"/>
      <c r="L50" s="338"/>
      <c r="M50" s="338"/>
      <c r="N50" s="338"/>
      <c r="O50" s="339"/>
    </row>
    <row r="51" spans="1:17" ht="15.75" x14ac:dyDescent="0.2">
      <c r="A51" s="332" t="s">
        <v>596</v>
      </c>
      <c r="B51" s="333"/>
      <c r="C51" s="333"/>
      <c r="D51" s="333"/>
      <c r="E51" s="333"/>
      <c r="F51" s="333"/>
      <c r="G51" s="333"/>
      <c r="H51" s="333"/>
      <c r="I51" s="333"/>
      <c r="J51" s="333"/>
      <c r="K51" s="333"/>
      <c r="L51" s="333"/>
      <c r="M51" s="333"/>
      <c r="N51" s="333"/>
      <c r="O51" s="334"/>
    </row>
    <row r="52" spans="1:17" ht="25.5" customHeight="1" x14ac:dyDescent="0.2">
      <c r="A52" s="335">
        <v>8</v>
      </c>
      <c r="B52" s="342" t="s">
        <v>603</v>
      </c>
      <c r="C52" s="342" t="s">
        <v>287</v>
      </c>
      <c r="D52" s="80" t="s">
        <v>604</v>
      </c>
      <c r="E52" s="81">
        <v>100</v>
      </c>
      <c r="F52" s="82" t="s">
        <v>17</v>
      </c>
      <c r="G52" s="82" t="s">
        <v>17</v>
      </c>
      <c r="H52" s="82">
        <f>20000*117/100</f>
        <v>23400</v>
      </c>
      <c r="I52" s="140">
        <f>H52</f>
        <v>23400</v>
      </c>
      <c r="J52" s="80"/>
      <c r="K52" s="344" t="s">
        <v>667</v>
      </c>
      <c r="L52" s="344" t="s">
        <v>668</v>
      </c>
      <c r="M52" s="376">
        <f>I52</f>
        <v>23400</v>
      </c>
      <c r="N52" s="348" t="s">
        <v>22</v>
      </c>
      <c r="O52" s="350" t="s">
        <v>562</v>
      </c>
    </row>
    <row r="53" spans="1:17" ht="25.5" x14ac:dyDescent="0.2">
      <c r="A53" s="340"/>
      <c r="B53" s="373"/>
      <c r="C53" s="373"/>
      <c r="D53" s="31" t="s">
        <v>605</v>
      </c>
      <c r="E53" s="7">
        <v>91</v>
      </c>
      <c r="F53" s="8" t="s">
        <v>17</v>
      </c>
      <c r="G53" s="8" t="s">
        <v>17</v>
      </c>
      <c r="H53" s="8">
        <f>23000*117/100</f>
        <v>26910</v>
      </c>
      <c r="I53" s="15">
        <f>H53</f>
        <v>26910</v>
      </c>
      <c r="J53" s="31"/>
      <c r="K53" s="365"/>
      <c r="L53" s="365"/>
      <c r="M53" s="377"/>
      <c r="N53" s="369"/>
      <c r="O53" s="378"/>
    </row>
    <row r="54" spans="1:17" ht="25.5" x14ac:dyDescent="0.2">
      <c r="A54" s="340"/>
      <c r="B54" s="373"/>
      <c r="C54" s="373"/>
      <c r="D54" s="31" t="s">
        <v>606</v>
      </c>
      <c r="E54" s="7">
        <v>88</v>
      </c>
      <c r="F54" s="8" t="s">
        <v>17</v>
      </c>
      <c r="G54" s="8" t="s">
        <v>17</v>
      </c>
      <c r="H54" s="8">
        <f>24000*117/100</f>
        <v>28080</v>
      </c>
      <c r="I54" s="15">
        <f>H54</f>
        <v>28080</v>
      </c>
      <c r="J54" s="31"/>
      <c r="K54" s="365"/>
      <c r="L54" s="365"/>
      <c r="M54" s="377"/>
      <c r="N54" s="369"/>
      <c r="O54" s="378"/>
    </row>
    <row r="55" spans="1:17" ht="25.5" x14ac:dyDescent="0.2">
      <c r="A55" s="340"/>
      <c r="B55" s="343"/>
      <c r="C55" s="343"/>
      <c r="D55" s="31" t="s">
        <v>607</v>
      </c>
      <c r="E55" s="7">
        <v>84</v>
      </c>
      <c r="F55" s="8" t="s">
        <v>17</v>
      </c>
      <c r="G55" s="8" t="s">
        <v>17</v>
      </c>
      <c r="H55" s="8">
        <f>26000*117/100</f>
        <v>30420</v>
      </c>
      <c r="I55" s="15">
        <f>H55</f>
        <v>30420</v>
      </c>
      <c r="J55" s="31"/>
      <c r="K55" s="345"/>
      <c r="L55" s="345"/>
      <c r="M55" s="389"/>
      <c r="N55" s="349"/>
      <c r="O55" s="351"/>
    </row>
    <row r="56" spans="1:17" ht="14.25" customHeight="1" x14ac:dyDescent="0.2">
      <c r="A56" s="336"/>
      <c r="B56" s="337"/>
      <c r="C56" s="338"/>
      <c r="D56" s="338"/>
      <c r="E56" s="338"/>
      <c r="F56" s="338"/>
      <c r="G56" s="338"/>
      <c r="H56" s="338"/>
      <c r="I56" s="338"/>
      <c r="J56" s="338"/>
      <c r="K56" s="338"/>
      <c r="L56" s="338"/>
      <c r="M56" s="338"/>
      <c r="N56" s="338"/>
      <c r="O56" s="339"/>
    </row>
    <row r="57" spans="1:17" ht="15.75" x14ac:dyDescent="0.2">
      <c r="A57" s="332" t="s">
        <v>602</v>
      </c>
      <c r="B57" s="333"/>
      <c r="C57" s="333"/>
      <c r="D57" s="333"/>
      <c r="E57" s="333"/>
      <c r="F57" s="333"/>
      <c r="G57" s="333"/>
      <c r="H57" s="333"/>
      <c r="I57" s="333"/>
      <c r="J57" s="333"/>
      <c r="K57" s="333"/>
      <c r="L57" s="333"/>
      <c r="M57" s="333"/>
      <c r="N57" s="333"/>
      <c r="O57" s="334"/>
    </row>
    <row r="58" spans="1:17" ht="25.5" customHeight="1" x14ac:dyDescent="0.2">
      <c r="A58" s="335">
        <v>9</v>
      </c>
      <c r="B58" s="342" t="s">
        <v>609</v>
      </c>
      <c r="C58" s="342" t="s">
        <v>286</v>
      </c>
      <c r="D58" s="80" t="s">
        <v>84</v>
      </c>
      <c r="E58" s="81">
        <v>100</v>
      </c>
      <c r="F58" s="82" t="s">
        <v>17</v>
      </c>
      <c r="G58" s="82" t="s">
        <v>17</v>
      </c>
      <c r="H58" s="82">
        <f>199080*117/100</f>
        <v>232923.6</v>
      </c>
      <c r="I58" s="140">
        <f>H58</f>
        <v>232923.6</v>
      </c>
      <c r="J58" s="80" t="s">
        <v>14</v>
      </c>
      <c r="K58" s="429" t="s">
        <v>665</v>
      </c>
      <c r="L58" s="412" t="s">
        <v>669</v>
      </c>
      <c r="M58" s="376">
        <f>I58</f>
        <v>232923.6</v>
      </c>
      <c r="N58" s="348" t="s">
        <v>22</v>
      </c>
      <c r="O58" s="350" t="s">
        <v>562</v>
      </c>
    </row>
    <row r="59" spans="1:17" ht="25.5" x14ac:dyDescent="0.2">
      <c r="A59" s="340"/>
      <c r="B59" s="373"/>
      <c r="C59" s="373"/>
      <c r="D59" s="31" t="s">
        <v>69</v>
      </c>
      <c r="E59" s="7">
        <v>83</v>
      </c>
      <c r="F59" s="8" t="s">
        <v>17</v>
      </c>
      <c r="G59" s="8" t="s">
        <v>17</v>
      </c>
      <c r="H59" s="8">
        <f>263000*117/100</f>
        <v>307710</v>
      </c>
      <c r="I59" s="15">
        <f>H59</f>
        <v>307710</v>
      </c>
      <c r="J59" s="31" t="s">
        <v>14</v>
      </c>
      <c r="K59" s="430"/>
      <c r="L59" s="413"/>
      <c r="M59" s="377"/>
      <c r="N59" s="369"/>
      <c r="O59" s="378"/>
    </row>
    <row r="60" spans="1:17" ht="25.5" x14ac:dyDescent="0.2">
      <c r="A60" s="340"/>
      <c r="B60" s="373"/>
      <c r="C60" s="373"/>
      <c r="D60" s="31" t="s">
        <v>610</v>
      </c>
      <c r="E60" s="7">
        <v>83</v>
      </c>
      <c r="F60" s="8" t="s">
        <v>17</v>
      </c>
      <c r="G60" s="8" t="s">
        <v>17</v>
      </c>
      <c r="H60" s="8">
        <f>264000*117/100</f>
        <v>308880</v>
      </c>
      <c r="I60" s="15">
        <f>H60</f>
        <v>308880</v>
      </c>
      <c r="J60" s="31" t="s">
        <v>14</v>
      </c>
      <c r="K60" s="430"/>
      <c r="L60" s="413"/>
      <c r="M60" s="377"/>
      <c r="N60" s="369"/>
      <c r="O60" s="378"/>
    </row>
    <row r="61" spans="1:17" ht="25.5" x14ac:dyDescent="0.2">
      <c r="A61" s="340"/>
      <c r="B61" s="343"/>
      <c r="C61" s="343"/>
      <c r="D61" s="31" t="s">
        <v>611</v>
      </c>
      <c r="E61" s="7">
        <v>69</v>
      </c>
      <c r="F61" s="8" t="s">
        <v>17</v>
      </c>
      <c r="G61" s="8" t="s">
        <v>17</v>
      </c>
      <c r="H61" s="8">
        <f>360830*117/100</f>
        <v>422171.1</v>
      </c>
      <c r="I61" s="15">
        <f>H61</f>
        <v>422171.1</v>
      </c>
      <c r="J61" s="31" t="s">
        <v>14</v>
      </c>
      <c r="K61" s="431"/>
      <c r="L61" s="428"/>
      <c r="M61" s="389"/>
      <c r="N61" s="349"/>
      <c r="O61" s="351"/>
    </row>
    <row r="62" spans="1:17" ht="14.25" customHeight="1" x14ac:dyDescent="0.2">
      <c r="A62" s="336"/>
      <c r="B62" s="337" t="s">
        <v>612</v>
      </c>
      <c r="C62" s="338"/>
      <c r="D62" s="338"/>
      <c r="E62" s="338"/>
      <c r="F62" s="338"/>
      <c r="G62" s="338"/>
      <c r="H62" s="338"/>
      <c r="I62" s="338"/>
      <c r="J62" s="338"/>
      <c r="K62" s="338"/>
      <c r="L62" s="338"/>
      <c r="M62" s="338"/>
      <c r="N62" s="338"/>
      <c r="O62" s="339"/>
    </row>
    <row r="63" spans="1:17" ht="15.75" x14ac:dyDescent="0.2">
      <c r="A63" s="332" t="s">
        <v>608</v>
      </c>
      <c r="B63" s="333"/>
      <c r="C63" s="333"/>
      <c r="D63" s="333"/>
      <c r="E63" s="333"/>
      <c r="F63" s="333"/>
      <c r="G63" s="333"/>
      <c r="H63" s="333"/>
      <c r="I63" s="333"/>
      <c r="J63" s="333"/>
      <c r="K63" s="333"/>
      <c r="L63" s="333"/>
      <c r="M63" s="333"/>
      <c r="N63" s="333"/>
      <c r="O63" s="334"/>
    </row>
    <row r="64" spans="1:17" ht="26.45" customHeight="1" x14ac:dyDescent="0.2">
      <c r="A64" s="335">
        <v>10</v>
      </c>
      <c r="B64" s="342" t="s">
        <v>614</v>
      </c>
      <c r="C64" s="342" t="s">
        <v>413</v>
      </c>
      <c r="D64" s="86" t="s">
        <v>616</v>
      </c>
      <c r="E64" s="83">
        <v>100</v>
      </c>
      <c r="F64" s="84" t="s">
        <v>17</v>
      </c>
      <c r="G64" s="84" t="s">
        <v>17</v>
      </c>
      <c r="H64" s="87">
        <f>38600*117/100</f>
        <v>45162</v>
      </c>
      <c r="I64" s="84">
        <f>H64</f>
        <v>45162</v>
      </c>
      <c r="J64" s="86"/>
      <c r="K64" s="374" t="s">
        <v>665</v>
      </c>
      <c r="L64" s="344" t="s">
        <v>856</v>
      </c>
      <c r="M64" s="376">
        <f>I64</f>
        <v>45162</v>
      </c>
      <c r="N64" s="348" t="s">
        <v>857</v>
      </c>
      <c r="O64" s="350" t="s">
        <v>615</v>
      </c>
      <c r="P64" s="13"/>
      <c r="Q64" s="14"/>
    </row>
    <row r="65" spans="1:17" x14ac:dyDescent="0.2">
      <c r="A65" s="340"/>
      <c r="B65" s="373"/>
      <c r="C65" s="373"/>
      <c r="D65" s="31" t="s">
        <v>617</v>
      </c>
      <c r="E65" s="7">
        <v>72</v>
      </c>
      <c r="F65" s="8" t="s">
        <v>17</v>
      </c>
      <c r="G65" s="8" t="s">
        <v>17</v>
      </c>
      <c r="H65" s="8">
        <f>63000*117/100</f>
        <v>73710</v>
      </c>
      <c r="I65" s="8">
        <f t="shared" ref="I65:I67" si="3">H65</f>
        <v>73710</v>
      </c>
      <c r="J65" s="31" t="s">
        <v>14</v>
      </c>
      <c r="K65" s="375"/>
      <c r="L65" s="365"/>
      <c r="M65" s="377"/>
      <c r="N65" s="369"/>
      <c r="O65" s="378"/>
      <c r="P65" s="13"/>
      <c r="Q65" s="14"/>
    </row>
    <row r="66" spans="1:17" x14ac:dyDescent="0.2">
      <c r="A66" s="340"/>
      <c r="B66" s="373"/>
      <c r="C66" s="373"/>
      <c r="D66" s="31" t="s">
        <v>618</v>
      </c>
      <c r="E66" s="7">
        <v>51</v>
      </c>
      <c r="F66" s="8" t="s">
        <v>17</v>
      </c>
      <c r="G66" s="8" t="s">
        <v>17</v>
      </c>
      <c r="H66" s="8">
        <f>127000*117/100</f>
        <v>148590</v>
      </c>
      <c r="I66" s="8">
        <f>H66</f>
        <v>148590</v>
      </c>
      <c r="J66" s="31"/>
      <c r="K66" s="375"/>
      <c r="L66" s="365"/>
      <c r="M66" s="377"/>
      <c r="N66" s="369"/>
      <c r="O66" s="378"/>
      <c r="P66" s="13"/>
      <c r="Q66" s="14"/>
    </row>
    <row r="67" spans="1:17" x14ac:dyDescent="0.2">
      <c r="A67" s="340"/>
      <c r="B67" s="373"/>
      <c r="C67" s="373"/>
      <c r="D67" s="31" t="s">
        <v>134</v>
      </c>
      <c r="E67" s="7">
        <v>48</v>
      </c>
      <c r="F67" s="8" t="s">
        <v>17</v>
      </c>
      <c r="G67" s="8" t="s">
        <v>17</v>
      </c>
      <c r="H67" s="8">
        <f>151875*117/100</f>
        <v>177693.75</v>
      </c>
      <c r="I67" s="8">
        <f t="shared" si="3"/>
        <v>177693.75</v>
      </c>
      <c r="J67" s="31" t="s">
        <v>14</v>
      </c>
      <c r="K67" s="375"/>
      <c r="L67" s="365"/>
      <c r="M67" s="377"/>
      <c r="N67" s="369"/>
      <c r="O67" s="378"/>
      <c r="P67" s="13"/>
      <c r="Q67" s="14"/>
    </row>
    <row r="68" spans="1:17" ht="15" customHeight="1" x14ac:dyDescent="0.2">
      <c r="A68" s="336"/>
      <c r="B68" s="337"/>
      <c r="C68" s="338"/>
      <c r="D68" s="338"/>
      <c r="E68" s="338"/>
      <c r="F68" s="338"/>
      <c r="G68" s="338"/>
      <c r="H68" s="338"/>
      <c r="I68" s="338"/>
      <c r="J68" s="338"/>
      <c r="K68" s="338"/>
      <c r="L68" s="338"/>
      <c r="M68" s="338"/>
      <c r="N68" s="338"/>
      <c r="O68" s="339"/>
    </row>
    <row r="69" spans="1:17" ht="15.75" x14ac:dyDescent="0.2">
      <c r="A69" s="332" t="s">
        <v>613</v>
      </c>
      <c r="B69" s="333"/>
      <c r="C69" s="333"/>
      <c r="D69" s="333"/>
      <c r="E69" s="333"/>
      <c r="F69" s="333"/>
      <c r="G69" s="333"/>
      <c r="H69" s="333"/>
      <c r="I69" s="333"/>
      <c r="J69" s="333"/>
      <c r="K69" s="333"/>
      <c r="L69" s="333"/>
      <c r="M69" s="333"/>
      <c r="N69" s="333"/>
      <c r="O69" s="334"/>
    </row>
    <row r="70" spans="1:17" ht="26.45" customHeight="1" x14ac:dyDescent="0.2">
      <c r="A70" s="335">
        <v>11</v>
      </c>
      <c r="B70" s="342" t="s">
        <v>620</v>
      </c>
      <c r="C70" s="342" t="s">
        <v>413</v>
      </c>
      <c r="D70" s="86" t="s">
        <v>616</v>
      </c>
      <c r="E70" s="83">
        <v>100</v>
      </c>
      <c r="F70" s="84" t="s">
        <v>17</v>
      </c>
      <c r="G70" s="84" t="s">
        <v>17</v>
      </c>
      <c r="H70" s="87">
        <f>36800*117/100</f>
        <v>43056</v>
      </c>
      <c r="I70" s="84">
        <f>H70</f>
        <v>43056</v>
      </c>
      <c r="J70" s="86"/>
      <c r="K70" s="374" t="s">
        <v>665</v>
      </c>
      <c r="L70" s="344" t="s">
        <v>856</v>
      </c>
      <c r="M70" s="376">
        <f>I70</f>
        <v>43056</v>
      </c>
      <c r="N70" s="348" t="s">
        <v>857</v>
      </c>
      <c r="O70" s="350" t="s">
        <v>621</v>
      </c>
      <c r="P70" s="13"/>
      <c r="Q70" s="14"/>
    </row>
    <row r="71" spans="1:17" ht="15" customHeight="1" x14ac:dyDescent="0.2">
      <c r="A71" s="340"/>
      <c r="B71" s="373"/>
      <c r="C71" s="373"/>
      <c r="D71" s="31" t="s">
        <v>617</v>
      </c>
      <c r="E71" s="7">
        <v>71</v>
      </c>
      <c r="F71" s="8" t="s">
        <v>17</v>
      </c>
      <c r="G71" s="8" t="s">
        <v>17</v>
      </c>
      <c r="H71" s="8">
        <f>63000*117/100</f>
        <v>73710</v>
      </c>
      <c r="I71" s="8">
        <f t="shared" ref="I71" si="4">H71</f>
        <v>73710</v>
      </c>
      <c r="J71" s="31" t="s">
        <v>14</v>
      </c>
      <c r="K71" s="375"/>
      <c r="L71" s="365"/>
      <c r="M71" s="377"/>
      <c r="N71" s="369"/>
      <c r="O71" s="378"/>
      <c r="P71" s="13"/>
      <c r="Q71" s="14"/>
    </row>
    <row r="72" spans="1:17" ht="15" customHeight="1" x14ac:dyDescent="0.2">
      <c r="A72" s="340"/>
      <c r="B72" s="373"/>
      <c r="C72" s="373"/>
      <c r="D72" s="31" t="s">
        <v>618</v>
      </c>
      <c r="E72" s="7">
        <v>53</v>
      </c>
      <c r="F72" s="8" t="s">
        <v>17</v>
      </c>
      <c r="G72" s="8" t="s">
        <v>17</v>
      </c>
      <c r="H72" s="8">
        <f>113000*117/100</f>
        <v>132210</v>
      </c>
      <c r="I72" s="8">
        <f>H72</f>
        <v>132210</v>
      </c>
      <c r="J72" s="31"/>
      <c r="K72" s="375"/>
      <c r="L72" s="365"/>
      <c r="M72" s="377"/>
      <c r="N72" s="369"/>
      <c r="O72" s="378"/>
      <c r="P72" s="13"/>
      <c r="Q72" s="14"/>
    </row>
    <row r="73" spans="1:17" ht="15" customHeight="1" x14ac:dyDescent="0.2">
      <c r="A73" s="340"/>
      <c r="B73" s="373"/>
      <c r="C73" s="373"/>
      <c r="D73" s="31" t="s">
        <v>134</v>
      </c>
      <c r="E73" s="7">
        <v>45</v>
      </c>
      <c r="F73" s="8" t="s">
        <v>17</v>
      </c>
      <c r="G73" s="8" t="s">
        <v>17</v>
      </c>
      <c r="H73" s="8">
        <f>168750*117/100</f>
        <v>197437.5</v>
      </c>
      <c r="I73" s="8">
        <f t="shared" ref="I73" si="5">H73</f>
        <v>197437.5</v>
      </c>
      <c r="J73" s="31" t="s">
        <v>14</v>
      </c>
      <c r="K73" s="375"/>
      <c r="L73" s="365"/>
      <c r="M73" s="377"/>
      <c r="N73" s="369"/>
      <c r="O73" s="378"/>
      <c r="P73" s="13"/>
      <c r="Q73" s="14"/>
    </row>
    <row r="74" spans="1:17" ht="15" customHeight="1" x14ac:dyDescent="0.2">
      <c r="A74" s="336"/>
      <c r="B74" s="337"/>
      <c r="C74" s="338"/>
      <c r="D74" s="338"/>
      <c r="E74" s="338"/>
      <c r="F74" s="338"/>
      <c r="G74" s="338"/>
      <c r="H74" s="338"/>
      <c r="I74" s="338"/>
      <c r="J74" s="338"/>
      <c r="K74" s="338"/>
      <c r="L74" s="338"/>
      <c r="M74" s="338"/>
      <c r="N74" s="338"/>
      <c r="O74" s="339"/>
    </row>
    <row r="75" spans="1:17" ht="15.75" x14ac:dyDescent="0.2">
      <c r="A75" s="332" t="s">
        <v>619</v>
      </c>
      <c r="B75" s="333"/>
      <c r="C75" s="333"/>
      <c r="D75" s="333"/>
      <c r="E75" s="333"/>
      <c r="F75" s="333"/>
      <c r="G75" s="333"/>
      <c r="H75" s="333"/>
      <c r="I75" s="333"/>
      <c r="J75" s="333"/>
      <c r="K75" s="333"/>
      <c r="L75" s="333"/>
      <c r="M75" s="333"/>
      <c r="N75" s="333"/>
      <c r="O75" s="334"/>
    </row>
    <row r="76" spans="1:17" ht="26.45" customHeight="1" x14ac:dyDescent="0.2">
      <c r="A76" s="335">
        <v>12</v>
      </c>
      <c r="B76" s="342" t="s">
        <v>623</v>
      </c>
      <c r="C76" s="342" t="s">
        <v>413</v>
      </c>
      <c r="D76" s="19" t="s">
        <v>624</v>
      </c>
      <c r="E76" s="20">
        <v>100</v>
      </c>
      <c r="F76" s="21" t="s">
        <v>17</v>
      </c>
      <c r="G76" s="21" t="s">
        <v>17</v>
      </c>
      <c r="H76" s="77">
        <f>16000*117/100</f>
        <v>18720</v>
      </c>
      <c r="I76" s="21">
        <f>H76</f>
        <v>18720</v>
      </c>
      <c r="J76" s="19" t="s">
        <v>14</v>
      </c>
      <c r="K76" s="412" t="s">
        <v>18</v>
      </c>
      <c r="L76" s="412" t="s">
        <v>529</v>
      </c>
      <c r="M76" s="376">
        <f>I76</f>
        <v>18720</v>
      </c>
      <c r="N76" s="348" t="s">
        <v>22</v>
      </c>
      <c r="O76" s="350" t="s">
        <v>621</v>
      </c>
      <c r="P76" s="13"/>
      <c r="Q76" s="14"/>
    </row>
    <row r="77" spans="1:17" x14ac:dyDescent="0.2">
      <c r="A77" s="340"/>
      <c r="B77" s="373"/>
      <c r="C77" s="373"/>
      <c r="D77" s="31" t="s">
        <v>625</v>
      </c>
      <c r="E77" s="7">
        <v>98</v>
      </c>
      <c r="F77" s="8" t="s">
        <v>17</v>
      </c>
      <c r="G77" s="8" t="s">
        <v>17</v>
      </c>
      <c r="H77" s="8">
        <f>16500*117/100</f>
        <v>19305</v>
      </c>
      <c r="I77" s="8">
        <f t="shared" ref="I77" si="6">H77</f>
        <v>19305</v>
      </c>
      <c r="J77" s="31" t="s">
        <v>14</v>
      </c>
      <c r="K77" s="413"/>
      <c r="L77" s="413"/>
      <c r="M77" s="377"/>
      <c r="N77" s="369"/>
      <c r="O77" s="378"/>
      <c r="P77" s="13"/>
      <c r="Q77" s="14"/>
    </row>
    <row r="78" spans="1:17" ht="25.5" x14ac:dyDescent="0.2">
      <c r="A78" s="340"/>
      <c r="B78" s="373"/>
      <c r="C78" s="373"/>
      <c r="D78" s="31" t="s">
        <v>626</v>
      </c>
      <c r="E78" s="7">
        <v>75</v>
      </c>
      <c r="F78" s="8" t="s">
        <v>17</v>
      </c>
      <c r="G78" s="8" t="s">
        <v>17</v>
      </c>
      <c r="H78" s="8">
        <f>25000*117/100</f>
        <v>29250</v>
      </c>
      <c r="I78" s="8">
        <f>H78</f>
        <v>29250</v>
      </c>
      <c r="J78" s="31" t="s">
        <v>14</v>
      </c>
      <c r="K78" s="413"/>
      <c r="L78" s="413"/>
      <c r="M78" s="377"/>
      <c r="N78" s="369"/>
      <c r="O78" s="378"/>
      <c r="P78" s="13"/>
      <c r="Q78" s="14"/>
    </row>
    <row r="79" spans="1:17" ht="25.5" x14ac:dyDescent="0.2">
      <c r="A79" s="340"/>
      <c r="B79" s="373"/>
      <c r="C79" s="373"/>
      <c r="D79" s="31" t="s">
        <v>627</v>
      </c>
      <c r="E79" s="7">
        <v>40</v>
      </c>
      <c r="F79" s="8" t="s">
        <v>17</v>
      </c>
      <c r="G79" s="8" t="s">
        <v>17</v>
      </c>
      <c r="H79" s="8">
        <f>124000*117/100</f>
        <v>145080</v>
      </c>
      <c r="I79" s="8">
        <f t="shared" ref="I79" si="7">H79</f>
        <v>145080</v>
      </c>
      <c r="J79" s="31" t="s">
        <v>14</v>
      </c>
      <c r="K79" s="413"/>
      <c r="L79" s="413"/>
      <c r="M79" s="377"/>
      <c r="N79" s="369"/>
      <c r="O79" s="378"/>
      <c r="P79" s="13"/>
      <c r="Q79" s="14"/>
    </row>
    <row r="80" spans="1:17" ht="15" customHeight="1" x14ac:dyDescent="0.2">
      <c r="A80" s="336"/>
      <c r="B80" s="337"/>
      <c r="C80" s="338"/>
      <c r="D80" s="338"/>
      <c r="E80" s="338"/>
      <c r="F80" s="338"/>
      <c r="G80" s="338"/>
      <c r="H80" s="338"/>
      <c r="I80" s="338"/>
      <c r="J80" s="338"/>
      <c r="K80" s="338"/>
      <c r="L80" s="338"/>
      <c r="M80" s="338"/>
      <c r="N80" s="338"/>
      <c r="O80" s="339"/>
    </row>
    <row r="81" spans="1:17" ht="15.75" x14ac:dyDescent="0.2">
      <c r="A81" s="332" t="s">
        <v>622</v>
      </c>
      <c r="B81" s="333"/>
      <c r="C81" s="333"/>
      <c r="D81" s="333"/>
      <c r="E81" s="333"/>
      <c r="F81" s="333"/>
      <c r="G81" s="333"/>
      <c r="H81" s="333"/>
      <c r="I81" s="333"/>
      <c r="J81" s="333"/>
      <c r="K81" s="333"/>
      <c r="L81" s="333"/>
      <c r="M81" s="333"/>
      <c r="N81" s="333"/>
      <c r="O81" s="334"/>
    </row>
    <row r="82" spans="1:17" ht="26.45" customHeight="1" x14ac:dyDescent="0.2">
      <c r="A82" s="335">
        <v>13</v>
      </c>
      <c r="B82" s="342" t="s">
        <v>629</v>
      </c>
      <c r="C82" s="342" t="s">
        <v>413</v>
      </c>
      <c r="D82" s="19" t="s">
        <v>624</v>
      </c>
      <c r="E82" s="20">
        <v>100</v>
      </c>
      <c r="F82" s="21" t="s">
        <v>17</v>
      </c>
      <c r="G82" s="21" t="s">
        <v>17</v>
      </c>
      <c r="H82" s="77">
        <f>18000*117/100</f>
        <v>21060</v>
      </c>
      <c r="I82" s="21">
        <f>H82</f>
        <v>21060</v>
      </c>
      <c r="J82" s="19" t="s">
        <v>14</v>
      </c>
      <c r="K82" s="412" t="s">
        <v>18</v>
      </c>
      <c r="L82" s="412" t="s">
        <v>529</v>
      </c>
      <c r="M82" s="376">
        <f>I82</f>
        <v>21060</v>
      </c>
      <c r="N82" s="348" t="s">
        <v>22</v>
      </c>
      <c r="O82" s="350" t="s">
        <v>615</v>
      </c>
      <c r="P82" s="13"/>
      <c r="Q82" s="14"/>
    </row>
    <row r="83" spans="1:17" x14ac:dyDescent="0.2">
      <c r="A83" s="340"/>
      <c r="B83" s="373"/>
      <c r="C83" s="373"/>
      <c r="D83" s="31" t="s">
        <v>625</v>
      </c>
      <c r="E83" s="7">
        <v>98</v>
      </c>
      <c r="F83" s="8" t="s">
        <v>17</v>
      </c>
      <c r="G83" s="8" t="s">
        <v>17</v>
      </c>
      <c r="H83" s="8">
        <f>18500*117/100</f>
        <v>21645</v>
      </c>
      <c r="I83" s="8">
        <f t="shared" ref="I83" si="8">H83</f>
        <v>21645</v>
      </c>
      <c r="J83" s="31" t="s">
        <v>14</v>
      </c>
      <c r="K83" s="413"/>
      <c r="L83" s="413"/>
      <c r="M83" s="377"/>
      <c r="N83" s="369"/>
      <c r="O83" s="378"/>
      <c r="P83" s="13"/>
      <c r="Q83" s="14"/>
    </row>
    <row r="84" spans="1:17" ht="25.5" x14ac:dyDescent="0.2">
      <c r="A84" s="340"/>
      <c r="B84" s="373"/>
      <c r="C84" s="373"/>
      <c r="D84" s="31" t="s">
        <v>626</v>
      </c>
      <c r="E84" s="7">
        <v>72</v>
      </c>
      <c r="F84" s="8" t="s">
        <v>17</v>
      </c>
      <c r="G84" s="8" t="s">
        <v>17</v>
      </c>
      <c r="H84" s="8">
        <f>30000*117/100</f>
        <v>35100</v>
      </c>
      <c r="I84" s="8">
        <f>H84</f>
        <v>35100</v>
      </c>
      <c r="J84" s="31" t="s">
        <v>14</v>
      </c>
      <c r="K84" s="413"/>
      <c r="L84" s="413"/>
      <c r="M84" s="377"/>
      <c r="N84" s="369"/>
      <c r="O84" s="378"/>
      <c r="P84" s="13"/>
      <c r="Q84" s="14"/>
    </row>
    <row r="85" spans="1:17" ht="25.5" x14ac:dyDescent="0.2">
      <c r="A85" s="340"/>
      <c r="B85" s="373"/>
      <c r="C85" s="373"/>
      <c r="D85" s="31" t="s">
        <v>627</v>
      </c>
      <c r="E85" s="7">
        <v>40</v>
      </c>
      <c r="F85" s="8" t="s">
        <v>17</v>
      </c>
      <c r="G85" s="8" t="s">
        <v>17</v>
      </c>
      <c r="H85" s="8">
        <f>139000*117/100</f>
        <v>162630</v>
      </c>
      <c r="I85" s="8">
        <f t="shared" ref="I85" si="9">H85</f>
        <v>162630</v>
      </c>
      <c r="J85" s="31" t="s">
        <v>14</v>
      </c>
      <c r="K85" s="413"/>
      <c r="L85" s="413"/>
      <c r="M85" s="377"/>
      <c r="N85" s="369"/>
      <c r="O85" s="378"/>
      <c r="P85" s="13"/>
      <c r="Q85" s="14"/>
    </row>
    <row r="86" spans="1:17" ht="15" customHeight="1" x14ac:dyDescent="0.2">
      <c r="A86" s="336"/>
      <c r="B86" s="337"/>
      <c r="C86" s="338"/>
      <c r="D86" s="338"/>
      <c r="E86" s="338"/>
      <c r="F86" s="338"/>
      <c r="G86" s="338"/>
      <c r="H86" s="338"/>
      <c r="I86" s="338"/>
      <c r="J86" s="338"/>
      <c r="K86" s="338"/>
      <c r="L86" s="338"/>
      <c r="M86" s="338"/>
      <c r="N86" s="338"/>
      <c r="O86" s="339"/>
    </row>
    <row r="87" spans="1:17" ht="15.75" x14ac:dyDescent="0.2">
      <c r="A87" s="332" t="s">
        <v>628</v>
      </c>
      <c r="B87" s="333"/>
      <c r="C87" s="333"/>
      <c r="D87" s="333"/>
      <c r="E87" s="333"/>
      <c r="F87" s="333"/>
      <c r="G87" s="333"/>
      <c r="H87" s="333"/>
      <c r="I87" s="333"/>
      <c r="J87" s="333"/>
      <c r="K87" s="333"/>
      <c r="L87" s="333"/>
      <c r="M87" s="333"/>
      <c r="N87" s="333"/>
      <c r="O87" s="334"/>
    </row>
    <row r="88" spans="1:17" ht="26.45" customHeight="1" x14ac:dyDescent="0.2">
      <c r="A88" s="335">
        <v>14</v>
      </c>
      <c r="B88" s="342" t="s">
        <v>631</v>
      </c>
      <c r="C88" s="342" t="s">
        <v>413</v>
      </c>
      <c r="D88" s="19" t="s">
        <v>632</v>
      </c>
      <c r="E88" s="20">
        <v>100</v>
      </c>
      <c r="F88" s="21" t="s">
        <v>17</v>
      </c>
      <c r="G88" s="21" t="s">
        <v>17</v>
      </c>
      <c r="H88" s="77">
        <f>7600*117/100</f>
        <v>8892</v>
      </c>
      <c r="I88" s="21">
        <f>H88</f>
        <v>8892</v>
      </c>
      <c r="J88" s="19" t="s">
        <v>14</v>
      </c>
      <c r="K88" s="412" t="s">
        <v>18</v>
      </c>
      <c r="L88" s="412" t="s">
        <v>529</v>
      </c>
      <c r="M88" s="376">
        <f>I88</f>
        <v>8892</v>
      </c>
      <c r="N88" s="348" t="s">
        <v>22</v>
      </c>
      <c r="O88" s="350" t="s">
        <v>621</v>
      </c>
      <c r="P88" s="13"/>
      <c r="Q88" s="14"/>
    </row>
    <row r="89" spans="1:17" ht="38.25" x14ac:dyDescent="0.2">
      <c r="A89" s="340"/>
      <c r="B89" s="373"/>
      <c r="C89" s="373"/>
      <c r="D89" s="31" t="s">
        <v>421</v>
      </c>
      <c r="E89" s="7">
        <v>78</v>
      </c>
      <c r="F89" s="8" t="s">
        <v>17</v>
      </c>
      <c r="G89" s="8" t="s">
        <v>17</v>
      </c>
      <c r="H89" s="8">
        <f>11100*117/100</f>
        <v>12987</v>
      </c>
      <c r="I89" s="8">
        <f t="shared" ref="I89" si="10">H89</f>
        <v>12987</v>
      </c>
      <c r="J89" s="31" t="s">
        <v>14</v>
      </c>
      <c r="K89" s="413"/>
      <c r="L89" s="413"/>
      <c r="M89" s="377"/>
      <c r="N89" s="369"/>
      <c r="O89" s="378"/>
      <c r="P89" s="13"/>
      <c r="Q89" s="14"/>
    </row>
    <row r="90" spans="1:17" ht="25.5" x14ac:dyDescent="0.2">
      <c r="A90" s="340"/>
      <c r="B90" s="373"/>
      <c r="C90" s="373"/>
      <c r="D90" s="31" t="s">
        <v>30</v>
      </c>
      <c r="E90" s="7">
        <v>65</v>
      </c>
      <c r="F90" s="8" t="s">
        <v>17</v>
      </c>
      <c r="G90" s="8" t="s">
        <v>17</v>
      </c>
      <c r="H90" s="8">
        <f>15500*117/100</f>
        <v>18135</v>
      </c>
      <c r="I90" s="8">
        <f>H90</f>
        <v>18135</v>
      </c>
      <c r="J90" s="31" t="s">
        <v>14</v>
      </c>
      <c r="K90" s="413"/>
      <c r="L90" s="413"/>
      <c r="M90" s="377"/>
      <c r="N90" s="369"/>
      <c r="O90" s="378"/>
      <c r="P90" s="13"/>
      <c r="Q90" s="14"/>
    </row>
    <row r="91" spans="1:17" ht="25.5" x14ac:dyDescent="0.2">
      <c r="A91" s="340"/>
      <c r="B91" s="373"/>
      <c r="C91" s="373"/>
      <c r="D91" s="31" t="s">
        <v>633</v>
      </c>
      <c r="E91" s="7">
        <v>64</v>
      </c>
      <c r="F91" s="8" t="s">
        <v>17</v>
      </c>
      <c r="G91" s="8" t="s">
        <v>17</v>
      </c>
      <c r="H91" s="8">
        <f>16000*117/100</f>
        <v>18720</v>
      </c>
      <c r="I91" s="8">
        <f t="shared" ref="I91" si="11">H91</f>
        <v>18720</v>
      </c>
      <c r="J91" s="31" t="s">
        <v>14</v>
      </c>
      <c r="K91" s="413"/>
      <c r="L91" s="413"/>
      <c r="M91" s="377"/>
      <c r="N91" s="369"/>
      <c r="O91" s="378"/>
      <c r="P91" s="13"/>
      <c r="Q91" s="14"/>
    </row>
    <row r="92" spans="1:17" ht="38.25" x14ac:dyDescent="0.2">
      <c r="A92" s="340"/>
      <c r="B92" s="373"/>
      <c r="C92" s="373"/>
      <c r="D92" s="31" t="s">
        <v>77</v>
      </c>
      <c r="E92" s="7">
        <v>48</v>
      </c>
      <c r="F92" s="8" t="s">
        <v>17</v>
      </c>
      <c r="G92" s="8" t="s">
        <v>17</v>
      </c>
      <c r="H92" s="8">
        <f>29800*117/100</f>
        <v>34866</v>
      </c>
      <c r="I92" s="8">
        <f t="shared" ref="I92" si="12">H92</f>
        <v>34866</v>
      </c>
      <c r="J92" s="31" t="s">
        <v>14</v>
      </c>
      <c r="K92" s="413"/>
      <c r="L92" s="413"/>
      <c r="M92" s="377"/>
      <c r="N92" s="369"/>
      <c r="O92" s="378"/>
      <c r="P92" s="13"/>
      <c r="Q92" s="14"/>
    </row>
    <row r="93" spans="1:17" ht="15" customHeight="1" x14ac:dyDescent="0.2">
      <c r="A93" s="336"/>
      <c r="B93" s="337"/>
      <c r="C93" s="338"/>
      <c r="D93" s="338"/>
      <c r="E93" s="338"/>
      <c r="F93" s="338"/>
      <c r="G93" s="338"/>
      <c r="H93" s="338"/>
      <c r="I93" s="338"/>
      <c r="J93" s="338"/>
      <c r="K93" s="338"/>
      <c r="L93" s="338"/>
      <c r="M93" s="338"/>
      <c r="N93" s="338"/>
      <c r="O93" s="339"/>
    </row>
    <row r="94" spans="1:17" ht="15.75" x14ac:dyDescent="0.2">
      <c r="A94" s="332" t="s">
        <v>630</v>
      </c>
      <c r="B94" s="333"/>
      <c r="C94" s="333"/>
      <c r="D94" s="333"/>
      <c r="E94" s="333"/>
      <c r="F94" s="333"/>
      <c r="G94" s="333"/>
      <c r="H94" s="333"/>
      <c r="I94" s="333"/>
      <c r="J94" s="333"/>
      <c r="K94" s="333"/>
      <c r="L94" s="333"/>
      <c r="M94" s="333"/>
      <c r="N94" s="333"/>
      <c r="O94" s="334"/>
    </row>
    <row r="95" spans="1:17" ht="26.45" customHeight="1" x14ac:dyDescent="0.2">
      <c r="A95" s="335">
        <v>15</v>
      </c>
      <c r="B95" s="342" t="s">
        <v>687</v>
      </c>
      <c r="C95" s="342" t="s">
        <v>413</v>
      </c>
      <c r="D95" s="19" t="s">
        <v>632</v>
      </c>
      <c r="E95" s="20">
        <v>100</v>
      </c>
      <c r="F95" s="21" t="s">
        <v>17</v>
      </c>
      <c r="G95" s="21" t="s">
        <v>17</v>
      </c>
      <c r="H95" s="77">
        <f>7900*117/100</f>
        <v>9243</v>
      </c>
      <c r="I95" s="21">
        <f>H95</f>
        <v>9243</v>
      </c>
      <c r="J95" s="19" t="s">
        <v>14</v>
      </c>
      <c r="K95" s="412" t="s">
        <v>18</v>
      </c>
      <c r="L95" s="412" t="s">
        <v>529</v>
      </c>
      <c r="M95" s="376">
        <f>I95</f>
        <v>9243</v>
      </c>
      <c r="N95" s="348" t="s">
        <v>22</v>
      </c>
      <c r="O95" s="350" t="s">
        <v>615</v>
      </c>
      <c r="P95" s="13"/>
      <c r="Q95" s="14"/>
    </row>
    <row r="96" spans="1:17" ht="38.25" x14ac:dyDescent="0.2">
      <c r="A96" s="340"/>
      <c r="B96" s="373"/>
      <c r="C96" s="373"/>
      <c r="D96" s="31" t="s">
        <v>421</v>
      </c>
      <c r="E96" s="7">
        <v>80</v>
      </c>
      <c r="F96" s="8" t="s">
        <v>17</v>
      </c>
      <c r="G96" s="8" t="s">
        <v>17</v>
      </c>
      <c r="H96" s="8">
        <f>11100*117/100</f>
        <v>12987</v>
      </c>
      <c r="I96" s="8">
        <f t="shared" ref="I96" si="13">H96</f>
        <v>12987</v>
      </c>
      <c r="J96" s="31" t="s">
        <v>14</v>
      </c>
      <c r="K96" s="413"/>
      <c r="L96" s="413"/>
      <c r="M96" s="377"/>
      <c r="N96" s="369"/>
      <c r="O96" s="378"/>
      <c r="P96" s="13"/>
      <c r="Q96" s="14"/>
    </row>
    <row r="97" spans="1:17" ht="25.5" x14ac:dyDescent="0.2">
      <c r="A97" s="340"/>
      <c r="B97" s="373"/>
      <c r="C97" s="373"/>
      <c r="D97" s="31" t="s">
        <v>633</v>
      </c>
      <c r="E97" s="7">
        <v>70</v>
      </c>
      <c r="F97" s="8" t="s">
        <v>17</v>
      </c>
      <c r="G97" s="8" t="s">
        <v>17</v>
      </c>
      <c r="H97" s="8">
        <f>14000*117/100</f>
        <v>16380</v>
      </c>
      <c r="I97" s="8">
        <f>H97</f>
        <v>16380</v>
      </c>
      <c r="J97" s="31" t="s">
        <v>14</v>
      </c>
      <c r="K97" s="413"/>
      <c r="L97" s="413"/>
      <c r="M97" s="377"/>
      <c r="N97" s="369"/>
      <c r="O97" s="378"/>
      <c r="P97" s="13"/>
      <c r="Q97" s="14"/>
    </row>
    <row r="98" spans="1:17" ht="25.5" x14ac:dyDescent="0.2">
      <c r="A98" s="340"/>
      <c r="B98" s="373"/>
      <c r="C98" s="373"/>
      <c r="D98" s="31" t="s">
        <v>30</v>
      </c>
      <c r="E98" s="7">
        <v>67</v>
      </c>
      <c r="F98" s="8" t="s">
        <v>17</v>
      </c>
      <c r="G98" s="8" t="s">
        <v>17</v>
      </c>
      <c r="H98" s="8">
        <f>15000*117/100</f>
        <v>17550</v>
      </c>
      <c r="I98" s="8">
        <f>H98</f>
        <v>17550</v>
      </c>
      <c r="J98" s="31" t="s">
        <v>14</v>
      </c>
      <c r="K98" s="413"/>
      <c r="L98" s="413"/>
      <c r="M98" s="377"/>
      <c r="N98" s="369"/>
      <c r="O98" s="378"/>
      <c r="P98" s="13"/>
      <c r="Q98" s="14"/>
    </row>
    <row r="99" spans="1:17" ht="38.25" x14ac:dyDescent="0.2">
      <c r="A99" s="340"/>
      <c r="B99" s="373"/>
      <c r="C99" s="373"/>
      <c r="D99" s="31" t="s">
        <v>77</v>
      </c>
      <c r="E99" s="7">
        <v>45</v>
      </c>
      <c r="F99" s="8" t="s">
        <v>17</v>
      </c>
      <c r="G99" s="8" t="s">
        <v>17</v>
      </c>
      <c r="H99" s="8">
        <f>38000*117/100</f>
        <v>44460</v>
      </c>
      <c r="I99" s="8">
        <f t="shared" ref="I99" si="14">H99</f>
        <v>44460</v>
      </c>
      <c r="J99" s="31" t="s">
        <v>14</v>
      </c>
      <c r="K99" s="413"/>
      <c r="L99" s="413"/>
      <c r="M99" s="377"/>
      <c r="N99" s="369"/>
      <c r="O99" s="378"/>
      <c r="P99" s="13"/>
      <c r="Q99" s="14"/>
    </row>
    <row r="100" spans="1:17" ht="15" customHeight="1" x14ac:dyDescent="0.2">
      <c r="A100" s="336"/>
      <c r="B100" s="337"/>
      <c r="C100" s="338"/>
      <c r="D100" s="338"/>
      <c r="E100" s="338"/>
      <c r="F100" s="338"/>
      <c r="G100" s="338"/>
      <c r="H100" s="338"/>
      <c r="I100" s="338"/>
      <c r="J100" s="338"/>
      <c r="K100" s="338"/>
      <c r="L100" s="338"/>
      <c r="M100" s="338"/>
      <c r="N100" s="338"/>
      <c r="O100" s="339"/>
    </row>
    <row r="101" spans="1:17" ht="15.75" x14ac:dyDescent="0.2">
      <c r="A101" s="332" t="s">
        <v>634</v>
      </c>
      <c r="B101" s="333"/>
      <c r="C101" s="333"/>
      <c r="D101" s="333"/>
      <c r="E101" s="333"/>
      <c r="F101" s="333"/>
      <c r="G101" s="333"/>
      <c r="H101" s="333"/>
      <c r="I101" s="333"/>
      <c r="J101" s="333"/>
      <c r="K101" s="333"/>
      <c r="L101" s="333"/>
      <c r="M101" s="333"/>
      <c r="N101" s="333"/>
      <c r="O101" s="334"/>
    </row>
    <row r="102" spans="1:17" ht="63.75" x14ac:dyDescent="0.2">
      <c r="A102" s="335">
        <v>16</v>
      </c>
      <c r="B102" s="342" t="s">
        <v>635</v>
      </c>
      <c r="C102" s="342" t="s">
        <v>413</v>
      </c>
      <c r="D102" s="19" t="s">
        <v>670</v>
      </c>
      <c r="E102" s="20">
        <v>100</v>
      </c>
      <c r="F102" s="21" t="s">
        <v>17</v>
      </c>
      <c r="G102" s="21" t="s">
        <v>17</v>
      </c>
      <c r="H102" s="77">
        <f>35000*117/100</f>
        <v>40950</v>
      </c>
      <c r="I102" s="21">
        <f>H102</f>
        <v>40950</v>
      </c>
      <c r="J102" s="19" t="s">
        <v>14</v>
      </c>
      <c r="K102" s="412" t="s">
        <v>18</v>
      </c>
      <c r="L102" s="412" t="s">
        <v>529</v>
      </c>
      <c r="M102" s="376">
        <f>I102</f>
        <v>40950</v>
      </c>
      <c r="N102" s="348" t="s">
        <v>22</v>
      </c>
      <c r="O102" s="350" t="s">
        <v>621</v>
      </c>
      <c r="P102" s="13"/>
      <c r="Q102" s="14"/>
    </row>
    <row r="103" spans="1:17" x14ac:dyDescent="0.2">
      <c r="A103" s="340"/>
      <c r="B103" s="373"/>
      <c r="C103" s="373"/>
      <c r="D103" s="31" t="s">
        <v>166</v>
      </c>
      <c r="E103" s="7">
        <v>65</v>
      </c>
      <c r="F103" s="8" t="s">
        <v>17</v>
      </c>
      <c r="G103" s="8" t="s">
        <v>17</v>
      </c>
      <c r="H103" s="8">
        <f>70000*117/100</f>
        <v>81900</v>
      </c>
      <c r="I103" s="8">
        <f t="shared" ref="I103" si="15">H103</f>
        <v>81900</v>
      </c>
      <c r="J103" s="31" t="s">
        <v>14</v>
      </c>
      <c r="K103" s="413"/>
      <c r="L103" s="413"/>
      <c r="M103" s="377"/>
      <c r="N103" s="369"/>
      <c r="O103" s="378"/>
      <c r="P103" s="13"/>
      <c r="Q103" s="14"/>
    </row>
    <row r="104" spans="1:17" ht="38.25" x14ac:dyDescent="0.2">
      <c r="A104" s="340"/>
      <c r="B104" s="373"/>
      <c r="C104" s="373"/>
      <c r="D104" s="31" t="s">
        <v>671</v>
      </c>
      <c r="E104" s="7">
        <v>53</v>
      </c>
      <c r="F104" s="8" t="s">
        <v>17</v>
      </c>
      <c r="G104" s="8" t="s">
        <v>17</v>
      </c>
      <c r="H104" s="8">
        <f>108000*117/100</f>
        <v>126360</v>
      </c>
      <c r="I104" s="8">
        <f>H104</f>
        <v>126360</v>
      </c>
      <c r="J104" s="31" t="s">
        <v>14</v>
      </c>
      <c r="K104" s="413"/>
      <c r="L104" s="413"/>
      <c r="M104" s="377"/>
      <c r="N104" s="369"/>
      <c r="O104" s="378"/>
      <c r="P104" s="13"/>
      <c r="Q104" s="14"/>
    </row>
    <row r="105" spans="1:17" ht="25.5" x14ac:dyDescent="0.2">
      <c r="A105" s="340"/>
      <c r="B105" s="373"/>
      <c r="C105" s="373"/>
      <c r="D105" s="31" t="s">
        <v>636</v>
      </c>
      <c r="E105" s="7">
        <v>47</v>
      </c>
      <c r="F105" s="8" t="s">
        <v>17</v>
      </c>
      <c r="G105" s="8" t="s">
        <v>17</v>
      </c>
      <c r="H105" s="8">
        <f>152000*117/100</f>
        <v>177840</v>
      </c>
      <c r="I105" s="8">
        <f t="shared" ref="I105" si="16">H105</f>
        <v>177840</v>
      </c>
      <c r="J105" s="31" t="s">
        <v>14</v>
      </c>
      <c r="K105" s="413"/>
      <c r="L105" s="413"/>
      <c r="M105" s="377"/>
      <c r="N105" s="369"/>
      <c r="O105" s="378"/>
      <c r="P105" s="13"/>
      <c r="Q105" s="14"/>
    </row>
    <row r="106" spans="1:17" ht="15" customHeight="1" x14ac:dyDescent="0.2">
      <c r="A106" s="336"/>
      <c r="B106" s="337"/>
      <c r="C106" s="338"/>
      <c r="D106" s="338"/>
      <c r="E106" s="338"/>
      <c r="F106" s="338"/>
      <c r="G106" s="338"/>
      <c r="H106" s="338"/>
      <c r="I106" s="338"/>
      <c r="J106" s="338"/>
      <c r="K106" s="338"/>
      <c r="L106" s="338"/>
      <c r="M106" s="338"/>
      <c r="N106" s="338"/>
      <c r="O106" s="339"/>
    </row>
    <row r="107" spans="1:17" ht="15.75" x14ac:dyDescent="0.2">
      <c r="A107" s="332" t="s">
        <v>637</v>
      </c>
      <c r="B107" s="333"/>
      <c r="C107" s="333"/>
      <c r="D107" s="333"/>
      <c r="E107" s="333"/>
      <c r="F107" s="333"/>
      <c r="G107" s="333"/>
      <c r="H107" s="333"/>
      <c r="I107" s="333"/>
      <c r="J107" s="333"/>
      <c r="K107" s="333"/>
      <c r="L107" s="333"/>
      <c r="M107" s="333"/>
      <c r="N107" s="333"/>
      <c r="O107" s="334"/>
    </row>
    <row r="108" spans="1:17" ht="63.75" x14ac:dyDescent="0.2">
      <c r="A108" s="335">
        <v>17</v>
      </c>
      <c r="B108" s="342" t="s">
        <v>638</v>
      </c>
      <c r="C108" s="342" t="s">
        <v>413</v>
      </c>
      <c r="D108" s="19" t="s">
        <v>670</v>
      </c>
      <c r="E108" s="20">
        <v>100</v>
      </c>
      <c r="F108" s="21" t="s">
        <v>17</v>
      </c>
      <c r="G108" s="21" t="s">
        <v>17</v>
      </c>
      <c r="H108" s="77">
        <f>35000*117/100</f>
        <v>40950</v>
      </c>
      <c r="I108" s="21">
        <f>H108</f>
        <v>40950</v>
      </c>
      <c r="J108" s="19" t="s">
        <v>14</v>
      </c>
      <c r="K108" s="412" t="s">
        <v>18</v>
      </c>
      <c r="L108" s="412" t="s">
        <v>529</v>
      </c>
      <c r="M108" s="376">
        <f>I108</f>
        <v>40950</v>
      </c>
      <c r="N108" s="348" t="s">
        <v>22</v>
      </c>
      <c r="O108" s="350" t="s">
        <v>615</v>
      </c>
      <c r="P108" s="13"/>
      <c r="Q108" s="14"/>
    </row>
    <row r="109" spans="1:17" x14ac:dyDescent="0.2">
      <c r="A109" s="340"/>
      <c r="B109" s="373"/>
      <c r="C109" s="373"/>
      <c r="D109" s="31" t="s">
        <v>166</v>
      </c>
      <c r="E109" s="7">
        <v>65</v>
      </c>
      <c r="F109" s="8" t="s">
        <v>17</v>
      </c>
      <c r="G109" s="8" t="s">
        <v>17</v>
      </c>
      <c r="H109" s="8">
        <f>70000*117/100</f>
        <v>81900</v>
      </c>
      <c r="I109" s="8">
        <f t="shared" ref="I109" si="17">H109</f>
        <v>81900</v>
      </c>
      <c r="J109" s="31" t="s">
        <v>14</v>
      </c>
      <c r="K109" s="413"/>
      <c r="L109" s="413"/>
      <c r="M109" s="377"/>
      <c r="N109" s="369"/>
      <c r="O109" s="378"/>
      <c r="P109" s="13"/>
      <c r="Q109" s="14"/>
    </row>
    <row r="110" spans="1:17" ht="38.25" x14ac:dyDescent="0.2">
      <c r="A110" s="340"/>
      <c r="B110" s="373"/>
      <c r="C110" s="373"/>
      <c r="D110" s="31" t="s">
        <v>671</v>
      </c>
      <c r="E110" s="7">
        <v>53</v>
      </c>
      <c r="F110" s="8" t="s">
        <v>17</v>
      </c>
      <c r="G110" s="8" t="s">
        <v>17</v>
      </c>
      <c r="H110" s="8">
        <f>110000*117/100</f>
        <v>128700</v>
      </c>
      <c r="I110" s="8">
        <f>H110</f>
        <v>128700</v>
      </c>
      <c r="J110" s="31" t="s">
        <v>14</v>
      </c>
      <c r="K110" s="413"/>
      <c r="L110" s="413"/>
      <c r="M110" s="377"/>
      <c r="N110" s="369"/>
      <c r="O110" s="378"/>
      <c r="P110" s="13"/>
      <c r="Q110" s="14"/>
    </row>
    <row r="111" spans="1:17" ht="25.5" x14ac:dyDescent="0.2">
      <c r="A111" s="340"/>
      <c r="B111" s="373"/>
      <c r="C111" s="373"/>
      <c r="D111" s="31" t="s">
        <v>636</v>
      </c>
      <c r="E111" s="7">
        <v>47</v>
      </c>
      <c r="F111" s="8" t="s">
        <v>17</v>
      </c>
      <c r="G111" s="8" t="s">
        <v>17</v>
      </c>
      <c r="H111" s="8">
        <f>163000*117/100</f>
        <v>190710</v>
      </c>
      <c r="I111" s="8">
        <f t="shared" ref="I111" si="18">H111</f>
        <v>190710</v>
      </c>
      <c r="J111" s="31" t="s">
        <v>14</v>
      </c>
      <c r="K111" s="413"/>
      <c r="L111" s="413"/>
      <c r="M111" s="377"/>
      <c r="N111" s="369"/>
      <c r="O111" s="378"/>
      <c r="P111" s="13"/>
      <c r="Q111" s="14"/>
    </row>
    <row r="112" spans="1:17" ht="15" customHeight="1" x14ac:dyDescent="0.2">
      <c r="A112" s="336"/>
      <c r="B112" s="337"/>
      <c r="C112" s="338"/>
      <c r="D112" s="338"/>
      <c r="E112" s="338"/>
      <c r="F112" s="338"/>
      <c r="G112" s="338"/>
      <c r="H112" s="338"/>
      <c r="I112" s="338"/>
      <c r="J112" s="338"/>
      <c r="K112" s="338"/>
      <c r="L112" s="338"/>
      <c r="M112" s="338"/>
      <c r="N112" s="338"/>
      <c r="O112" s="339"/>
    </row>
    <row r="113" spans="1:17" ht="15.75" x14ac:dyDescent="0.2">
      <c r="A113" s="332" t="s">
        <v>639</v>
      </c>
      <c r="B113" s="333"/>
      <c r="C113" s="333"/>
      <c r="D113" s="333"/>
      <c r="E113" s="333"/>
      <c r="F113" s="333"/>
      <c r="G113" s="333"/>
      <c r="H113" s="333"/>
      <c r="I113" s="333"/>
      <c r="J113" s="333"/>
      <c r="K113" s="333"/>
      <c r="L113" s="333"/>
      <c r="M113" s="333"/>
      <c r="N113" s="333"/>
      <c r="O113" s="334"/>
    </row>
    <row r="114" spans="1:17" ht="26.45" customHeight="1" x14ac:dyDescent="0.2">
      <c r="A114" s="335">
        <v>18</v>
      </c>
      <c r="B114" s="342" t="s">
        <v>641</v>
      </c>
      <c r="C114" s="342" t="s">
        <v>48</v>
      </c>
      <c r="D114" s="42" t="s">
        <v>642</v>
      </c>
      <c r="E114" s="43">
        <v>100</v>
      </c>
      <c r="F114" s="44" t="s">
        <v>17</v>
      </c>
      <c r="G114" s="44" t="s">
        <v>17</v>
      </c>
      <c r="H114" s="141">
        <f>207540*117/100</f>
        <v>242821.8</v>
      </c>
      <c r="I114" s="44">
        <f>H114</f>
        <v>242821.8</v>
      </c>
      <c r="J114" s="42" t="s">
        <v>14</v>
      </c>
      <c r="K114" s="412" t="s">
        <v>258</v>
      </c>
      <c r="L114" s="440" t="s">
        <v>672</v>
      </c>
      <c r="M114" s="376"/>
      <c r="N114" s="348" t="s">
        <v>22</v>
      </c>
      <c r="O114" s="350"/>
      <c r="P114" s="13"/>
      <c r="Q114" s="14"/>
    </row>
    <row r="115" spans="1:17" ht="25.5" x14ac:dyDescent="0.2">
      <c r="A115" s="340"/>
      <c r="B115" s="373"/>
      <c r="C115" s="373"/>
      <c r="D115" s="31" t="s">
        <v>43</v>
      </c>
      <c r="E115" s="7">
        <v>77</v>
      </c>
      <c r="F115" s="8" t="s">
        <v>17</v>
      </c>
      <c r="G115" s="8" t="s">
        <v>17</v>
      </c>
      <c r="H115" s="8">
        <f>305365*117/100</f>
        <v>357277.05</v>
      </c>
      <c r="I115" s="8">
        <f t="shared" ref="I115" si="19">H115</f>
        <v>357277.05</v>
      </c>
      <c r="J115" s="31" t="s">
        <v>14</v>
      </c>
      <c r="K115" s="413"/>
      <c r="L115" s="441"/>
      <c r="M115" s="377"/>
      <c r="N115" s="369"/>
      <c r="O115" s="378"/>
      <c r="P115" s="13"/>
      <c r="Q115" s="14"/>
    </row>
    <row r="116" spans="1:17" x14ac:dyDescent="0.2">
      <c r="A116" s="340"/>
      <c r="B116" s="373"/>
      <c r="C116" s="373"/>
      <c r="D116" s="31" t="s">
        <v>643</v>
      </c>
      <c r="E116" s="7">
        <v>70</v>
      </c>
      <c r="F116" s="8" t="s">
        <v>17</v>
      </c>
      <c r="G116" s="8" t="s">
        <v>17</v>
      </c>
      <c r="H116" s="8">
        <f>360000*117/100</f>
        <v>421200</v>
      </c>
      <c r="I116" s="8">
        <f>H116</f>
        <v>421200</v>
      </c>
      <c r="J116" s="31"/>
      <c r="K116" s="413"/>
      <c r="L116" s="441"/>
      <c r="M116" s="377"/>
      <c r="N116" s="369"/>
      <c r="O116" s="378"/>
      <c r="P116" s="13"/>
      <c r="Q116" s="14"/>
    </row>
    <row r="117" spans="1:17" ht="15" customHeight="1" x14ac:dyDescent="0.2">
      <c r="A117" s="336"/>
      <c r="B117" s="337"/>
      <c r="C117" s="338"/>
      <c r="D117" s="338"/>
      <c r="E117" s="338"/>
      <c r="F117" s="338"/>
      <c r="G117" s="338"/>
      <c r="H117" s="338"/>
      <c r="I117" s="338"/>
      <c r="J117" s="338"/>
      <c r="K117" s="338"/>
      <c r="L117" s="338"/>
      <c r="M117" s="338"/>
      <c r="N117" s="338"/>
      <c r="O117" s="339"/>
    </row>
    <row r="118" spans="1:17" ht="15.75" x14ac:dyDescent="0.2">
      <c r="A118" s="332" t="s">
        <v>640</v>
      </c>
      <c r="B118" s="333"/>
      <c r="C118" s="333"/>
      <c r="D118" s="333"/>
      <c r="E118" s="333"/>
      <c r="F118" s="333"/>
      <c r="G118" s="333"/>
      <c r="H118" s="333"/>
      <c r="I118" s="333"/>
      <c r="J118" s="333"/>
      <c r="K118" s="333"/>
      <c r="L118" s="333"/>
      <c r="M118" s="333"/>
      <c r="N118" s="333"/>
      <c r="O118" s="334"/>
    </row>
    <row r="119" spans="1:17" ht="38.25" x14ac:dyDescent="0.2">
      <c r="A119" s="335">
        <v>19</v>
      </c>
      <c r="B119" s="342" t="s">
        <v>645</v>
      </c>
      <c r="C119" s="342" t="s">
        <v>48</v>
      </c>
      <c r="D119" s="42" t="s">
        <v>646</v>
      </c>
      <c r="E119" s="43">
        <v>100</v>
      </c>
      <c r="F119" s="44" t="s">
        <v>17</v>
      </c>
      <c r="G119" s="44" t="s">
        <v>17</v>
      </c>
      <c r="H119" s="141">
        <f>310750*117/100</f>
        <v>363577.5</v>
      </c>
      <c r="I119" s="44">
        <f>H119</f>
        <v>363577.5</v>
      </c>
      <c r="J119" s="42" t="s">
        <v>14</v>
      </c>
      <c r="K119" s="412" t="s">
        <v>258</v>
      </c>
      <c r="L119" s="429" t="s">
        <v>678</v>
      </c>
      <c r="M119" s="376"/>
      <c r="N119" s="348" t="s">
        <v>22</v>
      </c>
      <c r="O119" s="350"/>
      <c r="P119" s="13"/>
      <c r="Q119" s="14"/>
    </row>
    <row r="120" spans="1:17" ht="26.45" customHeight="1" x14ac:dyDescent="0.2">
      <c r="A120" s="340"/>
      <c r="B120" s="373"/>
      <c r="C120" s="373"/>
      <c r="D120" s="31" t="s">
        <v>647</v>
      </c>
      <c r="E120" s="7">
        <v>87</v>
      </c>
      <c r="F120" s="8" t="s">
        <v>17</v>
      </c>
      <c r="G120" s="8" t="s">
        <v>17</v>
      </c>
      <c r="H120" s="8">
        <f>382000*117/100</f>
        <v>446940</v>
      </c>
      <c r="I120" s="8">
        <f t="shared" ref="I120" si="20">H120</f>
        <v>446940</v>
      </c>
      <c r="J120" s="31" t="s">
        <v>14</v>
      </c>
      <c r="K120" s="413"/>
      <c r="L120" s="430"/>
      <c r="M120" s="377"/>
      <c r="N120" s="369"/>
      <c r="O120" s="378"/>
      <c r="P120" s="13"/>
      <c r="Q120" s="14"/>
    </row>
    <row r="121" spans="1:17" ht="38.25" x14ac:dyDescent="0.2">
      <c r="A121" s="340"/>
      <c r="B121" s="373"/>
      <c r="C121" s="373"/>
      <c r="D121" s="31" t="s">
        <v>648</v>
      </c>
      <c r="E121" s="7">
        <v>79</v>
      </c>
      <c r="F121" s="8" t="s">
        <v>17</v>
      </c>
      <c r="G121" s="8" t="s">
        <v>17</v>
      </c>
      <c r="H121" s="8">
        <f>437500*117/100</f>
        <v>511875</v>
      </c>
      <c r="I121" s="8">
        <f t="shared" ref="I121" si="21">H121</f>
        <v>511875</v>
      </c>
      <c r="J121" s="31" t="s">
        <v>14</v>
      </c>
      <c r="K121" s="413"/>
      <c r="L121" s="430"/>
      <c r="M121" s="377"/>
      <c r="N121" s="369"/>
      <c r="O121" s="378"/>
      <c r="P121" s="13"/>
      <c r="Q121" s="14"/>
    </row>
    <row r="122" spans="1:17" ht="25.5" x14ac:dyDescent="0.2">
      <c r="A122" s="340"/>
      <c r="B122" s="373"/>
      <c r="C122" s="373"/>
      <c r="D122" s="31" t="s">
        <v>649</v>
      </c>
      <c r="E122" s="7">
        <v>57</v>
      </c>
      <c r="F122" s="8" t="s">
        <v>17</v>
      </c>
      <c r="G122" s="8" t="s">
        <v>17</v>
      </c>
      <c r="H122" s="8">
        <f>789000*117/100</f>
        <v>923130</v>
      </c>
      <c r="I122" s="8">
        <f>H122</f>
        <v>923130</v>
      </c>
      <c r="J122" s="31" t="s">
        <v>14</v>
      </c>
      <c r="K122" s="413"/>
      <c r="L122" s="430"/>
      <c r="M122" s="377"/>
      <c r="N122" s="369"/>
      <c r="O122" s="378"/>
      <c r="P122" s="13"/>
      <c r="Q122" s="14"/>
    </row>
    <row r="123" spans="1:17" ht="15" customHeight="1" x14ac:dyDescent="0.2">
      <c r="A123" s="336"/>
      <c r="B123" s="337"/>
      <c r="C123" s="338"/>
      <c r="D123" s="338"/>
      <c r="E123" s="338"/>
      <c r="F123" s="338"/>
      <c r="G123" s="338"/>
      <c r="H123" s="338"/>
      <c r="I123" s="338"/>
      <c r="J123" s="338"/>
      <c r="K123" s="338"/>
      <c r="L123" s="338"/>
      <c r="M123" s="338"/>
      <c r="N123" s="338"/>
      <c r="O123" s="339"/>
    </row>
    <row r="124" spans="1:17" ht="15.75" x14ac:dyDescent="0.2">
      <c r="A124" s="332" t="s">
        <v>644</v>
      </c>
      <c r="B124" s="333"/>
      <c r="C124" s="333"/>
      <c r="D124" s="333"/>
      <c r="E124" s="333"/>
      <c r="F124" s="333"/>
      <c r="G124" s="333"/>
      <c r="H124" s="333"/>
      <c r="I124" s="333"/>
      <c r="J124" s="333"/>
      <c r="K124" s="333"/>
      <c r="L124" s="333"/>
      <c r="M124" s="333"/>
      <c r="N124" s="333"/>
      <c r="O124" s="334"/>
    </row>
    <row r="125" spans="1:17" ht="60" x14ac:dyDescent="0.2">
      <c r="A125" s="335">
        <v>20</v>
      </c>
      <c r="B125" s="133" t="s">
        <v>674</v>
      </c>
      <c r="C125" s="136" t="s">
        <v>286</v>
      </c>
      <c r="D125" s="42" t="s">
        <v>655</v>
      </c>
      <c r="E125" s="43">
        <v>100</v>
      </c>
      <c r="F125" s="44" t="s">
        <v>17</v>
      </c>
      <c r="G125" s="44" t="s">
        <v>17</v>
      </c>
      <c r="H125" s="141">
        <f>(50000+70000)*117/100</f>
        <v>140400</v>
      </c>
      <c r="I125" s="44">
        <f>H125</f>
        <v>140400</v>
      </c>
      <c r="J125" s="42" t="s">
        <v>14</v>
      </c>
      <c r="K125" s="137" t="s">
        <v>258</v>
      </c>
      <c r="L125" s="139" t="s">
        <v>673</v>
      </c>
      <c r="M125" s="131"/>
      <c r="N125" s="134" t="s">
        <v>22</v>
      </c>
      <c r="O125" s="135"/>
    </row>
    <row r="126" spans="1:17" ht="13.9" customHeight="1" x14ac:dyDescent="0.2">
      <c r="A126" s="336"/>
      <c r="B126" s="337" t="s">
        <v>656</v>
      </c>
      <c r="C126" s="338"/>
      <c r="D126" s="338"/>
      <c r="E126" s="338"/>
      <c r="F126" s="338"/>
      <c r="G126" s="338"/>
      <c r="H126" s="338"/>
      <c r="I126" s="338"/>
      <c r="J126" s="338"/>
      <c r="K126" s="338"/>
      <c r="L126" s="338"/>
      <c r="M126" s="338"/>
      <c r="N126" s="338"/>
      <c r="O126" s="339"/>
    </row>
    <row r="127" spans="1:17" ht="15.75" x14ac:dyDescent="0.2">
      <c r="A127" s="332" t="s">
        <v>650</v>
      </c>
      <c r="B127" s="333"/>
      <c r="C127" s="333"/>
      <c r="D127" s="333"/>
      <c r="E127" s="333"/>
      <c r="F127" s="333"/>
      <c r="G127" s="333"/>
      <c r="H127" s="333"/>
      <c r="I127" s="333"/>
      <c r="J127" s="333"/>
      <c r="K127" s="333"/>
      <c r="L127" s="333"/>
      <c r="M127" s="333"/>
      <c r="N127" s="333"/>
      <c r="O127" s="334"/>
    </row>
    <row r="128" spans="1:17" ht="84" x14ac:dyDescent="0.2">
      <c r="A128" s="335">
        <v>21</v>
      </c>
      <c r="B128" s="133" t="s">
        <v>652</v>
      </c>
      <c r="C128" s="136" t="s">
        <v>653</v>
      </c>
      <c r="D128" s="42" t="s">
        <v>654</v>
      </c>
      <c r="E128" s="43">
        <v>100</v>
      </c>
      <c r="F128" s="44" t="s">
        <v>49</v>
      </c>
      <c r="G128" s="44" t="s">
        <v>42</v>
      </c>
      <c r="H128" s="141">
        <f>(20*200)*117/100</f>
        <v>4680</v>
      </c>
      <c r="I128" s="44">
        <f>H128*12</f>
        <v>56160</v>
      </c>
      <c r="J128" s="42" t="s">
        <v>14</v>
      </c>
      <c r="K128" s="139" t="s">
        <v>258</v>
      </c>
      <c r="L128" s="132" t="s">
        <v>677</v>
      </c>
      <c r="M128" s="131"/>
      <c r="N128" s="134" t="s">
        <v>22</v>
      </c>
      <c r="O128" s="135"/>
    </row>
    <row r="129" spans="1:15" ht="27" customHeight="1" x14ac:dyDescent="0.2">
      <c r="A129" s="336"/>
      <c r="B129" s="337" t="s">
        <v>675</v>
      </c>
      <c r="C129" s="338"/>
      <c r="D129" s="338"/>
      <c r="E129" s="338"/>
      <c r="F129" s="338"/>
      <c r="G129" s="338"/>
      <c r="H129" s="338"/>
      <c r="I129" s="338"/>
      <c r="J129" s="338"/>
      <c r="K129" s="338"/>
      <c r="L129" s="338"/>
      <c r="M129" s="338"/>
      <c r="N129" s="338"/>
      <c r="O129" s="339"/>
    </row>
    <row r="130" spans="1:15" ht="15.75" x14ac:dyDescent="0.2">
      <c r="A130" s="332" t="s">
        <v>651</v>
      </c>
      <c r="B130" s="333"/>
      <c r="C130" s="333"/>
      <c r="D130" s="333"/>
      <c r="E130" s="333"/>
      <c r="F130" s="333"/>
      <c r="G130" s="333"/>
      <c r="H130" s="333"/>
      <c r="I130" s="333"/>
      <c r="J130" s="333"/>
      <c r="K130" s="333"/>
      <c r="L130" s="333"/>
      <c r="M130" s="333"/>
      <c r="N130" s="333"/>
      <c r="O130" s="334"/>
    </row>
    <row r="131" spans="1:15" ht="60" x14ac:dyDescent="0.2">
      <c r="A131" s="335">
        <v>22</v>
      </c>
      <c r="B131" s="133" t="s">
        <v>658</v>
      </c>
      <c r="C131" s="136" t="s">
        <v>659</v>
      </c>
      <c r="D131" s="16" t="s">
        <v>661</v>
      </c>
      <c r="E131" s="17">
        <v>100</v>
      </c>
      <c r="F131" s="18" t="s">
        <v>657</v>
      </c>
      <c r="G131" s="18" t="s">
        <v>662</v>
      </c>
      <c r="H131" s="17" t="s">
        <v>676</v>
      </c>
      <c r="I131" s="18">
        <f>1/100*30000000</f>
        <v>300000</v>
      </c>
      <c r="J131" s="16" t="s">
        <v>14</v>
      </c>
      <c r="K131" s="137" t="s">
        <v>21</v>
      </c>
      <c r="L131" s="138" t="s">
        <v>529</v>
      </c>
      <c r="M131" s="131">
        <f>I131</f>
        <v>300000</v>
      </c>
      <c r="N131" s="134" t="s">
        <v>22</v>
      </c>
      <c r="O131" s="135"/>
    </row>
    <row r="132" spans="1:15" ht="15" customHeight="1" x14ac:dyDescent="0.2">
      <c r="A132" s="336"/>
      <c r="B132" s="337" t="s">
        <v>660</v>
      </c>
      <c r="C132" s="338"/>
      <c r="D132" s="338"/>
      <c r="E132" s="338"/>
      <c r="F132" s="338"/>
      <c r="G132" s="338"/>
      <c r="H132" s="338"/>
      <c r="I132" s="338"/>
      <c r="J132" s="338"/>
      <c r="K132" s="338"/>
      <c r="L132" s="338"/>
      <c r="M132" s="338"/>
      <c r="N132" s="338"/>
      <c r="O132" s="339"/>
    </row>
    <row r="134" spans="1:15" x14ac:dyDescent="0.2">
      <c r="B134" s="28"/>
    </row>
    <row r="144" spans="1:15" ht="14.25" customHeight="1" x14ac:dyDescent="0.2"/>
  </sheetData>
  <mergeCells count="205">
    <mergeCell ref="A1:A6"/>
    <mergeCell ref="B1:O1"/>
    <mergeCell ref="B2:O2"/>
    <mergeCell ref="B3:O3"/>
    <mergeCell ref="B4:O4"/>
    <mergeCell ref="B5:O5"/>
    <mergeCell ref="A7:O7"/>
    <mergeCell ref="A8:A12"/>
    <mergeCell ref="B8:B11"/>
    <mergeCell ref="C8:C11"/>
    <mergeCell ref="K8:K11"/>
    <mergeCell ref="L8:L11"/>
    <mergeCell ref="M8:M11"/>
    <mergeCell ref="N8:N11"/>
    <mergeCell ref="O8:O11"/>
    <mergeCell ref="B12:O12"/>
    <mergeCell ref="A13:O13"/>
    <mergeCell ref="A14:A18"/>
    <mergeCell ref="B14:B17"/>
    <mergeCell ref="C14:C17"/>
    <mergeCell ref="K14:K17"/>
    <mergeCell ref="L14:L17"/>
    <mergeCell ref="M14:M17"/>
    <mergeCell ref="N14:N17"/>
    <mergeCell ref="O14:O17"/>
    <mergeCell ref="B18:O18"/>
    <mergeCell ref="A75:O75"/>
    <mergeCell ref="A124:O124"/>
    <mergeCell ref="A125:A126"/>
    <mergeCell ref="B126:O126"/>
    <mergeCell ref="A63:O63"/>
    <mergeCell ref="A64:A68"/>
    <mergeCell ref="B64:B67"/>
    <mergeCell ref="C64:C67"/>
    <mergeCell ref="K64:K67"/>
    <mergeCell ref="L64:L67"/>
    <mergeCell ref="M64:M67"/>
    <mergeCell ref="A69:O69"/>
    <mergeCell ref="A70:A74"/>
    <mergeCell ref="B70:B73"/>
    <mergeCell ref="C70:C73"/>
    <mergeCell ref="K70:K73"/>
    <mergeCell ref="L70:L73"/>
    <mergeCell ref="M70:M73"/>
    <mergeCell ref="B68:O68"/>
    <mergeCell ref="N70:N73"/>
    <mergeCell ref="O70:O73"/>
    <mergeCell ref="B74:O74"/>
    <mergeCell ref="N76:N79"/>
    <mergeCell ref="O76:O79"/>
    <mergeCell ref="A32:O32"/>
    <mergeCell ref="A19:O19"/>
    <mergeCell ref="A20:A24"/>
    <mergeCell ref="B20:B23"/>
    <mergeCell ref="C20:C23"/>
    <mergeCell ref="K20:K23"/>
    <mergeCell ref="L20:L23"/>
    <mergeCell ref="M20:M23"/>
    <mergeCell ref="N64:N67"/>
    <mergeCell ref="O64:O67"/>
    <mergeCell ref="N20:N23"/>
    <mergeCell ref="O20:O23"/>
    <mergeCell ref="B24:O24"/>
    <mergeCell ref="A25:O25"/>
    <mergeCell ref="A26:A31"/>
    <mergeCell ref="B26:B30"/>
    <mergeCell ref="C26:C30"/>
    <mergeCell ref="K26:K30"/>
    <mergeCell ref="L26:L30"/>
    <mergeCell ref="M26:M30"/>
    <mergeCell ref="N26:N30"/>
    <mergeCell ref="O26:O30"/>
    <mergeCell ref="B31:O31"/>
    <mergeCell ref="A33:A37"/>
    <mergeCell ref="B33:B36"/>
    <mergeCell ref="C33:C36"/>
    <mergeCell ref="K33:K36"/>
    <mergeCell ref="L33:L36"/>
    <mergeCell ref="M33:M36"/>
    <mergeCell ref="N33:N36"/>
    <mergeCell ref="O33:O36"/>
    <mergeCell ref="B37:O37"/>
    <mergeCell ref="A38:O38"/>
    <mergeCell ref="A39:A44"/>
    <mergeCell ref="B39:B43"/>
    <mergeCell ref="C39:C43"/>
    <mergeCell ref="K39:K43"/>
    <mergeCell ref="L39:L43"/>
    <mergeCell ref="M39:M43"/>
    <mergeCell ref="N39:N43"/>
    <mergeCell ref="O39:O43"/>
    <mergeCell ref="B44:O44"/>
    <mergeCell ref="A45:O45"/>
    <mergeCell ref="A46:A50"/>
    <mergeCell ref="B46:B49"/>
    <mergeCell ref="C46:C49"/>
    <mergeCell ref="K46:K49"/>
    <mergeCell ref="L46:L49"/>
    <mergeCell ref="M46:M49"/>
    <mergeCell ref="N46:N49"/>
    <mergeCell ref="O46:O49"/>
    <mergeCell ref="B50:O50"/>
    <mergeCell ref="A51:O51"/>
    <mergeCell ref="A52:A56"/>
    <mergeCell ref="B52:B55"/>
    <mergeCell ref="C52:C55"/>
    <mergeCell ref="K52:K55"/>
    <mergeCell ref="L52:L55"/>
    <mergeCell ref="M52:M55"/>
    <mergeCell ref="N52:N55"/>
    <mergeCell ref="O52:O55"/>
    <mergeCell ref="B56:O56"/>
    <mergeCell ref="A57:O57"/>
    <mergeCell ref="A58:A62"/>
    <mergeCell ref="B58:B61"/>
    <mergeCell ref="C58:C61"/>
    <mergeCell ref="K58:K61"/>
    <mergeCell ref="L58:L61"/>
    <mergeCell ref="M58:M61"/>
    <mergeCell ref="N58:N61"/>
    <mergeCell ref="O58:O61"/>
    <mergeCell ref="B62:O62"/>
    <mergeCell ref="B80:O80"/>
    <mergeCell ref="A81:O81"/>
    <mergeCell ref="A82:A86"/>
    <mergeCell ref="B82:B85"/>
    <mergeCell ref="C82:C85"/>
    <mergeCell ref="K82:K85"/>
    <mergeCell ref="L82:L85"/>
    <mergeCell ref="M82:M85"/>
    <mergeCell ref="A76:A80"/>
    <mergeCell ref="B76:B79"/>
    <mergeCell ref="C76:C79"/>
    <mergeCell ref="K76:K79"/>
    <mergeCell ref="L76:L79"/>
    <mergeCell ref="M76:M79"/>
    <mergeCell ref="N82:N85"/>
    <mergeCell ref="O82:O85"/>
    <mergeCell ref="B86:O86"/>
    <mergeCell ref="A87:O87"/>
    <mergeCell ref="A88:A93"/>
    <mergeCell ref="B88:B92"/>
    <mergeCell ref="C88:C92"/>
    <mergeCell ref="K88:K92"/>
    <mergeCell ref="L88:L92"/>
    <mergeCell ref="M88:M92"/>
    <mergeCell ref="N88:N92"/>
    <mergeCell ref="O88:O92"/>
    <mergeCell ref="B93:O93"/>
    <mergeCell ref="A101:O101"/>
    <mergeCell ref="A102:A106"/>
    <mergeCell ref="B102:B105"/>
    <mergeCell ref="C102:C105"/>
    <mergeCell ref="K102:K105"/>
    <mergeCell ref="L102:L105"/>
    <mergeCell ref="M102:M105"/>
    <mergeCell ref="A94:O94"/>
    <mergeCell ref="A95:A100"/>
    <mergeCell ref="B95:B99"/>
    <mergeCell ref="C95:C99"/>
    <mergeCell ref="K95:K99"/>
    <mergeCell ref="L95:L99"/>
    <mergeCell ref="M95:M99"/>
    <mergeCell ref="N102:N105"/>
    <mergeCell ref="O102:O105"/>
    <mergeCell ref="N95:N99"/>
    <mergeCell ref="O95:O99"/>
    <mergeCell ref="B100:O100"/>
    <mergeCell ref="B106:O106"/>
    <mergeCell ref="A107:O107"/>
    <mergeCell ref="A108:A112"/>
    <mergeCell ref="B108:B111"/>
    <mergeCell ref="C108:C111"/>
    <mergeCell ref="K108:K111"/>
    <mergeCell ref="L108:L111"/>
    <mergeCell ref="M108:M111"/>
    <mergeCell ref="N119:N122"/>
    <mergeCell ref="O119:O122"/>
    <mergeCell ref="A113:O113"/>
    <mergeCell ref="A114:A117"/>
    <mergeCell ref="B114:B116"/>
    <mergeCell ref="C114:C116"/>
    <mergeCell ref="K114:K116"/>
    <mergeCell ref="L114:L116"/>
    <mergeCell ref="M114:M116"/>
    <mergeCell ref="N108:N111"/>
    <mergeCell ref="O108:O111"/>
    <mergeCell ref="B112:O112"/>
    <mergeCell ref="B123:O123"/>
    <mergeCell ref="A130:O130"/>
    <mergeCell ref="A131:A132"/>
    <mergeCell ref="B132:O132"/>
    <mergeCell ref="N114:N116"/>
    <mergeCell ref="O114:O116"/>
    <mergeCell ref="B117:O117"/>
    <mergeCell ref="A118:O118"/>
    <mergeCell ref="A119:A123"/>
    <mergeCell ref="B119:B122"/>
    <mergeCell ref="C119:C122"/>
    <mergeCell ref="K119:K122"/>
    <mergeCell ref="L119:L122"/>
    <mergeCell ref="M119:M122"/>
    <mergeCell ref="A127:O127"/>
    <mergeCell ref="A128:A129"/>
    <mergeCell ref="B129:O129"/>
  </mergeCells>
  <pageMargins left="0.25" right="0.25" top="0.75" bottom="0.75" header="0.3" footer="0.3"/>
  <pageSetup paperSize="9" scale="73" fitToHeight="0" orientation="landscape" r:id="rId1"/>
  <rowBreaks count="5" manualBreakCount="5">
    <brk id="24" max="16383" man="1"/>
    <brk id="50" max="16383" man="1"/>
    <brk id="80" max="16383" man="1"/>
    <brk id="106" max="16383" man="1"/>
    <brk id="132"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Q46"/>
  <sheetViews>
    <sheetView rightToLeft="1" topLeftCell="A31" zoomScaleNormal="100" workbookViewId="0">
      <selection activeCell="A36" sqref="A36:XFD36"/>
    </sheetView>
  </sheetViews>
  <sheetFormatPr defaultColWidth="8.75" defaultRowHeight="15" x14ac:dyDescent="0.2"/>
  <cols>
    <col min="1" max="1" width="4.25" customWidth="1"/>
    <col min="2" max="2" width="21.125" style="9" bestFit="1" customWidth="1"/>
    <col min="4" max="4" width="7.25" customWidth="1"/>
    <col min="5" max="5" width="7.75" customWidth="1"/>
    <col min="6" max="6" width="10.25" bestFit="1" customWidth="1"/>
    <col min="7" max="7" width="12.125" style="10" bestFit="1" customWidth="1"/>
    <col min="8" max="8" width="13.625" style="11" bestFit="1" customWidth="1"/>
    <col min="9" max="9" width="14.625" style="11" bestFit="1" customWidth="1"/>
    <col min="10" max="10" width="9" customWidth="1"/>
    <col min="11" max="11" width="12.875" style="12" customWidth="1"/>
    <col min="12" max="12" width="19.375" style="12" customWidth="1"/>
    <col min="13" max="13" width="15" style="12" customWidth="1"/>
    <col min="14" max="14" width="10.875" style="13" customWidth="1"/>
    <col min="15" max="15" width="13" style="14" customWidth="1"/>
  </cols>
  <sheetData>
    <row r="1" spans="1:15" ht="20.25" x14ac:dyDescent="0.2">
      <c r="A1" s="354"/>
      <c r="B1" s="355" t="s">
        <v>553</v>
      </c>
      <c r="C1" s="355"/>
      <c r="D1" s="355"/>
      <c r="E1" s="355"/>
      <c r="F1" s="355"/>
      <c r="G1" s="355"/>
      <c r="H1" s="355"/>
      <c r="I1" s="355"/>
      <c r="J1" s="355"/>
      <c r="K1" s="355"/>
      <c r="L1" s="355"/>
      <c r="M1" s="355"/>
      <c r="N1" s="355"/>
      <c r="O1" s="355"/>
    </row>
    <row r="2" spans="1:15" ht="14.25" x14ac:dyDescent="0.2">
      <c r="A2" s="354"/>
      <c r="B2" s="356" t="s">
        <v>198</v>
      </c>
      <c r="C2" s="356"/>
      <c r="D2" s="356"/>
      <c r="E2" s="356"/>
      <c r="F2" s="356"/>
      <c r="G2" s="356"/>
      <c r="H2" s="356"/>
      <c r="I2" s="356"/>
      <c r="J2" s="356"/>
      <c r="K2" s="356"/>
      <c r="L2" s="356"/>
      <c r="M2" s="356"/>
      <c r="N2" s="356"/>
      <c r="O2" s="356"/>
    </row>
    <row r="3" spans="1:15" ht="15.75" x14ac:dyDescent="0.2">
      <c r="A3" s="354"/>
      <c r="B3" s="357" t="s">
        <v>517</v>
      </c>
      <c r="C3" s="357"/>
      <c r="D3" s="357"/>
      <c r="E3" s="357"/>
      <c r="F3" s="357"/>
      <c r="G3" s="357"/>
      <c r="H3" s="357"/>
      <c r="I3" s="357"/>
      <c r="J3" s="357"/>
      <c r="K3" s="357"/>
      <c r="L3" s="357"/>
      <c r="M3" s="357"/>
      <c r="N3" s="357"/>
      <c r="O3" s="357"/>
    </row>
    <row r="4" spans="1:15" ht="14.25" x14ac:dyDescent="0.2">
      <c r="A4" s="354"/>
      <c r="B4" s="358" t="s">
        <v>71</v>
      </c>
      <c r="C4" s="358"/>
      <c r="D4" s="358"/>
      <c r="E4" s="358"/>
      <c r="F4" s="358"/>
      <c r="G4" s="358"/>
      <c r="H4" s="358"/>
      <c r="I4" s="358"/>
      <c r="J4" s="358"/>
      <c r="K4" s="358"/>
      <c r="L4" s="358"/>
      <c r="M4" s="358"/>
      <c r="N4" s="358"/>
      <c r="O4" s="358"/>
    </row>
    <row r="5" spans="1:15" ht="14.25" x14ac:dyDescent="0.2">
      <c r="A5" s="354"/>
      <c r="B5" s="358" t="s">
        <v>70</v>
      </c>
      <c r="C5" s="358"/>
      <c r="D5" s="358"/>
      <c r="E5" s="358"/>
      <c r="F5" s="358"/>
      <c r="G5" s="358"/>
      <c r="H5" s="358"/>
      <c r="I5" s="358"/>
      <c r="J5" s="358"/>
      <c r="K5" s="358"/>
      <c r="L5" s="358"/>
      <c r="M5" s="358"/>
      <c r="N5" s="358"/>
      <c r="O5" s="358"/>
    </row>
    <row r="6" spans="1:15" ht="46.5" customHeight="1" x14ac:dyDescent="0.2">
      <c r="A6" s="354"/>
      <c r="B6" s="1" t="s">
        <v>1</v>
      </c>
      <c r="C6" s="2" t="s">
        <v>2</v>
      </c>
      <c r="D6" s="3" t="s">
        <v>3</v>
      </c>
      <c r="E6" s="3" t="s">
        <v>4</v>
      </c>
      <c r="F6" s="3" t="s">
        <v>5</v>
      </c>
      <c r="G6" s="3" t="s">
        <v>6</v>
      </c>
      <c r="H6" s="4" t="s">
        <v>7</v>
      </c>
      <c r="I6" s="5" t="s">
        <v>8</v>
      </c>
      <c r="J6" s="3" t="s">
        <v>9</v>
      </c>
      <c r="K6" s="3" t="s">
        <v>10</v>
      </c>
      <c r="L6" s="3" t="s">
        <v>525</v>
      </c>
      <c r="M6" s="109" t="s">
        <v>526</v>
      </c>
      <c r="N6" s="6" t="s">
        <v>11</v>
      </c>
      <c r="O6" s="3" t="s">
        <v>12</v>
      </c>
    </row>
    <row r="7" spans="1:15" ht="15.75" x14ac:dyDescent="0.2">
      <c r="A7" s="332" t="s">
        <v>538</v>
      </c>
      <c r="B7" s="333"/>
      <c r="C7" s="333"/>
      <c r="D7" s="333"/>
      <c r="E7" s="333"/>
      <c r="F7" s="333"/>
      <c r="G7" s="333"/>
      <c r="H7" s="333"/>
      <c r="I7" s="333"/>
      <c r="J7" s="333"/>
      <c r="K7" s="333"/>
      <c r="L7" s="333"/>
      <c r="M7" s="333"/>
      <c r="N7" s="333"/>
      <c r="O7" s="334"/>
    </row>
    <row r="8" spans="1:15" ht="25.5" customHeight="1" x14ac:dyDescent="0.2">
      <c r="A8" s="335">
        <v>1</v>
      </c>
      <c r="B8" s="342" t="s">
        <v>539</v>
      </c>
      <c r="C8" s="342" t="s">
        <v>92</v>
      </c>
      <c r="D8" s="16" t="s">
        <v>457</v>
      </c>
      <c r="E8" s="17">
        <v>100</v>
      </c>
      <c r="F8" s="18" t="s">
        <v>17</v>
      </c>
      <c r="G8" s="18" t="s">
        <v>17</v>
      </c>
      <c r="H8" s="18">
        <f>18000*117/100</f>
        <v>21060</v>
      </c>
      <c r="I8" s="27">
        <f>H8</f>
        <v>21060</v>
      </c>
      <c r="J8" s="16" t="s">
        <v>14</v>
      </c>
      <c r="K8" s="412" t="s">
        <v>20</v>
      </c>
      <c r="L8" s="412" t="s">
        <v>529</v>
      </c>
      <c r="M8" s="376">
        <f>I8</f>
        <v>21060</v>
      </c>
      <c r="N8" s="348" t="s">
        <v>22</v>
      </c>
      <c r="O8" s="350">
        <v>1621000750</v>
      </c>
    </row>
    <row r="9" spans="1:15" ht="15" customHeight="1" x14ac:dyDescent="0.2">
      <c r="A9" s="340"/>
      <c r="B9" s="373"/>
      <c r="C9" s="373"/>
      <c r="D9" s="31" t="s">
        <v>537</v>
      </c>
      <c r="E9" s="7">
        <v>48</v>
      </c>
      <c r="F9" s="8" t="s">
        <v>17</v>
      </c>
      <c r="G9" s="8" t="s">
        <v>17</v>
      </c>
      <c r="H9" s="8">
        <f>70000*117/100</f>
        <v>81900</v>
      </c>
      <c r="I9" s="15">
        <f>H9</f>
        <v>81900</v>
      </c>
      <c r="J9" s="31"/>
      <c r="K9" s="413"/>
      <c r="L9" s="413"/>
      <c r="M9" s="377"/>
      <c r="N9" s="369"/>
      <c r="O9" s="378"/>
    </row>
    <row r="10" spans="1:15" ht="38.25" x14ac:dyDescent="0.2">
      <c r="A10" s="340"/>
      <c r="B10" s="343"/>
      <c r="C10" s="343"/>
      <c r="D10" s="31" t="s">
        <v>540</v>
      </c>
      <c r="E10" s="7">
        <v>44</v>
      </c>
      <c r="F10" s="8" t="s">
        <v>17</v>
      </c>
      <c r="G10" s="8" t="s">
        <v>17</v>
      </c>
      <c r="H10" s="8">
        <f>88000*117/100</f>
        <v>102960</v>
      </c>
      <c r="I10" s="15">
        <f>H10</f>
        <v>102960</v>
      </c>
      <c r="J10" s="31"/>
      <c r="K10" s="428"/>
      <c r="L10" s="428"/>
      <c r="M10" s="389"/>
      <c r="N10" s="349"/>
      <c r="O10" s="351"/>
    </row>
    <row r="11" spans="1:15" ht="14.25" customHeight="1" x14ac:dyDescent="0.2">
      <c r="A11" s="336"/>
      <c r="B11" s="337" t="s">
        <v>500</v>
      </c>
      <c r="C11" s="338"/>
      <c r="D11" s="338"/>
      <c r="E11" s="338"/>
      <c r="F11" s="338"/>
      <c r="G11" s="338"/>
      <c r="H11" s="338"/>
      <c r="I11" s="338"/>
      <c r="J11" s="338"/>
      <c r="K11" s="338"/>
      <c r="L11" s="338"/>
      <c r="M11" s="338"/>
      <c r="N11" s="338"/>
      <c r="O11" s="339"/>
    </row>
    <row r="12" spans="1:15" ht="15.75" x14ac:dyDescent="0.2">
      <c r="A12" s="332" t="s">
        <v>541</v>
      </c>
      <c r="B12" s="333"/>
      <c r="C12" s="333"/>
      <c r="D12" s="333"/>
      <c r="E12" s="333"/>
      <c r="F12" s="333"/>
      <c r="G12" s="333"/>
      <c r="H12" s="333"/>
      <c r="I12" s="333"/>
      <c r="J12" s="333"/>
      <c r="K12" s="333"/>
      <c r="L12" s="333"/>
      <c r="M12" s="333"/>
      <c r="N12" s="333"/>
      <c r="O12" s="334"/>
    </row>
    <row r="13" spans="1:15" ht="25.5" customHeight="1" x14ac:dyDescent="0.2">
      <c r="A13" s="335">
        <v>2</v>
      </c>
      <c r="B13" s="342" t="s">
        <v>542</v>
      </c>
      <c r="C13" s="342" t="s">
        <v>287</v>
      </c>
      <c r="D13" s="19" t="s">
        <v>543</v>
      </c>
      <c r="E13" s="20">
        <v>100</v>
      </c>
      <c r="F13" s="21" t="s">
        <v>15</v>
      </c>
      <c r="G13" s="21" t="s">
        <v>54</v>
      </c>
      <c r="H13" s="22">
        <v>0.03</v>
      </c>
      <c r="I13" s="21">
        <f>H13*7000000*117/100</f>
        <v>245700</v>
      </c>
      <c r="J13" s="19" t="s">
        <v>14</v>
      </c>
      <c r="K13" s="412" t="s">
        <v>20</v>
      </c>
      <c r="L13" s="412" t="s">
        <v>529</v>
      </c>
      <c r="M13" s="376">
        <f>I13</f>
        <v>245700</v>
      </c>
      <c r="N13" s="348" t="s">
        <v>22</v>
      </c>
      <c r="O13" s="350"/>
    </row>
    <row r="14" spans="1:15" ht="25.5" x14ac:dyDescent="0.2">
      <c r="A14" s="340"/>
      <c r="B14" s="373"/>
      <c r="C14" s="373"/>
      <c r="D14" s="23" t="s">
        <v>544</v>
      </c>
      <c r="E14" s="32">
        <v>90</v>
      </c>
      <c r="F14" s="8" t="s">
        <v>15</v>
      </c>
      <c r="G14" s="8" t="s">
        <v>54</v>
      </c>
      <c r="H14" s="33">
        <v>3.5000000000000003E-2</v>
      </c>
      <c r="I14" s="15">
        <f>H14*7000000*117/100</f>
        <v>286650.00000000006</v>
      </c>
      <c r="J14" s="23" t="s">
        <v>14</v>
      </c>
      <c r="K14" s="413"/>
      <c r="L14" s="413"/>
      <c r="M14" s="377"/>
      <c r="N14" s="369"/>
      <c r="O14" s="378"/>
    </row>
    <row r="15" spans="1:15" ht="25.5" x14ac:dyDescent="0.2">
      <c r="A15" s="340"/>
      <c r="B15" s="373"/>
      <c r="C15" s="373"/>
      <c r="D15" s="23" t="s">
        <v>545</v>
      </c>
      <c r="E15" s="32">
        <v>85</v>
      </c>
      <c r="F15" s="8" t="s">
        <v>15</v>
      </c>
      <c r="G15" s="8" t="s">
        <v>54</v>
      </c>
      <c r="H15" s="33">
        <v>3.7999999999999999E-2</v>
      </c>
      <c r="I15" s="15">
        <f t="shared" ref="I15:I17" si="0">H15*7000000*117/100</f>
        <v>311220</v>
      </c>
      <c r="J15" s="23" t="s">
        <v>14</v>
      </c>
      <c r="K15" s="413"/>
      <c r="L15" s="413"/>
      <c r="M15" s="377"/>
      <c r="N15" s="369"/>
      <c r="O15" s="378"/>
    </row>
    <row r="16" spans="1:15" ht="25.5" x14ac:dyDescent="0.2">
      <c r="A16" s="340"/>
      <c r="B16" s="373"/>
      <c r="C16" s="373"/>
      <c r="D16" s="23" t="s">
        <v>316</v>
      </c>
      <c r="E16" s="32">
        <v>80</v>
      </c>
      <c r="F16" s="8" t="s">
        <v>15</v>
      </c>
      <c r="G16" s="8" t="s">
        <v>54</v>
      </c>
      <c r="H16" s="33">
        <v>4.2000000000000003E-2</v>
      </c>
      <c r="I16" s="15">
        <f t="shared" si="0"/>
        <v>343980</v>
      </c>
      <c r="J16" s="23" t="s">
        <v>14</v>
      </c>
      <c r="K16" s="413"/>
      <c r="L16" s="413"/>
      <c r="M16" s="377"/>
      <c r="N16" s="369"/>
      <c r="O16" s="378"/>
    </row>
    <row r="17" spans="1:17" ht="25.5" x14ac:dyDescent="0.2">
      <c r="A17" s="340"/>
      <c r="B17" s="343"/>
      <c r="C17" s="343"/>
      <c r="D17" s="23" t="s">
        <v>324</v>
      </c>
      <c r="E17" s="32">
        <v>77</v>
      </c>
      <c r="F17" s="8" t="s">
        <v>15</v>
      </c>
      <c r="G17" s="8" t="s">
        <v>54</v>
      </c>
      <c r="H17" s="33">
        <v>4.4900000000000002E-2</v>
      </c>
      <c r="I17" s="15">
        <f t="shared" si="0"/>
        <v>367731</v>
      </c>
      <c r="J17" s="23" t="s">
        <v>14</v>
      </c>
      <c r="K17" s="428"/>
      <c r="L17" s="428"/>
      <c r="M17" s="389"/>
      <c r="N17" s="349"/>
      <c r="O17" s="351"/>
    </row>
    <row r="18" spans="1:17" ht="14.25" customHeight="1" x14ac:dyDescent="0.2">
      <c r="A18" s="336"/>
      <c r="B18" s="337" t="s">
        <v>557</v>
      </c>
      <c r="C18" s="338"/>
      <c r="D18" s="338"/>
      <c r="E18" s="338"/>
      <c r="F18" s="338"/>
      <c r="G18" s="338"/>
      <c r="H18" s="338"/>
      <c r="I18" s="338"/>
      <c r="J18" s="338"/>
      <c r="K18" s="338"/>
      <c r="L18" s="338"/>
      <c r="M18" s="338"/>
      <c r="N18" s="338"/>
      <c r="O18" s="339"/>
    </row>
    <row r="19" spans="1:17" ht="15.75" x14ac:dyDescent="0.2">
      <c r="A19" s="332" t="s">
        <v>546</v>
      </c>
      <c r="B19" s="333"/>
      <c r="C19" s="333"/>
      <c r="D19" s="333"/>
      <c r="E19" s="333"/>
      <c r="F19" s="333"/>
      <c r="G19" s="333"/>
      <c r="H19" s="333"/>
      <c r="I19" s="333"/>
      <c r="J19" s="333"/>
      <c r="K19" s="333"/>
      <c r="L19" s="333"/>
      <c r="M19" s="333"/>
      <c r="N19" s="333"/>
      <c r="O19" s="334"/>
    </row>
    <row r="20" spans="1:17" ht="60" x14ac:dyDescent="0.2">
      <c r="A20" s="335">
        <v>3</v>
      </c>
      <c r="B20" s="110" t="s">
        <v>554</v>
      </c>
      <c r="C20" s="113" t="s">
        <v>52</v>
      </c>
      <c r="D20" s="19" t="s">
        <v>372</v>
      </c>
      <c r="E20" s="20">
        <v>100</v>
      </c>
      <c r="F20" s="21" t="s">
        <v>17</v>
      </c>
      <c r="G20" s="21" t="s">
        <v>17</v>
      </c>
      <c r="H20" s="77">
        <f>40000*117/100</f>
        <v>46800</v>
      </c>
      <c r="I20" s="21">
        <f>H20</f>
        <v>46800</v>
      </c>
      <c r="J20" s="19" t="s">
        <v>14</v>
      </c>
      <c r="K20" s="114" t="s">
        <v>21</v>
      </c>
      <c r="L20" s="111" t="s">
        <v>529</v>
      </c>
      <c r="M20" s="115">
        <f>I20</f>
        <v>46800</v>
      </c>
      <c r="N20" s="116" t="s">
        <v>22</v>
      </c>
      <c r="O20" s="112"/>
    </row>
    <row r="21" spans="1:17" ht="13.9" customHeight="1" x14ac:dyDescent="0.2">
      <c r="A21" s="336"/>
      <c r="B21" s="337" t="s">
        <v>360</v>
      </c>
      <c r="C21" s="338"/>
      <c r="D21" s="338"/>
      <c r="E21" s="338"/>
      <c r="F21" s="338"/>
      <c r="G21" s="338"/>
      <c r="H21" s="338"/>
      <c r="I21" s="338"/>
      <c r="J21" s="338"/>
      <c r="K21" s="338"/>
      <c r="L21" s="338"/>
      <c r="M21" s="338"/>
      <c r="N21" s="338"/>
      <c r="O21" s="339"/>
    </row>
    <row r="22" spans="1:17" ht="15.75" x14ac:dyDescent="0.2">
      <c r="A22" s="332" t="s">
        <v>547</v>
      </c>
      <c r="B22" s="333"/>
      <c r="C22" s="333"/>
      <c r="D22" s="333"/>
      <c r="E22" s="333"/>
      <c r="F22" s="333"/>
      <c r="G22" s="333"/>
      <c r="H22" s="333"/>
      <c r="I22" s="333"/>
      <c r="J22" s="333"/>
      <c r="K22" s="333"/>
      <c r="L22" s="333"/>
      <c r="M22" s="333"/>
      <c r="N22" s="333"/>
      <c r="O22" s="334"/>
    </row>
    <row r="23" spans="1:17" ht="26.45" customHeight="1" x14ac:dyDescent="0.2">
      <c r="A23" s="335">
        <v>4</v>
      </c>
      <c r="B23" s="342" t="s">
        <v>549</v>
      </c>
      <c r="C23" s="342" t="s">
        <v>413</v>
      </c>
      <c r="D23" s="19" t="s">
        <v>85</v>
      </c>
      <c r="E23" s="20">
        <v>100</v>
      </c>
      <c r="F23" s="21" t="s">
        <v>17</v>
      </c>
      <c r="G23" s="21" t="s">
        <v>17</v>
      </c>
      <c r="H23" s="77">
        <f>21000*117/100</f>
        <v>24570</v>
      </c>
      <c r="I23" s="21">
        <f>H23</f>
        <v>24570</v>
      </c>
      <c r="J23" s="19" t="s">
        <v>14</v>
      </c>
      <c r="K23" s="412" t="s">
        <v>20</v>
      </c>
      <c r="L23" s="412" t="s">
        <v>529</v>
      </c>
      <c r="M23" s="376">
        <f>I23</f>
        <v>24570</v>
      </c>
      <c r="N23" s="348" t="s">
        <v>22</v>
      </c>
      <c r="O23" s="350"/>
      <c r="P23" s="13"/>
      <c r="Q23" s="14"/>
    </row>
    <row r="24" spans="1:17" ht="38.25" x14ac:dyDescent="0.2">
      <c r="A24" s="340"/>
      <c r="B24" s="373"/>
      <c r="C24" s="373"/>
      <c r="D24" s="31" t="s">
        <v>482</v>
      </c>
      <c r="E24" s="7">
        <v>67</v>
      </c>
      <c r="F24" s="8" t="s">
        <v>17</v>
      </c>
      <c r="G24" s="8" t="s">
        <v>17</v>
      </c>
      <c r="H24" s="8">
        <f>34800*117/100</f>
        <v>40716</v>
      </c>
      <c r="I24" s="8">
        <f t="shared" ref="I24:I27" si="1">H24</f>
        <v>40716</v>
      </c>
      <c r="J24" s="31" t="s">
        <v>14</v>
      </c>
      <c r="K24" s="413"/>
      <c r="L24" s="413"/>
      <c r="M24" s="377"/>
      <c r="N24" s="369"/>
      <c r="O24" s="378"/>
      <c r="P24" s="13"/>
      <c r="Q24" s="14"/>
    </row>
    <row r="25" spans="1:17" ht="25.5" x14ac:dyDescent="0.2">
      <c r="A25" s="340"/>
      <c r="B25" s="373"/>
      <c r="C25" s="373"/>
      <c r="D25" s="31" t="s">
        <v>483</v>
      </c>
      <c r="E25" s="7">
        <v>66</v>
      </c>
      <c r="F25" s="8" t="s">
        <v>17</v>
      </c>
      <c r="G25" s="8" t="s">
        <v>17</v>
      </c>
      <c r="H25" s="8">
        <f>36000*117/100</f>
        <v>42120</v>
      </c>
      <c r="I25" s="8">
        <f t="shared" si="1"/>
        <v>42120</v>
      </c>
      <c r="J25" s="31" t="s">
        <v>14</v>
      </c>
      <c r="K25" s="413"/>
      <c r="L25" s="413"/>
      <c r="M25" s="377"/>
      <c r="N25" s="369"/>
      <c r="O25" s="378"/>
      <c r="P25" s="13"/>
      <c r="Q25" s="14"/>
    </row>
    <row r="26" spans="1:17" ht="15.75" customHeight="1" x14ac:dyDescent="0.2">
      <c r="A26" s="340"/>
      <c r="B26" s="373"/>
      <c r="C26" s="373"/>
      <c r="D26" s="31" t="s">
        <v>484</v>
      </c>
      <c r="E26" s="7">
        <v>52</v>
      </c>
      <c r="F26" s="8" t="s">
        <v>17</v>
      </c>
      <c r="G26" s="8" t="s">
        <v>17</v>
      </c>
      <c r="H26" s="8">
        <f>60000*117/100</f>
        <v>70200</v>
      </c>
      <c r="I26" s="8">
        <f t="shared" si="1"/>
        <v>70200</v>
      </c>
      <c r="J26" s="31" t="s">
        <v>14</v>
      </c>
      <c r="K26" s="413"/>
      <c r="L26" s="413"/>
      <c r="M26" s="377"/>
      <c r="N26" s="369"/>
      <c r="O26" s="378"/>
      <c r="P26" s="13"/>
      <c r="Q26" s="14"/>
    </row>
    <row r="27" spans="1:17" ht="25.5" x14ac:dyDescent="0.2">
      <c r="A27" s="340"/>
      <c r="B27" s="343"/>
      <c r="C27" s="343"/>
      <c r="D27" s="117" t="s">
        <v>312</v>
      </c>
      <c r="E27" s="121">
        <v>83</v>
      </c>
      <c r="F27" s="122" t="s">
        <v>17</v>
      </c>
      <c r="G27" s="122" t="s">
        <v>17</v>
      </c>
      <c r="H27" s="122">
        <f>69616*117/100</f>
        <v>81450.720000000001</v>
      </c>
      <c r="I27" s="122">
        <f t="shared" si="1"/>
        <v>81450.720000000001</v>
      </c>
      <c r="J27" s="117" t="s">
        <v>14</v>
      </c>
      <c r="K27" s="428"/>
      <c r="L27" s="428"/>
      <c r="M27" s="389"/>
      <c r="N27" s="349"/>
      <c r="O27" s="351"/>
      <c r="P27" s="13"/>
      <c r="Q27" s="14"/>
    </row>
    <row r="28" spans="1:17" ht="15" customHeight="1" x14ac:dyDescent="0.2">
      <c r="A28" s="336"/>
      <c r="B28" s="337" t="s">
        <v>548</v>
      </c>
      <c r="C28" s="338"/>
      <c r="D28" s="338"/>
      <c r="E28" s="338"/>
      <c r="F28" s="338"/>
      <c r="G28" s="338"/>
      <c r="H28" s="338"/>
      <c r="I28" s="338"/>
      <c r="J28" s="338"/>
      <c r="K28" s="338"/>
      <c r="L28" s="338"/>
      <c r="M28" s="338"/>
      <c r="N28" s="338"/>
      <c r="O28" s="339"/>
    </row>
    <row r="29" spans="1:17" ht="15.75" x14ac:dyDescent="0.2">
      <c r="A29" s="332" t="s">
        <v>552</v>
      </c>
      <c r="B29" s="333"/>
      <c r="C29" s="333"/>
      <c r="D29" s="333"/>
      <c r="E29" s="333"/>
      <c r="F29" s="333"/>
      <c r="G29" s="333"/>
      <c r="H29" s="333"/>
      <c r="I29" s="333"/>
      <c r="J29" s="333"/>
      <c r="K29" s="333"/>
      <c r="L29" s="333"/>
      <c r="M29" s="333"/>
      <c r="N29" s="333"/>
      <c r="O29" s="334"/>
    </row>
    <row r="30" spans="1:17" ht="63.75" x14ac:dyDescent="0.2">
      <c r="A30" s="432">
        <v>5</v>
      </c>
      <c r="B30" s="118" t="s">
        <v>64</v>
      </c>
      <c r="C30" s="118" t="s">
        <v>65</v>
      </c>
      <c r="D30" s="55" t="s">
        <v>66</v>
      </c>
      <c r="E30" s="56">
        <v>100</v>
      </c>
      <c r="F30" s="57" t="s">
        <v>17</v>
      </c>
      <c r="G30" s="57" t="s">
        <v>17</v>
      </c>
      <c r="H30" s="58">
        <f>78000*117/100</f>
        <v>91260</v>
      </c>
      <c r="I30" s="57">
        <f>H30</f>
        <v>91260</v>
      </c>
      <c r="J30" s="55" t="s">
        <v>14</v>
      </c>
      <c r="K30" s="119" t="s">
        <v>556</v>
      </c>
      <c r="L30" s="119" t="s">
        <v>555</v>
      </c>
      <c r="M30" s="119"/>
      <c r="N30" s="120" t="s">
        <v>22</v>
      </c>
      <c r="O30" s="123" t="s">
        <v>551</v>
      </c>
    </row>
    <row r="31" spans="1:17" ht="13.9" customHeight="1" x14ac:dyDescent="0.2">
      <c r="A31" s="433"/>
      <c r="B31" s="337" t="s">
        <v>550</v>
      </c>
      <c r="C31" s="338"/>
      <c r="D31" s="338"/>
      <c r="E31" s="338"/>
      <c r="F31" s="338"/>
      <c r="G31" s="338"/>
      <c r="H31" s="338"/>
      <c r="I31" s="338"/>
      <c r="J31" s="338"/>
      <c r="K31" s="338"/>
      <c r="L31" s="338"/>
      <c r="M31" s="338"/>
      <c r="N31" s="338"/>
      <c r="O31" s="339"/>
    </row>
    <row r="32" spans="1:17" ht="15.75" x14ac:dyDescent="0.2">
      <c r="A32" s="332" t="s">
        <v>558</v>
      </c>
      <c r="B32" s="333"/>
      <c r="C32" s="333"/>
      <c r="D32" s="333"/>
      <c r="E32" s="333"/>
      <c r="F32" s="333"/>
      <c r="G32" s="333"/>
      <c r="H32" s="333"/>
      <c r="I32" s="333"/>
      <c r="J32" s="333"/>
      <c r="K32" s="333"/>
      <c r="L32" s="333"/>
      <c r="M32" s="333"/>
      <c r="N32" s="333"/>
      <c r="O32" s="334"/>
    </row>
    <row r="33" spans="1:15" ht="60" x14ac:dyDescent="0.2">
      <c r="A33" s="335">
        <v>6</v>
      </c>
      <c r="B33" s="127" t="s">
        <v>559</v>
      </c>
      <c r="C33" s="128" t="s">
        <v>238</v>
      </c>
      <c r="D33" s="19" t="s">
        <v>372</v>
      </c>
      <c r="E33" s="20">
        <v>100</v>
      </c>
      <c r="F33" s="21" t="s">
        <v>17</v>
      </c>
      <c r="G33" s="21" t="s">
        <v>17</v>
      </c>
      <c r="H33" s="77">
        <f>16000*117/100</f>
        <v>18720</v>
      </c>
      <c r="I33" s="21">
        <f>H33</f>
        <v>18720</v>
      </c>
      <c r="J33" s="19" t="s">
        <v>14</v>
      </c>
      <c r="K33" s="129" t="s">
        <v>21</v>
      </c>
      <c r="L33" s="126" t="s">
        <v>529</v>
      </c>
      <c r="M33" s="125">
        <f>I33</f>
        <v>18720</v>
      </c>
      <c r="N33" s="130" t="s">
        <v>22</v>
      </c>
      <c r="O33" s="124"/>
    </row>
    <row r="34" spans="1:15" ht="13.9" customHeight="1" x14ac:dyDescent="0.2">
      <c r="A34" s="336"/>
      <c r="B34" s="337" t="s">
        <v>560</v>
      </c>
      <c r="C34" s="338"/>
      <c r="D34" s="338"/>
      <c r="E34" s="338"/>
      <c r="F34" s="338"/>
      <c r="G34" s="338"/>
      <c r="H34" s="338"/>
      <c r="I34" s="338"/>
      <c r="J34" s="338"/>
      <c r="K34" s="338"/>
      <c r="L34" s="338"/>
      <c r="M34" s="338"/>
      <c r="N34" s="338"/>
      <c r="O34" s="339"/>
    </row>
    <row r="36" spans="1:15" x14ac:dyDescent="0.2">
      <c r="B36" s="28"/>
    </row>
    <row r="46" spans="1:15" ht="14.25" customHeight="1" x14ac:dyDescent="0.2"/>
  </sheetData>
  <mergeCells count="45">
    <mergeCell ref="A32:O32"/>
    <mergeCell ref="A33:A34"/>
    <mergeCell ref="B34:O34"/>
    <mergeCell ref="A8:A11"/>
    <mergeCell ref="A7:O7"/>
    <mergeCell ref="B11:O11"/>
    <mergeCell ref="O8:O10"/>
    <mergeCell ref="N8:N10"/>
    <mergeCell ref="M8:M10"/>
    <mergeCell ref="L8:L10"/>
    <mergeCell ref="K8:K10"/>
    <mergeCell ref="C8:C10"/>
    <mergeCell ref="B8:B10"/>
    <mergeCell ref="A19:O19"/>
    <mergeCell ref="A20:A21"/>
    <mergeCell ref="B21:O21"/>
    <mergeCell ref="A1:A6"/>
    <mergeCell ref="B1:O1"/>
    <mergeCell ref="B2:O2"/>
    <mergeCell ref="B3:O3"/>
    <mergeCell ref="B4:O4"/>
    <mergeCell ref="B5:O5"/>
    <mergeCell ref="C13:C17"/>
    <mergeCell ref="B13:B17"/>
    <mergeCell ref="A13:A18"/>
    <mergeCell ref="A12:O12"/>
    <mergeCell ref="O13:O17"/>
    <mergeCell ref="B18:O18"/>
    <mergeCell ref="N13:N17"/>
    <mergeCell ref="M13:M17"/>
    <mergeCell ref="L13:L17"/>
    <mergeCell ref="K13:K17"/>
    <mergeCell ref="B31:O31"/>
    <mergeCell ref="A30:A31"/>
    <mergeCell ref="A29:O29"/>
    <mergeCell ref="A22:O22"/>
    <mergeCell ref="A23:A28"/>
    <mergeCell ref="B23:B27"/>
    <mergeCell ref="C23:C27"/>
    <mergeCell ref="K23:K27"/>
    <mergeCell ref="L23:L27"/>
    <mergeCell ref="M23:M27"/>
    <mergeCell ref="N23:N27"/>
    <mergeCell ref="O23:O27"/>
    <mergeCell ref="B28:O28"/>
  </mergeCells>
  <pageMargins left="0.25" right="0.25" top="0.75" bottom="0.75" header="0.3" footer="0.3"/>
  <pageSetup paperSize="9" scale="73" fitToHeight="0" orientation="landscape" r:id="rId1"/>
  <rowBreaks count="1" manualBreakCount="1">
    <brk id="28"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O17"/>
  <sheetViews>
    <sheetView rightToLeft="1" topLeftCell="A13" zoomScaleNormal="100" workbookViewId="0">
      <selection activeCell="A17" sqref="A17:XFD17"/>
    </sheetView>
  </sheetViews>
  <sheetFormatPr defaultColWidth="8.75" defaultRowHeight="15" x14ac:dyDescent="0.2"/>
  <cols>
    <col min="1" max="1" width="4.25" customWidth="1"/>
    <col min="2" max="2" width="21.125" style="9" bestFit="1" customWidth="1"/>
    <col min="4" max="4" width="7.25" customWidth="1"/>
    <col min="5" max="5" width="7.75" customWidth="1"/>
    <col min="6" max="6" width="10.25" bestFit="1" customWidth="1"/>
    <col min="7" max="7" width="12.125" style="10" bestFit="1" customWidth="1"/>
    <col min="8" max="8" width="13.625" style="11" bestFit="1" customWidth="1"/>
    <col min="9" max="9" width="14.625" style="11" bestFit="1" customWidth="1"/>
    <col min="10" max="10" width="9" customWidth="1"/>
    <col min="11" max="11" width="12.875" style="12" customWidth="1"/>
    <col min="12" max="12" width="19.375" style="12" customWidth="1"/>
    <col min="13" max="13" width="15" style="12" customWidth="1"/>
    <col min="14" max="14" width="10.875" style="13" customWidth="1"/>
    <col min="15" max="15" width="13" style="14" customWidth="1"/>
  </cols>
  <sheetData>
    <row r="1" spans="1:15" ht="20.25" x14ac:dyDescent="0.2">
      <c r="A1" s="354"/>
      <c r="B1" s="355" t="s">
        <v>535</v>
      </c>
      <c r="C1" s="355"/>
      <c r="D1" s="355"/>
      <c r="E1" s="355"/>
      <c r="F1" s="355"/>
      <c r="G1" s="355"/>
      <c r="H1" s="355"/>
      <c r="I1" s="355"/>
      <c r="J1" s="355"/>
      <c r="K1" s="355"/>
      <c r="L1" s="355"/>
      <c r="M1" s="355"/>
      <c r="N1" s="355"/>
      <c r="O1" s="355"/>
    </row>
    <row r="2" spans="1:15" ht="14.25" x14ac:dyDescent="0.2">
      <c r="A2" s="354"/>
      <c r="B2" s="356" t="s">
        <v>198</v>
      </c>
      <c r="C2" s="356"/>
      <c r="D2" s="356"/>
      <c r="E2" s="356"/>
      <c r="F2" s="356"/>
      <c r="G2" s="356"/>
      <c r="H2" s="356"/>
      <c r="I2" s="356"/>
      <c r="J2" s="356"/>
      <c r="K2" s="356"/>
      <c r="L2" s="356"/>
      <c r="M2" s="356"/>
      <c r="N2" s="356"/>
      <c r="O2" s="356"/>
    </row>
    <row r="3" spans="1:15" ht="15.75" x14ac:dyDescent="0.2">
      <c r="A3" s="354"/>
      <c r="B3" s="357" t="s">
        <v>517</v>
      </c>
      <c r="C3" s="357"/>
      <c r="D3" s="357"/>
      <c r="E3" s="357"/>
      <c r="F3" s="357"/>
      <c r="G3" s="357"/>
      <c r="H3" s="357"/>
      <c r="I3" s="357"/>
      <c r="J3" s="357"/>
      <c r="K3" s="357"/>
      <c r="L3" s="357"/>
      <c r="M3" s="357"/>
      <c r="N3" s="357"/>
      <c r="O3" s="357"/>
    </row>
    <row r="4" spans="1:15" ht="14.25" x14ac:dyDescent="0.2">
      <c r="A4" s="354"/>
      <c r="B4" s="358" t="s">
        <v>71</v>
      </c>
      <c r="C4" s="358"/>
      <c r="D4" s="358"/>
      <c r="E4" s="358"/>
      <c r="F4" s="358"/>
      <c r="G4" s="358"/>
      <c r="H4" s="358"/>
      <c r="I4" s="358"/>
      <c r="J4" s="358"/>
      <c r="K4" s="358"/>
      <c r="L4" s="358"/>
      <c r="M4" s="358"/>
      <c r="N4" s="358"/>
      <c r="O4" s="358"/>
    </row>
    <row r="5" spans="1:15" ht="14.25" x14ac:dyDescent="0.2">
      <c r="A5" s="354"/>
      <c r="B5" s="358" t="s">
        <v>70</v>
      </c>
      <c r="C5" s="358"/>
      <c r="D5" s="358"/>
      <c r="E5" s="358"/>
      <c r="F5" s="358"/>
      <c r="G5" s="358"/>
      <c r="H5" s="358"/>
      <c r="I5" s="358"/>
      <c r="J5" s="358"/>
      <c r="K5" s="358"/>
      <c r="L5" s="358"/>
      <c r="M5" s="358"/>
      <c r="N5" s="358"/>
      <c r="O5" s="358"/>
    </row>
    <row r="6" spans="1:15" ht="47.45" customHeight="1" x14ac:dyDescent="0.2">
      <c r="A6" s="354"/>
      <c r="B6" s="1" t="s">
        <v>1</v>
      </c>
      <c r="C6" s="2" t="s">
        <v>2</v>
      </c>
      <c r="D6" s="3" t="s">
        <v>3</v>
      </c>
      <c r="E6" s="3" t="s">
        <v>4</v>
      </c>
      <c r="F6" s="3" t="s">
        <v>5</v>
      </c>
      <c r="G6" s="3" t="s">
        <v>6</v>
      </c>
      <c r="H6" s="4" t="s">
        <v>7</v>
      </c>
      <c r="I6" s="5" t="s">
        <v>8</v>
      </c>
      <c r="J6" s="3" t="s">
        <v>9</v>
      </c>
      <c r="K6" s="3" t="s">
        <v>10</v>
      </c>
      <c r="L6" s="3" t="s">
        <v>525</v>
      </c>
      <c r="M6" s="109" t="s">
        <v>526</v>
      </c>
      <c r="N6" s="6" t="s">
        <v>11</v>
      </c>
      <c r="O6" s="3" t="s">
        <v>12</v>
      </c>
    </row>
    <row r="7" spans="1:15" ht="15.75" x14ac:dyDescent="0.2">
      <c r="A7" s="332" t="s">
        <v>518</v>
      </c>
      <c r="B7" s="333"/>
      <c r="C7" s="333"/>
      <c r="D7" s="333"/>
      <c r="E7" s="333"/>
      <c r="F7" s="333"/>
      <c r="G7" s="333"/>
      <c r="H7" s="333"/>
      <c r="I7" s="333"/>
      <c r="J7" s="333"/>
      <c r="K7" s="333"/>
      <c r="L7" s="333"/>
      <c r="M7" s="333"/>
      <c r="N7" s="333"/>
      <c r="O7" s="334"/>
    </row>
    <row r="8" spans="1:15" ht="60" x14ac:dyDescent="0.2">
      <c r="A8" s="335">
        <v>1</v>
      </c>
      <c r="B8" s="90" t="s">
        <v>523</v>
      </c>
      <c r="C8" s="94" t="s">
        <v>68</v>
      </c>
      <c r="D8" s="19" t="s">
        <v>91</v>
      </c>
      <c r="E8" s="20">
        <v>75</v>
      </c>
      <c r="F8" s="21" t="s">
        <v>49</v>
      </c>
      <c r="G8" s="21" t="s">
        <v>520</v>
      </c>
      <c r="H8" s="77">
        <f>14000*117/100</f>
        <v>16380</v>
      </c>
      <c r="I8" s="21">
        <f>H8*2</f>
        <v>32760</v>
      </c>
      <c r="J8" s="19"/>
      <c r="K8" s="98" t="s">
        <v>86</v>
      </c>
      <c r="L8" s="97" t="s">
        <v>529</v>
      </c>
      <c r="M8" s="104">
        <f>I8</f>
        <v>32760</v>
      </c>
      <c r="N8" s="96" t="s">
        <v>22</v>
      </c>
      <c r="O8" s="92">
        <v>240072961</v>
      </c>
    </row>
    <row r="9" spans="1:15" ht="13.9" customHeight="1" x14ac:dyDescent="0.2">
      <c r="A9" s="336"/>
      <c r="B9" s="337" t="s">
        <v>519</v>
      </c>
      <c r="C9" s="338"/>
      <c r="D9" s="338"/>
      <c r="E9" s="338"/>
      <c r="F9" s="338"/>
      <c r="G9" s="338"/>
      <c r="H9" s="338"/>
      <c r="I9" s="338"/>
      <c r="J9" s="338"/>
      <c r="K9" s="338"/>
      <c r="L9" s="338"/>
      <c r="M9" s="338"/>
      <c r="N9" s="338"/>
      <c r="O9" s="339"/>
    </row>
    <row r="10" spans="1:15" ht="15.75" x14ac:dyDescent="0.2">
      <c r="A10" s="332" t="s">
        <v>524</v>
      </c>
      <c r="B10" s="333"/>
      <c r="C10" s="333"/>
      <c r="D10" s="333"/>
      <c r="E10" s="333"/>
      <c r="F10" s="333"/>
      <c r="G10" s="333"/>
      <c r="H10" s="333"/>
      <c r="I10" s="333"/>
      <c r="J10" s="333"/>
      <c r="K10" s="333"/>
      <c r="L10" s="333"/>
      <c r="M10" s="333"/>
      <c r="N10" s="333"/>
      <c r="O10" s="334"/>
    </row>
    <row r="11" spans="1:15" ht="108" x14ac:dyDescent="0.2">
      <c r="A11" s="335">
        <v>2</v>
      </c>
      <c r="B11" s="91" t="s">
        <v>89</v>
      </c>
      <c r="C11" s="99" t="s">
        <v>521</v>
      </c>
      <c r="D11" s="19" t="s">
        <v>60</v>
      </c>
      <c r="E11" s="20">
        <v>100</v>
      </c>
      <c r="F11" s="21" t="s">
        <v>57</v>
      </c>
      <c r="G11" s="21" t="s">
        <v>42</v>
      </c>
      <c r="H11" s="21">
        <f>12000*117/100</f>
        <v>14040</v>
      </c>
      <c r="I11" s="21">
        <f>H11*12</f>
        <v>168480</v>
      </c>
      <c r="J11" s="19" t="s">
        <v>14</v>
      </c>
      <c r="K11" s="98" t="s">
        <v>528</v>
      </c>
      <c r="L11" s="103" t="s">
        <v>527</v>
      </c>
      <c r="M11" s="104">
        <f>I11/2</f>
        <v>84240</v>
      </c>
      <c r="N11" s="95" t="s">
        <v>22</v>
      </c>
      <c r="O11" s="93">
        <v>1614000750</v>
      </c>
    </row>
    <row r="12" spans="1:15" ht="13.9" customHeight="1" x14ac:dyDescent="0.2">
      <c r="A12" s="336"/>
      <c r="B12" s="337" t="s">
        <v>522</v>
      </c>
      <c r="C12" s="338"/>
      <c r="D12" s="338"/>
      <c r="E12" s="338"/>
      <c r="F12" s="338"/>
      <c r="G12" s="338"/>
      <c r="H12" s="338"/>
      <c r="I12" s="338"/>
      <c r="J12" s="338"/>
      <c r="K12" s="338"/>
      <c r="L12" s="338"/>
      <c r="M12" s="338"/>
      <c r="N12" s="338"/>
      <c r="O12" s="339"/>
    </row>
    <row r="13" spans="1:15" ht="15.75" x14ac:dyDescent="0.2">
      <c r="A13" s="332" t="s">
        <v>531</v>
      </c>
      <c r="B13" s="333"/>
      <c r="C13" s="333"/>
      <c r="D13" s="333"/>
      <c r="E13" s="333"/>
      <c r="F13" s="333"/>
      <c r="G13" s="333"/>
      <c r="H13" s="333"/>
      <c r="I13" s="333"/>
      <c r="J13" s="333"/>
      <c r="K13" s="333"/>
      <c r="L13" s="333"/>
      <c r="M13" s="333"/>
      <c r="N13" s="333"/>
      <c r="O13" s="334"/>
    </row>
    <row r="14" spans="1:15" ht="60" x14ac:dyDescent="0.2">
      <c r="A14" s="340">
        <v>3</v>
      </c>
      <c r="B14" s="100" t="s">
        <v>534</v>
      </c>
      <c r="C14" s="99" t="s">
        <v>52</v>
      </c>
      <c r="D14" s="19" t="s">
        <v>62</v>
      </c>
      <c r="E14" s="20">
        <v>100</v>
      </c>
      <c r="F14" s="21" t="s">
        <v>13</v>
      </c>
      <c r="G14" s="21" t="s">
        <v>530</v>
      </c>
      <c r="H14" s="21">
        <f>180*117/100</f>
        <v>210.6</v>
      </c>
      <c r="I14" s="21">
        <f>H14*142</f>
        <v>29905.200000000001</v>
      </c>
      <c r="J14" s="19" t="s">
        <v>14</v>
      </c>
      <c r="K14" s="107" t="s">
        <v>86</v>
      </c>
      <c r="L14" s="106" t="s">
        <v>529</v>
      </c>
      <c r="M14" s="108">
        <f>I14</f>
        <v>29905.200000000001</v>
      </c>
      <c r="N14" s="102" t="s">
        <v>22</v>
      </c>
      <c r="O14" s="101" t="s">
        <v>67</v>
      </c>
    </row>
    <row r="15" spans="1:15" ht="15" customHeight="1" x14ac:dyDescent="0.2">
      <c r="A15" s="336"/>
      <c r="B15" s="337" t="s">
        <v>532</v>
      </c>
      <c r="C15" s="338"/>
      <c r="D15" s="338"/>
      <c r="E15" s="338"/>
      <c r="F15" s="338"/>
      <c r="G15" s="338"/>
      <c r="H15" s="338"/>
      <c r="I15" s="338"/>
      <c r="J15" s="338"/>
      <c r="K15" s="338"/>
      <c r="L15" s="338"/>
      <c r="M15" s="338"/>
      <c r="N15" s="338"/>
      <c r="O15" s="339"/>
    </row>
    <row r="17" spans="2:2" x14ac:dyDescent="0.2">
      <c r="B17" s="28"/>
    </row>
  </sheetData>
  <mergeCells count="15">
    <mergeCell ref="A14:A15"/>
    <mergeCell ref="B15:O15"/>
    <mergeCell ref="A13:O13"/>
    <mergeCell ref="A1:A6"/>
    <mergeCell ref="B1:O1"/>
    <mergeCell ref="B2:O2"/>
    <mergeCell ref="B3:O3"/>
    <mergeCell ref="B4:O4"/>
    <mergeCell ref="B5:O5"/>
    <mergeCell ref="A7:O7"/>
    <mergeCell ref="B12:O12"/>
    <mergeCell ref="A11:A12"/>
    <mergeCell ref="A10:O10"/>
    <mergeCell ref="B9:O9"/>
    <mergeCell ref="A8:A9"/>
  </mergeCells>
  <pageMargins left="0.25" right="0.25" top="0.75" bottom="0.75" header="0.3" footer="0.3"/>
  <pageSetup paperSize="9" scale="73"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M25"/>
  <sheetViews>
    <sheetView rightToLeft="1" topLeftCell="A22" zoomScaleNormal="100" workbookViewId="0">
      <selection activeCell="A25" sqref="A25:XFD25"/>
    </sheetView>
  </sheetViews>
  <sheetFormatPr defaultColWidth="8.75" defaultRowHeight="15" x14ac:dyDescent="0.2"/>
  <cols>
    <col min="1" max="1" width="4.25" customWidth="1"/>
    <col min="2" max="2" width="21.125" style="9" bestFit="1" customWidth="1"/>
    <col min="4" max="4" width="7.25" customWidth="1"/>
    <col min="5" max="5" width="7.75" customWidth="1"/>
    <col min="6" max="6" width="10.25" bestFit="1" customWidth="1"/>
    <col min="7" max="7" width="12.125" style="10" bestFit="1" customWidth="1"/>
    <col min="8" max="8" width="13.625" style="11" bestFit="1" customWidth="1"/>
    <col min="9" max="9" width="14.625" style="11" bestFit="1" customWidth="1"/>
    <col min="10" max="10" width="9" customWidth="1"/>
    <col min="11" max="11" width="23.625" style="12" customWidth="1"/>
    <col min="12" max="12" width="13.5" style="13" customWidth="1"/>
    <col min="13" max="13" width="16.5" style="14" customWidth="1"/>
  </cols>
  <sheetData>
    <row r="1" spans="1:13" ht="20.25" x14ac:dyDescent="0.2">
      <c r="A1" s="354"/>
      <c r="B1" s="355" t="s">
        <v>536</v>
      </c>
      <c r="C1" s="355"/>
      <c r="D1" s="355"/>
      <c r="E1" s="355"/>
      <c r="F1" s="355"/>
      <c r="G1" s="355"/>
      <c r="H1" s="355"/>
      <c r="I1" s="355"/>
      <c r="J1" s="355"/>
      <c r="K1" s="355"/>
      <c r="L1" s="355"/>
      <c r="M1" s="355"/>
    </row>
    <row r="2" spans="1:13" ht="14.25" x14ac:dyDescent="0.2">
      <c r="A2" s="354"/>
      <c r="B2" s="356" t="s">
        <v>198</v>
      </c>
      <c r="C2" s="356"/>
      <c r="D2" s="356"/>
      <c r="E2" s="356"/>
      <c r="F2" s="356"/>
      <c r="G2" s="356"/>
      <c r="H2" s="356"/>
      <c r="I2" s="356"/>
      <c r="J2" s="356"/>
      <c r="K2" s="356"/>
      <c r="L2" s="356"/>
      <c r="M2" s="356"/>
    </row>
    <row r="3" spans="1:13" ht="15.75" x14ac:dyDescent="0.2">
      <c r="A3" s="354"/>
      <c r="B3" s="357" t="s">
        <v>296</v>
      </c>
      <c r="C3" s="357"/>
      <c r="D3" s="357"/>
      <c r="E3" s="357"/>
      <c r="F3" s="357"/>
      <c r="G3" s="357"/>
      <c r="H3" s="357"/>
      <c r="I3" s="357"/>
      <c r="J3" s="357"/>
      <c r="K3" s="357"/>
      <c r="L3" s="357"/>
      <c r="M3" s="357"/>
    </row>
    <row r="4" spans="1:13" ht="14.25" x14ac:dyDescent="0.2">
      <c r="A4" s="354"/>
      <c r="B4" s="358" t="s">
        <v>71</v>
      </c>
      <c r="C4" s="358"/>
      <c r="D4" s="358"/>
      <c r="E4" s="358"/>
      <c r="F4" s="358"/>
      <c r="G4" s="358"/>
      <c r="H4" s="358"/>
      <c r="I4" s="358"/>
      <c r="J4" s="358"/>
      <c r="K4" s="358"/>
      <c r="L4" s="358"/>
      <c r="M4" s="358"/>
    </row>
    <row r="5" spans="1:13" ht="14.25" x14ac:dyDescent="0.2">
      <c r="A5" s="354"/>
      <c r="B5" s="358" t="s">
        <v>70</v>
      </c>
      <c r="C5" s="358"/>
      <c r="D5" s="358"/>
      <c r="E5" s="358"/>
      <c r="F5" s="358"/>
      <c r="G5" s="358"/>
      <c r="H5" s="358"/>
      <c r="I5" s="358"/>
      <c r="J5" s="358"/>
      <c r="K5" s="358"/>
      <c r="L5" s="358"/>
      <c r="M5" s="358"/>
    </row>
    <row r="6" spans="1:13" ht="47.45" customHeight="1" x14ac:dyDescent="0.2">
      <c r="A6" s="354"/>
      <c r="B6" s="1" t="s">
        <v>1</v>
      </c>
      <c r="C6" s="2" t="s">
        <v>2</v>
      </c>
      <c r="D6" s="3" t="s">
        <v>3</v>
      </c>
      <c r="E6" s="3" t="s">
        <v>4</v>
      </c>
      <c r="F6" s="3" t="s">
        <v>5</v>
      </c>
      <c r="G6" s="3" t="s">
        <v>6</v>
      </c>
      <c r="H6" s="4" t="s">
        <v>7</v>
      </c>
      <c r="I6" s="5" t="s">
        <v>8</v>
      </c>
      <c r="J6" s="3" t="s">
        <v>9</v>
      </c>
      <c r="K6" s="3" t="s">
        <v>10</v>
      </c>
      <c r="L6" s="6" t="s">
        <v>11</v>
      </c>
      <c r="M6" s="3" t="s">
        <v>12</v>
      </c>
    </row>
    <row r="7" spans="1:13" ht="15.75" x14ac:dyDescent="0.2">
      <c r="A7" s="332" t="s">
        <v>497</v>
      </c>
      <c r="B7" s="333"/>
      <c r="C7" s="333"/>
      <c r="D7" s="333"/>
      <c r="E7" s="333"/>
      <c r="F7" s="333"/>
      <c r="G7" s="333"/>
      <c r="H7" s="333"/>
      <c r="I7" s="333"/>
      <c r="J7" s="333"/>
      <c r="K7" s="333"/>
      <c r="L7" s="333"/>
      <c r="M7" s="334"/>
    </row>
    <row r="8" spans="1:13" ht="25.5" x14ac:dyDescent="0.2">
      <c r="A8" s="335">
        <v>1</v>
      </c>
      <c r="B8" s="342" t="s">
        <v>498</v>
      </c>
      <c r="C8" s="434" t="s">
        <v>499</v>
      </c>
      <c r="D8" s="86" t="s">
        <v>501</v>
      </c>
      <c r="E8" s="83">
        <v>100</v>
      </c>
      <c r="F8" s="84" t="s">
        <v>17</v>
      </c>
      <c r="G8" s="84" t="s">
        <v>17</v>
      </c>
      <c r="H8" s="84">
        <f>65250*117/100</f>
        <v>76342.5</v>
      </c>
      <c r="I8" s="84">
        <f>H8</f>
        <v>76342.5</v>
      </c>
      <c r="J8" s="86"/>
      <c r="K8" s="429" t="s">
        <v>509</v>
      </c>
      <c r="L8" s="442" t="s">
        <v>22</v>
      </c>
      <c r="M8" s="350">
        <v>2410072756</v>
      </c>
    </row>
    <row r="9" spans="1:13" ht="14.25" x14ac:dyDescent="0.2">
      <c r="A9" s="340"/>
      <c r="B9" s="373"/>
      <c r="C9" s="435"/>
      <c r="D9" s="31" t="s">
        <v>502</v>
      </c>
      <c r="E9" s="7">
        <v>83</v>
      </c>
      <c r="F9" s="8" t="s">
        <v>17</v>
      </c>
      <c r="G9" s="8" t="s">
        <v>17</v>
      </c>
      <c r="H9" s="8">
        <f>86580*117/100</f>
        <v>101298.6</v>
      </c>
      <c r="I9" s="8">
        <f t="shared" ref="I9:I10" si="0">H9</f>
        <v>101298.6</v>
      </c>
      <c r="J9" s="31" t="s">
        <v>14</v>
      </c>
      <c r="K9" s="430"/>
      <c r="L9" s="442"/>
      <c r="M9" s="378"/>
    </row>
    <row r="10" spans="1:13" ht="38.25" x14ac:dyDescent="0.2">
      <c r="A10" s="340"/>
      <c r="B10" s="373"/>
      <c r="C10" s="435"/>
      <c r="D10" s="31" t="s">
        <v>503</v>
      </c>
      <c r="E10" s="7">
        <v>66</v>
      </c>
      <c r="F10" s="8" t="s">
        <v>17</v>
      </c>
      <c r="G10" s="8" t="s">
        <v>17</v>
      </c>
      <c r="H10" s="8">
        <f>128000*117/100</f>
        <v>149760</v>
      </c>
      <c r="I10" s="8">
        <f t="shared" si="0"/>
        <v>149760</v>
      </c>
      <c r="J10" s="31"/>
      <c r="K10" s="430"/>
      <c r="L10" s="442"/>
      <c r="M10" s="378"/>
    </row>
    <row r="11" spans="1:13" ht="14.25" x14ac:dyDescent="0.2">
      <c r="A11" s="336"/>
      <c r="B11" s="337" t="s">
        <v>500</v>
      </c>
      <c r="C11" s="338"/>
      <c r="D11" s="338"/>
      <c r="E11" s="338"/>
      <c r="F11" s="338"/>
      <c r="G11" s="338"/>
      <c r="H11" s="338"/>
      <c r="I11" s="338"/>
      <c r="J11" s="338"/>
      <c r="K11" s="338"/>
      <c r="L11" s="338"/>
      <c r="M11" s="339"/>
    </row>
    <row r="12" spans="1:13" ht="15.75" x14ac:dyDescent="0.2">
      <c r="A12" s="332" t="s">
        <v>505</v>
      </c>
      <c r="B12" s="333"/>
      <c r="C12" s="333"/>
      <c r="D12" s="333"/>
      <c r="E12" s="333"/>
      <c r="F12" s="333"/>
      <c r="G12" s="333"/>
      <c r="H12" s="333"/>
      <c r="I12" s="333"/>
      <c r="J12" s="333"/>
      <c r="K12" s="333"/>
      <c r="L12" s="333"/>
      <c r="M12" s="334"/>
    </row>
    <row r="13" spans="1:13" ht="25.5" x14ac:dyDescent="0.2">
      <c r="A13" s="335">
        <v>2</v>
      </c>
      <c r="B13" s="342" t="s">
        <v>504</v>
      </c>
      <c r="C13" s="342" t="s">
        <v>287</v>
      </c>
      <c r="D13" s="86" t="s">
        <v>28</v>
      </c>
      <c r="E13" s="83">
        <v>100</v>
      </c>
      <c r="F13" s="84" t="s">
        <v>26</v>
      </c>
      <c r="G13" s="84" t="s">
        <v>27</v>
      </c>
      <c r="H13" s="84">
        <f>1000*117/100</f>
        <v>1170</v>
      </c>
      <c r="I13" s="84">
        <f>H13*30</f>
        <v>35100</v>
      </c>
      <c r="J13" s="86" t="s">
        <v>14</v>
      </c>
      <c r="K13" s="412" t="s">
        <v>510</v>
      </c>
      <c r="L13" s="442" t="s">
        <v>22</v>
      </c>
      <c r="M13" s="350">
        <v>253003</v>
      </c>
    </row>
    <row r="14" spans="1:13" ht="38.25" x14ac:dyDescent="0.2">
      <c r="A14" s="340"/>
      <c r="B14" s="373"/>
      <c r="C14" s="373"/>
      <c r="D14" s="31" t="s">
        <v>506</v>
      </c>
      <c r="E14" s="7">
        <v>77</v>
      </c>
      <c r="F14" s="15" t="s">
        <v>26</v>
      </c>
      <c r="G14" s="15" t="s">
        <v>27</v>
      </c>
      <c r="H14" s="89">
        <f>1500*117/100</f>
        <v>1755</v>
      </c>
      <c r="I14" s="15">
        <f>H14*30</f>
        <v>52650</v>
      </c>
      <c r="J14" s="31" t="s">
        <v>14</v>
      </c>
      <c r="K14" s="413"/>
      <c r="L14" s="442"/>
      <c r="M14" s="378"/>
    </row>
    <row r="15" spans="1:13" ht="38.25" x14ac:dyDescent="0.2">
      <c r="A15" s="340"/>
      <c r="B15" s="373"/>
      <c r="C15" s="373"/>
      <c r="D15" s="31" t="s">
        <v>507</v>
      </c>
      <c r="E15" s="7">
        <v>77</v>
      </c>
      <c r="F15" s="15" t="s">
        <v>26</v>
      </c>
      <c r="G15" s="15" t="s">
        <v>27</v>
      </c>
      <c r="H15" s="89">
        <f t="shared" ref="H15:H16" si="1">1500*117/100</f>
        <v>1755</v>
      </c>
      <c r="I15" s="15">
        <f t="shared" ref="I15:I16" si="2">H15*30</f>
        <v>52650</v>
      </c>
      <c r="J15" s="31" t="s">
        <v>14</v>
      </c>
      <c r="K15" s="413"/>
      <c r="L15" s="442"/>
      <c r="M15" s="378"/>
    </row>
    <row r="16" spans="1:13" ht="25.5" x14ac:dyDescent="0.2">
      <c r="A16" s="340"/>
      <c r="B16" s="373"/>
      <c r="C16" s="373"/>
      <c r="D16" s="31" t="s">
        <v>508</v>
      </c>
      <c r="E16" s="7">
        <v>77</v>
      </c>
      <c r="F16" s="15" t="s">
        <v>26</v>
      </c>
      <c r="G16" s="15" t="s">
        <v>27</v>
      </c>
      <c r="H16" s="89">
        <f t="shared" si="1"/>
        <v>1755</v>
      </c>
      <c r="I16" s="15">
        <f t="shared" si="2"/>
        <v>52650</v>
      </c>
      <c r="J16" s="31" t="s">
        <v>14</v>
      </c>
      <c r="K16" s="413"/>
      <c r="L16" s="442"/>
      <c r="M16" s="378"/>
    </row>
    <row r="17" spans="1:13" ht="14.25" x14ac:dyDescent="0.2">
      <c r="A17" s="336"/>
      <c r="B17" s="337"/>
      <c r="C17" s="338"/>
      <c r="D17" s="338"/>
      <c r="E17" s="338"/>
      <c r="F17" s="338"/>
      <c r="G17" s="338"/>
      <c r="H17" s="338"/>
      <c r="I17" s="338"/>
      <c r="J17" s="338"/>
      <c r="K17" s="338"/>
      <c r="L17" s="338"/>
      <c r="M17" s="339"/>
    </row>
    <row r="18" spans="1:13" ht="15.75" x14ac:dyDescent="0.2">
      <c r="A18" s="332" t="s">
        <v>511</v>
      </c>
      <c r="B18" s="333"/>
      <c r="C18" s="333"/>
      <c r="D18" s="333"/>
      <c r="E18" s="333"/>
      <c r="F18" s="333"/>
      <c r="G18" s="333"/>
      <c r="H18" s="333"/>
      <c r="I18" s="333"/>
      <c r="J18" s="333"/>
      <c r="K18" s="333"/>
      <c r="L18" s="333"/>
      <c r="M18" s="334"/>
    </row>
    <row r="19" spans="1:13" ht="38.25" x14ac:dyDescent="0.2">
      <c r="A19" s="335">
        <v>3</v>
      </c>
      <c r="B19" s="342" t="s">
        <v>512</v>
      </c>
      <c r="C19" s="342" t="s">
        <v>413</v>
      </c>
      <c r="D19" s="19" t="s">
        <v>513</v>
      </c>
      <c r="E19" s="20">
        <v>100</v>
      </c>
      <c r="F19" s="21" t="s">
        <v>17</v>
      </c>
      <c r="G19" s="21" t="s">
        <v>17</v>
      </c>
      <c r="H19" s="21">
        <f>6600*117/100</f>
        <v>7722</v>
      </c>
      <c r="I19" s="21">
        <f>H19</f>
        <v>7722</v>
      </c>
      <c r="J19" s="19" t="s">
        <v>14</v>
      </c>
      <c r="K19" s="412" t="s">
        <v>20</v>
      </c>
      <c r="L19" s="442" t="s">
        <v>22</v>
      </c>
      <c r="M19" s="350"/>
    </row>
    <row r="20" spans="1:13" ht="25.5" x14ac:dyDescent="0.2">
      <c r="A20" s="340"/>
      <c r="B20" s="373"/>
      <c r="C20" s="373"/>
      <c r="D20" s="31" t="s">
        <v>30</v>
      </c>
      <c r="E20" s="7">
        <v>96</v>
      </c>
      <c r="F20" s="15" t="s">
        <v>17</v>
      </c>
      <c r="G20" s="15" t="s">
        <v>17</v>
      </c>
      <c r="H20" s="89">
        <f>7000*117/100</f>
        <v>8190</v>
      </c>
      <c r="I20" s="15">
        <f>H20</f>
        <v>8190</v>
      </c>
      <c r="J20" s="31" t="s">
        <v>14</v>
      </c>
      <c r="K20" s="413"/>
      <c r="L20" s="442"/>
      <c r="M20" s="378"/>
    </row>
    <row r="21" spans="1:13" ht="25.5" x14ac:dyDescent="0.2">
      <c r="A21" s="340"/>
      <c r="B21" s="373"/>
      <c r="C21" s="373"/>
      <c r="D21" s="31" t="s">
        <v>514</v>
      </c>
      <c r="E21" s="7">
        <v>76</v>
      </c>
      <c r="F21" s="15" t="s">
        <v>17</v>
      </c>
      <c r="G21" s="15" t="s">
        <v>17</v>
      </c>
      <c r="H21" s="89">
        <f>10000*117/100</f>
        <v>11700</v>
      </c>
      <c r="I21" s="15">
        <f>H21</f>
        <v>11700</v>
      </c>
      <c r="J21" s="31" t="s">
        <v>14</v>
      </c>
      <c r="K21" s="413"/>
      <c r="L21" s="442"/>
      <c r="M21" s="378"/>
    </row>
    <row r="22" spans="1:13" ht="38.25" x14ac:dyDescent="0.2">
      <c r="A22" s="340"/>
      <c r="B22" s="373"/>
      <c r="C22" s="373"/>
      <c r="D22" s="31" t="s">
        <v>515</v>
      </c>
      <c r="E22" s="7">
        <v>71</v>
      </c>
      <c r="F22" s="15" t="s">
        <v>17</v>
      </c>
      <c r="G22" s="15" t="s">
        <v>17</v>
      </c>
      <c r="H22" s="89">
        <f>11320*117/100</f>
        <v>13244.4</v>
      </c>
      <c r="I22" s="15">
        <f>H22</f>
        <v>13244.4</v>
      </c>
      <c r="J22" s="31" t="s">
        <v>14</v>
      </c>
      <c r="K22" s="413"/>
      <c r="L22" s="442"/>
      <c r="M22" s="378"/>
    </row>
    <row r="23" spans="1:13" ht="14.25" x14ac:dyDescent="0.2">
      <c r="A23" s="336"/>
      <c r="B23" s="337"/>
      <c r="C23" s="338"/>
      <c r="D23" s="338"/>
      <c r="E23" s="338"/>
      <c r="F23" s="338"/>
      <c r="G23" s="338"/>
      <c r="H23" s="338"/>
      <c r="I23" s="338"/>
      <c r="J23" s="338"/>
      <c r="K23" s="338"/>
      <c r="L23" s="338"/>
      <c r="M23" s="339"/>
    </row>
    <row r="25" spans="1:13" x14ac:dyDescent="0.2">
      <c r="B25" s="28"/>
    </row>
  </sheetData>
  <mergeCells count="30">
    <mergeCell ref="A18:M18"/>
    <mergeCell ref="A19:A23"/>
    <mergeCell ref="B19:B22"/>
    <mergeCell ref="C19:C22"/>
    <mergeCell ref="K19:K22"/>
    <mergeCell ref="L19:L22"/>
    <mergeCell ref="M19:M22"/>
    <mergeCell ref="B23:M23"/>
    <mergeCell ref="A1:A6"/>
    <mergeCell ref="B1:M1"/>
    <mergeCell ref="B2:M2"/>
    <mergeCell ref="B3:M3"/>
    <mergeCell ref="B4:M4"/>
    <mergeCell ref="B5:M5"/>
    <mergeCell ref="A7:M7"/>
    <mergeCell ref="A8:A11"/>
    <mergeCell ref="B8:B10"/>
    <mergeCell ref="C8:C10"/>
    <mergeCell ref="K8:K10"/>
    <mergeCell ref="L8:L10"/>
    <mergeCell ref="M8:M10"/>
    <mergeCell ref="B11:M11"/>
    <mergeCell ref="A12:M12"/>
    <mergeCell ref="A13:A17"/>
    <mergeCell ref="B13:B16"/>
    <mergeCell ref="C13:C16"/>
    <mergeCell ref="K13:K16"/>
    <mergeCell ref="L13:L16"/>
    <mergeCell ref="M13:M16"/>
    <mergeCell ref="B17:M17"/>
  </mergeCells>
  <pageMargins left="0.25" right="0.25" top="0.75" bottom="0.75" header="0.3" footer="0.3"/>
  <pageSetup paperSize="9" scale="81" fitToHeight="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M29"/>
  <sheetViews>
    <sheetView rightToLeft="1" topLeftCell="A22" zoomScaleNormal="100" workbookViewId="0">
      <selection activeCell="A29" sqref="A29:XFD29"/>
    </sheetView>
  </sheetViews>
  <sheetFormatPr defaultColWidth="8.75" defaultRowHeight="15" x14ac:dyDescent="0.2"/>
  <cols>
    <col min="1" max="1" width="4.25" customWidth="1"/>
    <col min="2" max="2" width="21.125" style="9" bestFit="1" customWidth="1"/>
    <col min="4" max="4" width="7.25" customWidth="1"/>
    <col min="5" max="5" width="7.75" customWidth="1"/>
    <col min="6" max="6" width="10.25" bestFit="1" customWidth="1"/>
    <col min="7" max="7" width="12.125" style="10" bestFit="1" customWidth="1"/>
    <col min="8" max="8" width="13.625" style="11" bestFit="1" customWidth="1"/>
    <col min="9" max="9" width="14.625" style="11" bestFit="1" customWidth="1"/>
    <col min="10" max="10" width="9" customWidth="1"/>
    <col min="11" max="11" width="23.625" style="12" customWidth="1"/>
    <col min="12" max="12" width="13.5" style="13" customWidth="1"/>
    <col min="13" max="13" width="16.5" style="14" customWidth="1"/>
  </cols>
  <sheetData>
    <row r="1" spans="1:13" ht="20.25" x14ac:dyDescent="0.2">
      <c r="A1" s="354"/>
      <c r="B1" s="355" t="s">
        <v>680</v>
      </c>
      <c r="C1" s="355"/>
      <c r="D1" s="355"/>
      <c r="E1" s="355"/>
      <c r="F1" s="355"/>
      <c r="G1" s="355"/>
      <c r="H1" s="355"/>
      <c r="I1" s="355"/>
      <c r="J1" s="355"/>
      <c r="K1" s="355"/>
      <c r="L1" s="355"/>
      <c r="M1" s="355"/>
    </row>
    <row r="2" spans="1:13" ht="14.25" x14ac:dyDescent="0.2">
      <c r="A2" s="354"/>
      <c r="B2" s="356" t="s">
        <v>198</v>
      </c>
      <c r="C2" s="356"/>
      <c r="D2" s="356"/>
      <c r="E2" s="356"/>
      <c r="F2" s="356"/>
      <c r="G2" s="356"/>
      <c r="H2" s="356"/>
      <c r="I2" s="356"/>
      <c r="J2" s="356"/>
      <c r="K2" s="356"/>
      <c r="L2" s="356"/>
      <c r="M2" s="356"/>
    </row>
    <row r="3" spans="1:13" ht="15.75" x14ac:dyDescent="0.2">
      <c r="A3" s="354"/>
      <c r="B3" s="357" t="s">
        <v>296</v>
      </c>
      <c r="C3" s="357"/>
      <c r="D3" s="357"/>
      <c r="E3" s="357"/>
      <c r="F3" s="357"/>
      <c r="G3" s="357"/>
      <c r="H3" s="357"/>
      <c r="I3" s="357"/>
      <c r="J3" s="357"/>
      <c r="K3" s="357"/>
      <c r="L3" s="357"/>
      <c r="M3" s="357"/>
    </row>
    <row r="4" spans="1:13" ht="14.25" x14ac:dyDescent="0.2">
      <c r="A4" s="354"/>
      <c r="B4" s="358" t="s">
        <v>71</v>
      </c>
      <c r="C4" s="358"/>
      <c r="D4" s="358"/>
      <c r="E4" s="358"/>
      <c r="F4" s="358"/>
      <c r="G4" s="358"/>
      <c r="H4" s="358"/>
      <c r="I4" s="358"/>
      <c r="J4" s="358"/>
      <c r="K4" s="358"/>
      <c r="L4" s="358"/>
      <c r="M4" s="358"/>
    </row>
    <row r="5" spans="1:13" ht="14.25" x14ac:dyDescent="0.2">
      <c r="A5" s="354"/>
      <c r="B5" s="358" t="s">
        <v>70</v>
      </c>
      <c r="C5" s="358"/>
      <c r="D5" s="358"/>
      <c r="E5" s="358"/>
      <c r="F5" s="358"/>
      <c r="G5" s="358"/>
      <c r="H5" s="358"/>
      <c r="I5" s="358"/>
      <c r="J5" s="358"/>
      <c r="K5" s="358"/>
      <c r="L5" s="358"/>
      <c r="M5" s="358"/>
    </row>
    <row r="6" spans="1:13" ht="47.45" customHeight="1" x14ac:dyDescent="0.2">
      <c r="A6" s="354"/>
      <c r="B6" s="1" t="s">
        <v>1</v>
      </c>
      <c r="C6" s="2" t="s">
        <v>2</v>
      </c>
      <c r="D6" s="3" t="s">
        <v>3</v>
      </c>
      <c r="E6" s="3" t="s">
        <v>4</v>
      </c>
      <c r="F6" s="3" t="s">
        <v>5</v>
      </c>
      <c r="G6" s="3" t="s">
        <v>6</v>
      </c>
      <c r="H6" s="4" t="s">
        <v>7</v>
      </c>
      <c r="I6" s="5" t="s">
        <v>8</v>
      </c>
      <c r="J6" s="3" t="s">
        <v>9</v>
      </c>
      <c r="K6" s="3" t="s">
        <v>10</v>
      </c>
      <c r="L6" s="6" t="s">
        <v>11</v>
      </c>
      <c r="M6" s="3" t="s">
        <v>12</v>
      </c>
    </row>
    <row r="7" spans="1:13" ht="15.75" x14ac:dyDescent="0.2">
      <c r="A7" s="332" t="s">
        <v>485</v>
      </c>
      <c r="B7" s="333"/>
      <c r="C7" s="333"/>
      <c r="D7" s="333"/>
      <c r="E7" s="333"/>
      <c r="F7" s="333"/>
      <c r="G7" s="333"/>
      <c r="H7" s="333"/>
      <c r="I7" s="333"/>
      <c r="J7" s="333"/>
      <c r="K7" s="333"/>
      <c r="L7" s="333"/>
      <c r="M7" s="334"/>
    </row>
    <row r="8" spans="1:13" ht="25.5" x14ac:dyDescent="0.2">
      <c r="A8" s="335">
        <v>1</v>
      </c>
      <c r="B8" s="342" t="s">
        <v>481</v>
      </c>
      <c r="C8" s="342" t="s">
        <v>413</v>
      </c>
      <c r="D8" s="19" t="s">
        <v>85</v>
      </c>
      <c r="E8" s="20">
        <v>100</v>
      </c>
      <c r="F8" s="21" t="s">
        <v>17</v>
      </c>
      <c r="G8" s="21" t="s">
        <v>17</v>
      </c>
      <c r="H8" s="21">
        <f>18518*117/100</f>
        <v>21666.06</v>
      </c>
      <c r="I8" s="21">
        <f>H8</f>
        <v>21666.06</v>
      </c>
      <c r="J8" s="19" t="s">
        <v>14</v>
      </c>
      <c r="K8" s="412" t="s">
        <v>20</v>
      </c>
      <c r="L8" s="442" t="s">
        <v>22</v>
      </c>
      <c r="M8" s="350"/>
    </row>
    <row r="9" spans="1:13" ht="38.25" x14ac:dyDescent="0.2">
      <c r="A9" s="340"/>
      <c r="B9" s="373"/>
      <c r="C9" s="373"/>
      <c r="D9" s="31" t="s">
        <v>482</v>
      </c>
      <c r="E9" s="7">
        <v>67</v>
      </c>
      <c r="F9" s="8" t="s">
        <v>17</v>
      </c>
      <c r="G9" s="8" t="s">
        <v>17</v>
      </c>
      <c r="H9" s="8">
        <f>34800*117/100</f>
        <v>40716</v>
      </c>
      <c r="I9" s="8">
        <f t="shared" ref="I9:I12" si="0">H9</f>
        <v>40716</v>
      </c>
      <c r="J9" s="31" t="s">
        <v>14</v>
      </c>
      <c r="K9" s="413"/>
      <c r="L9" s="442"/>
      <c r="M9" s="378"/>
    </row>
    <row r="10" spans="1:13" ht="25.5" x14ac:dyDescent="0.2">
      <c r="A10" s="340"/>
      <c r="B10" s="373"/>
      <c r="C10" s="373"/>
      <c r="D10" s="31" t="s">
        <v>483</v>
      </c>
      <c r="E10" s="7">
        <v>66</v>
      </c>
      <c r="F10" s="8" t="s">
        <v>17</v>
      </c>
      <c r="G10" s="8" t="s">
        <v>17</v>
      </c>
      <c r="H10" s="8">
        <f>36000*117/100</f>
        <v>42120</v>
      </c>
      <c r="I10" s="8">
        <f t="shared" si="0"/>
        <v>42120</v>
      </c>
      <c r="J10" s="31" t="s">
        <v>14</v>
      </c>
      <c r="K10" s="413"/>
      <c r="L10" s="442"/>
      <c r="M10" s="378"/>
    </row>
    <row r="11" spans="1:13" ht="14.25" x14ac:dyDescent="0.2">
      <c r="A11" s="340"/>
      <c r="B11" s="373"/>
      <c r="C11" s="373"/>
      <c r="D11" s="31" t="s">
        <v>484</v>
      </c>
      <c r="E11" s="7">
        <v>52</v>
      </c>
      <c r="F11" s="8" t="s">
        <v>17</v>
      </c>
      <c r="G11" s="8" t="s">
        <v>17</v>
      </c>
      <c r="H11" s="8">
        <f>60000*117/100</f>
        <v>70200</v>
      </c>
      <c r="I11" s="8">
        <f t="shared" si="0"/>
        <v>70200</v>
      </c>
      <c r="J11" s="31" t="s">
        <v>14</v>
      </c>
      <c r="K11" s="413"/>
      <c r="L11" s="442"/>
      <c r="M11" s="378"/>
    </row>
    <row r="12" spans="1:13" ht="25.5" x14ac:dyDescent="0.2">
      <c r="A12" s="340"/>
      <c r="B12" s="373"/>
      <c r="C12" s="373"/>
      <c r="D12" s="31" t="s">
        <v>312</v>
      </c>
      <c r="E12" s="7">
        <v>83</v>
      </c>
      <c r="F12" s="8" t="s">
        <v>17</v>
      </c>
      <c r="G12" s="8" t="s">
        <v>17</v>
      </c>
      <c r="H12" s="8">
        <f>69616*117/100</f>
        <v>81450.720000000001</v>
      </c>
      <c r="I12" s="8">
        <f t="shared" si="0"/>
        <v>81450.720000000001</v>
      </c>
      <c r="J12" s="31" t="s">
        <v>14</v>
      </c>
      <c r="K12" s="413"/>
      <c r="L12" s="442"/>
      <c r="M12" s="378"/>
    </row>
    <row r="13" spans="1:13" ht="14.25" x14ac:dyDescent="0.2">
      <c r="A13" s="336"/>
      <c r="B13" s="337"/>
      <c r="C13" s="338"/>
      <c r="D13" s="338"/>
      <c r="E13" s="338"/>
      <c r="F13" s="338"/>
      <c r="G13" s="338"/>
      <c r="H13" s="338"/>
      <c r="I13" s="338"/>
      <c r="J13" s="338"/>
      <c r="K13" s="338"/>
      <c r="L13" s="338"/>
      <c r="M13" s="339"/>
    </row>
    <row r="14" spans="1:13" ht="15.75" x14ac:dyDescent="0.2">
      <c r="A14" s="332" t="s">
        <v>486</v>
      </c>
      <c r="B14" s="333"/>
      <c r="C14" s="333"/>
      <c r="D14" s="333"/>
      <c r="E14" s="333"/>
      <c r="F14" s="333"/>
      <c r="G14" s="333"/>
      <c r="H14" s="333"/>
      <c r="I14" s="333"/>
      <c r="J14" s="333"/>
      <c r="K14" s="333"/>
      <c r="L14" s="333"/>
      <c r="M14" s="334"/>
    </row>
    <row r="15" spans="1:13" ht="14.25" x14ac:dyDescent="0.2">
      <c r="A15" s="335">
        <v>2</v>
      </c>
      <c r="B15" s="342" t="s">
        <v>487</v>
      </c>
      <c r="C15" s="342" t="s">
        <v>413</v>
      </c>
      <c r="D15" s="19" t="s">
        <v>132</v>
      </c>
      <c r="E15" s="20">
        <v>100</v>
      </c>
      <c r="F15" s="21" t="s">
        <v>17</v>
      </c>
      <c r="G15" s="21" t="s">
        <v>17</v>
      </c>
      <c r="H15" s="21">
        <f>28350*117/100</f>
        <v>33169.5</v>
      </c>
      <c r="I15" s="21">
        <f>H15</f>
        <v>33169.5</v>
      </c>
      <c r="J15" s="19" t="s">
        <v>14</v>
      </c>
      <c r="K15" s="412" t="s">
        <v>516</v>
      </c>
      <c r="L15" s="442" t="s">
        <v>22</v>
      </c>
      <c r="M15" s="350"/>
    </row>
    <row r="16" spans="1:13" ht="14.25" x14ac:dyDescent="0.2">
      <c r="A16" s="340"/>
      <c r="B16" s="373"/>
      <c r="C16" s="373"/>
      <c r="D16" s="31" t="s">
        <v>134</v>
      </c>
      <c r="E16" s="7">
        <v>99.8</v>
      </c>
      <c r="F16" s="8" t="s">
        <v>17</v>
      </c>
      <c r="G16" s="8" t="s">
        <v>17</v>
      </c>
      <c r="H16" s="8">
        <f>32000*117/100</f>
        <v>37440</v>
      </c>
      <c r="I16" s="8">
        <f>H16</f>
        <v>37440</v>
      </c>
      <c r="J16" s="31" t="s">
        <v>14</v>
      </c>
      <c r="K16" s="413"/>
      <c r="L16" s="442"/>
      <c r="M16" s="378"/>
    </row>
    <row r="17" spans="1:13" ht="38.25" x14ac:dyDescent="0.2">
      <c r="A17" s="340"/>
      <c r="B17" s="373"/>
      <c r="C17" s="373"/>
      <c r="D17" s="31" t="s">
        <v>488</v>
      </c>
      <c r="E17" s="7">
        <v>96</v>
      </c>
      <c r="F17" s="8" t="s">
        <v>17</v>
      </c>
      <c r="G17" s="8" t="s">
        <v>17</v>
      </c>
      <c r="H17" s="8">
        <f>33750*117/100</f>
        <v>39487.5</v>
      </c>
      <c r="I17" s="8">
        <f t="shared" ref="I17:I20" si="1">H17</f>
        <v>39487.5</v>
      </c>
      <c r="J17" s="31" t="s">
        <v>14</v>
      </c>
      <c r="K17" s="413"/>
      <c r="L17" s="442"/>
      <c r="M17" s="378"/>
    </row>
    <row r="18" spans="1:13" ht="38.25" x14ac:dyDescent="0.2">
      <c r="A18" s="340"/>
      <c r="B18" s="373"/>
      <c r="C18" s="373"/>
      <c r="D18" s="31" t="s">
        <v>489</v>
      </c>
      <c r="E18" s="7">
        <v>72</v>
      </c>
      <c r="F18" s="8" t="s">
        <v>17</v>
      </c>
      <c r="G18" s="8" t="s">
        <v>17</v>
      </c>
      <c r="H18" s="8">
        <f>52800*117/100</f>
        <v>61776</v>
      </c>
      <c r="I18" s="8">
        <f t="shared" si="1"/>
        <v>61776</v>
      </c>
      <c r="J18" s="31" t="s">
        <v>14</v>
      </c>
      <c r="K18" s="413"/>
      <c r="L18" s="442"/>
      <c r="M18" s="378"/>
    </row>
    <row r="19" spans="1:13" ht="38.25" x14ac:dyDescent="0.2">
      <c r="A19" s="340"/>
      <c r="B19" s="373"/>
      <c r="C19" s="373"/>
      <c r="D19" s="31" t="s">
        <v>490</v>
      </c>
      <c r="E19" s="7">
        <v>60</v>
      </c>
      <c r="F19" s="8" t="s">
        <v>17</v>
      </c>
      <c r="G19" s="8" t="s">
        <v>17</v>
      </c>
      <c r="H19" s="8">
        <f>75000*117/100</f>
        <v>87750</v>
      </c>
      <c r="I19" s="8">
        <f t="shared" si="1"/>
        <v>87750</v>
      </c>
      <c r="J19" s="31" t="s">
        <v>14</v>
      </c>
      <c r="K19" s="413"/>
      <c r="L19" s="442"/>
      <c r="M19" s="378"/>
    </row>
    <row r="20" spans="1:13" ht="25.5" x14ac:dyDescent="0.2">
      <c r="A20" s="340"/>
      <c r="B20" s="373"/>
      <c r="C20" s="373"/>
      <c r="D20" s="31" t="s">
        <v>491</v>
      </c>
      <c r="E20" s="7">
        <v>55</v>
      </c>
      <c r="F20" s="8" t="s">
        <v>17</v>
      </c>
      <c r="G20" s="8" t="s">
        <v>17</v>
      </c>
      <c r="H20" s="8">
        <f>90000*117/100</f>
        <v>105300</v>
      </c>
      <c r="I20" s="8">
        <f t="shared" si="1"/>
        <v>105300</v>
      </c>
      <c r="J20" s="31" t="s">
        <v>14</v>
      </c>
      <c r="K20" s="413"/>
      <c r="L20" s="442"/>
      <c r="M20" s="378"/>
    </row>
    <row r="21" spans="1:13" ht="14.25" x14ac:dyDescent="0.2">
      <c r="A21" s="336"/>
      <c r="B21" s="337"/>
      <c r="C21" s="338"/>
      <c r="D21" s="338"/>
      <c r="E21" s="338"/>
      <c r="F21" s="338"/>
      <c r="G21" s="338"/>
      <c r="H21" s="338"/>
      <c r="I21" s="338"/>
      <c r="J21" s="338"/>
      <c r="K21" s="338"/>
      <c r="L21" s="338"/>
      <c r="M21" s="339"/>
    </row>
    <row r="22" spans="1:13" ht="15.75" x14ac:dyDescent="0.2">
      <c r="A22" s="332" t="s">
        <v>492</v>
      </c>
      <c r="B22" s="333"/>
      <c r="C22" s="333"/>
      <c r="D22" s="333"/>
      <c r="E22" s="333"/>
      <c r="F22" s="333"/>
      <c r="G22" s="333"/>
      <c r="H22" s="333"/>
      <c r="I22" s="333"/>
      <c r="J22" s="333"/>
      <c r="K22" s="333"/>
      <c r="L22" s="333"/>
      <c r="M22" s="334"/>
    </row>
    <row r="23" spans="1:13" ht="14.25" x14ac:dyDescent="0.2">
      <c r="A23" s="340">
        <v>3</v>
      </c>
      <c r="B23" s="373" t="s">
        <v>493</v>
      </c>
      <c r="C23" s="373" t="s">
        <v>413</v>
      </c>
      <c r="D23" s="16" t="s">
        <v>494</v>
      </c>
      <c r="E23" s="17">
        <v>99</v>
      </c>
      <c r="F23" s="18" t="s">
        <v>17</v>
      </c>
      <c r="G23" s="18" t="s">
        <v>17</v>
      </c>
      <c r="H23" s="18">
        <f>16470*117/100</f>
        <v>19269.900000000001</v>
      </c>
      <c r="I23" s="18">
        <f>H23</f>
        <v>19269.900000000001</v>
      </c>
      <c r="J23" s="16" t="s">
        <v>14</v>
      </c>
      <c r="K23" s="413" t="s">
        <v>20</v>
      </c>
      <c r="L23" s="442" t="s">
        <v>22</v>
      </c>
      <c r="M23" s="378"/>
    </row>
    <row r="24" spans="1:13" ht="14.25" x14ac:dyDescent="0.2">
      <c r="A24" s="340"/>
      <c r="B24" s="373"/>
      <c r="C24" s="373"/>
      <c r="D24" s="23" t="s">
        <v>40</v>
      </c>
      <c r="E24" s="32">
        <v>100</v>
      </c>
      <c r="F24" s="15" t="s">
        <v>17</v>
      </c>
      <c r="G24" s="15" t="s">
        <v>17</v>
      </c>
      <c r="H24" s="15">
        <f>18000*117/100</f>
        <v>21060</v>
      </c>
      <c r="I24" s="15">
        <f>H24</f>
        <v>21060</v>
      </c>
      <c r="J24" s="23" t="s">
        <v>14</v>
      </c>
      <c r="K24" s="413"/>
      <c r="L24" s="442"/>
      <c r="M24" s="378"/>
    </row>
    <row r="25" spans="1:13" ht="38.25" x14ac:dyDescent="0.2">
      <c r="A25" s="340"/>
      <c r="B25" s="373"/>
      <c r="C25" s="373"/>
      <c r="D25" s="31" t="s">
        <v>495</v>
      </c>
      <c r="E25" s="7">
        <v>93</v>
      </c>
      <c r="F25" s="8" t="s">
        <v>17</v>
      </c>
      <c r="G25" s="8" t="s">
        <v>17</v>
      </c>
      <c r="H25" s="8">
        <f>20000*117/100</f>
        <v>23400</v>
      </c>
      <c r="I25" s="8">
        <f t="shared" ref="I25:I26" si="2">H25</f>
        <v>23400</v>
      </c>
      <c r="J25" s="31" t="s">
        <v>14</v>
      </c>
      <c r="K25" s="413"/>
      <c r="L25" s="442"/>
      <c r="M25" s="378"/>
    </row>
    <row r="26" spans="1:13" ht="38.25" x14ac:dyDescent="0.2">
      <c r="A26" s="340"/>
      <c r="B26" s="373"/>
      <c r="C26" s="373"/>
      <c r="D26" s="31" t="s">
        <v>496</v>
      </c>
      <c r="E26" s="7">
        <v>80</v>
      </c>
      <c r="F26" s="8" t="s">
        <v>17</v>
      </c>
      <c r="G26" s="8" t="s">
        <v>17</v>
      </c>
      <c r="H26" s="8">
        <f>25000*117/100</f>
        <v>29250</v>
      </c>
      <c r="I26" s="8">
        <f t="shared" si="2"/>
        <v>29250</v>
      </c>
      <c r="J26" s="31" t="s">
        <v>14</v>
      </c>
      <c r="K26" s="413"/>
      <c r="L26" s="442"/>
      <c r="M26" s="378"/>
    </row>
    <row r="27" spans="1:13" ht="14.25" x14ac:dyDescent="0.2">
      <c r="A27" s="336"/>
      <c r="B27" s="337"/>
      <c r="C27" s="338"/>
      <c r="D27" s="338"/>
      <c r="E27" s="338"/>
      <c r="F27" s="338"/>
      <c r="G27" s="338"/>
      <c r="H27" s="338"/>
      <c r="I27" s="338"/>
      <c r="J27" s="338"/>
      <c r="K27" s="338"/>
      <c r="L27" s="338"/>
      <c r="M27" s="339"/>
    </row>
    <row r="29" spans="1:13" x14ac:dyDescent="0.2">
      <c r="B29" s="28"/>
    </row>
  </sheetData>
  <mergeCells count="30">
    <mergeCell ref="A1:A6"/>
    <mergeCell ref="B1:M1"/>
    <mergeCell ref="B2:M2"/>
    <mergeCell ref="B3:M3"/>
    <mergeCell ref="B4:M4"/>
    <mergeCell ref="B5:M5"/>
    <mergeCell ref="L23:L26"/>
    <mergeCell ref="A7:M7"/>
    <mergeCell ref="A8:A13"/>
    <mergeCell ref="B8:B12"/>
    <mergeCell ref="C8:C12"/>
    <mergeCell ref="K8:K12"/>
    <mergeCell ref="L8:L12"/>
    <mergeCell ref="M8:M12"/>
    <mergeCell ref="B27:M27"/>
    <mergeCell ref="M23:M26"/>
    <mergeCell ref="B13:M13"/>
    <mergeCell ref="A15:A21"/>
    <mergeCell ref="B15:B20"/>
    <mergeCell ref="C15:C20"/>
    <mergeCell ref="K15:K20"/>
    <mergeCell ref="L15:L20"/>
    <mergeCell ref="M15:M20"/>
    <mergeCell ref="B21:M21"/>
    <mergeCell ref="A22:M22"/>
    <mergeCell ref="A14:M14"/>
    <mergeCell ref="A23:A27"/>
    <mergeCell ref="B23:B26"/>
    <mergeCell ref="C23:C26"/>
    <mergeCell ref="K23:K26"/>
  </mergeCells>
  <pageMargins left="0.25" right="0.25" top="0.75" bottom="0.75" header="0.3" footer="0.3"/>
  <pageSetup paperSize="9" scale="81" fitToHeight="0"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O76"/>
  <sheetViews>
    <sheetView rightToLeft="1" topLeftCell="A76" zoomScaleNormal="100" workbookViewId="0">
      <selection activeCell="F94" sqref="F94"/>
    </sheetView>
  </sheetViews>
  <sheetFormatPr defaultColWidth="8.75" defaultRowHeight="15" x14ac:dyDescent="0.2"/>
  <cols>
    <col min="1" max="1" width="4.25" customWidth="1"/>
    <col min="2" max="2" width="21.125" style="9" bestFit="1" customWidth="1"/>
    <col min="4" max="4" width="7.25" customWidth="1"/>
    <col min="5" max="5" width="7.75" customWidth="1"/>
    <col min="6" max="6" width="10.25" bestFit="1" customWidth="1"/>
    <col min="7" max="7" width="12.125" style="10" bestFit="1" customWidth="1"/>
    <col min="8" max="8" width="13.625" style="11" bestFit="1" customWidth="1"/>
    <col min="9" max="9" width="14.625" style="11" bestFit="1" customWidth="1"/>
    <col min="10" max="10" width="9" customWidth="1"/>
    <col min="11" max="12" width="23.625" style="12" customWidth="1"/>
    <col min="13" max="13" width="16.25" style="12" customWidth="1"/>
    <col min="14" max="14" width="13.5" style="13" customWidth="1"/>
    <col min="15" max="15" width="16.5" style="14" customWidth="1"/>
  </cols>
  <sheetData>
    <row r="1" spans="1:15" ht="20.25" x14ac:dyDescent="0.2">
      <c r="A1" s="354"/>
      <c r="B1" s="355" t="s">
        <v>1174</v>
      </c>
      <c r="C1" s="355"/>
      <c r="D1" s="355"/>
      <c r="E1" s="355"/>
      <c r="F1" s="355"/>
      <c r="G1" s="355"/>
      <c r="H1" s="355"/>
      <c r="I1" s="355"/>
      <c r="J1" s="355"/>
      <c r="K1" s="355"/>
      <c r="L1" s="355"/>
      <c r="M1" s="355"/>
      <c r="N1" s="355"/>
      <c r="O1" s="355"/>
    </row>
    <row r="2" spans="1:15" ht="14.25" x14ac:dyDescent="0.2">
      <c r="A2" s="354"/>
      <c r="B2" s="356" t="s">
        <v>198</v>
      </c>
      <c r="C2" s="356"/>
      <c r="D2" s="356"/>
      <c r="E2" s="356"/>
      <c r="F2" s="356"/>
      <c r="G2" s="356"/>
      <c r="H2" s="356"/>
      <c r="I2" s="356"/>
      <c r="J2" s="356"/>
      <c r="K2" s="356"/>
      <c r="L2" s="356"/>
      <c r="M2" s="356"/>
      <c r="N2" s="356"/>
      <c r="O2" s="356"/>
    </row>
    <row r="3" spans="1:15" ht="15.75" x14ac:dyDescent="0.2">
      <c r="A3" s="354"/>
      <c r="B3" s="357" t="s">
        <v>296</v>
      </c>
      <c r="C3" s="357"/>
      <c r="D3" s="357"/>
      <c r="E3" s="357"/>
      <c r="F3" s="357"/>
      <c r="G3" s="357"/>
      <c r="H3" s="357"/>
      <c r="I3" s="357"/>
      <c r="J3" s="357"/>
      <c r="K3" s="357"/>
      <c r="L3" s="357"/>
      <c r="M3" s="357"/>
      <c r="N3" s="357"/>
      <c r="O3" s="357"/>
    </row>
    <row r="4" spans="1:15" ht="14.25" x14ac:dyDescent="0.2">
      <c r="A4" s="354"/>
      <c r="B4" s="358" t="s">
        <v>71</v>
      </c>
      <c r="C4" s="358"/>
      <c r="D4" s="358"/>
      <c r="E4" s="358"/>
      <c r="F4" s="358"/>
      <c r="G4" s="358"/>
      <c r="H4" s="358"/>
      <c r="I4" s="358"/>
      <c r="J4" s="358"/>
      <c r="K4" s="358"/>
      <c r="L4" s="358"/>
      <c r="M4" s="358"/>
      <c r="N4" s="358"/>
      <c r="O4" s="358"/>
    </row>
    <row r="5" spans="1:15" ht="14.25" x14ac:dyDescent="0.2">
      <c r="A5" s="354"/>
      <c r="B5" s="358" t="s">
        <v>70</v>
      </c>
      <c r="C5" s="358"/>
      <c r="D5" s="358"/>
      <c r="E5" s="358"/>
      <c r="F5" s="358"/>
      <c r="G5" s="358"/>
      <c r="H5" s="358"/>
      <c r="I5" s="358"/>
      <c r="J5" s="358"/>
      <c r="K5" s="358"/>
      <c r="L5" s="358"/>
      <c r="M5" s="358"/>
      <c r="N5" s="358"/>
      <c r="O5" s="358"/>
    </row>
    <row r="6" spans="1:15" ht="47.45" customHeight="1" x14ac:dyDescent="0.2">
      <c r="A6" s="354"/>
      <c r="B6" s="1" t="s">
        <v>1</v>
      </c>
      <c r="C6" s="2" t="s">
        <v>2</v>
      </c>
      <c r="D6" s="3" t="s">
        <v>3</v>
      </c>
      <c r="E6" s="3" t="s">
        <v>4</v>
      </c>
      <c r="F6" s="3" t="s">
        <v>5</v>
      </c>
      <c r="G6" s="3" t="s">
        <v>6</v>
      </c>
      <c r="H6" s="4" t="s">
        <v>7</v>
      </c>
      <c r="I6" s="5" t="s">
        <v>8</v>
      </c>
      <c r="J6" s="3" t="s">
        <v>9</v>
      </c>
      <c r="K6" s="3" t="s">
        <v>10</v>
      </c>
      <c r="L6" s="3" t="s">
        <v>525</v>
      </c>
      <c r="M6" s="3" t="s">
        <v>526</v>
      </c>
      <c r="N6" s="6" t="s">
        <v>11</v>
      </c>
      <c r="O6" s="3" t="s">
        <v>12</v>
      </c>
    </row>
    <row r="7" spans="1:15" ht="15.75" x14ac:dyDescent="0.2">
      <c r="A7" s="332" t="s">
        <v>299</v>
      </c>
      <c r="B7" s="333"/>
      <c r="C7" s="333"/>
      <c r="D7" s="333"/>
      <c r="E7" s="333"/>
      <c r="F7" s="333"/>
      <c r="G7" s="333"/>
      <c r="H7" s="333"/>
      <c r="I7" s="333"/>
      <c r="J7" s="333"/>
      <c r="K7" s="333"/>
      <c r="L7" s="333"/>
      <c r="M7" s="333"/>
      <c r="N7" s="333"/>
      <c r="O7" s="334"/>
    </row>
    <row r="8" spans="1:15" ht="38.25" x14ac:dyDescent="0.2">
      <c r="A8" s="335">
        <v>1</v>
      </c>
      <c r="B8" s="63" t="s">
        <v>87</v>
      </c>
      <c r="C8" s="29" t="s">
        <v>52</v>
      </c>
      <c r="D8" s="19" t="s">
        <v>62</v>
      </c>
      <c r="E8" s="20">
        <v>100</v>
      </c>
      <c r="F8" s="21" t="s">
        <v>13</v>
      </c>
      <c r="G8" s="21" t="s">
        <v>297</v>
      </c>
      <c r="H8" s="21">
        <f>220*117/100</f>
        <v>257.39999999999998</v>
      </c>
      <c r="I8" s="21">
        <f>H8*20</f>
        <v>5148</v>
      </c>
      <c r="J8" s="19" t="s">
        <v>14</v>
      </c>
      <c r="K8" s="64" t="s">
        <v>21</v>
      </c>
      <c r="L8" s="105"/>
      <c r="M8" s="105"/>
      <c r="N8" s="66" t="s">
        <v>22</v>
      </c>
      <c r="O8" s="24" t="s">
        <v>67</v>
      </c>
    </row>
    <row r="9" spans="1:15" ht="13.9" customHeight="1" x14ac:dyDescent="0.2">
      <c r="A9" s="336"/>
      <c r="B9" s="337" t="s">
        <v>298</v>
      </c>
      <c r="C9" s="338"/>
      <c r="D9" s="338"/>
      <c r="E9" s="338"/>
      <c r="F9" s="338"/>
      <c r="G9" s="338"/>
      <c r="H9" s="338"/>
      <c r="I9" s="338"/>
      <c r="J9" s="338"/>
      <c r="K9" s="338"/>
      <c r="L9" s="338"/>
      <c r="M9" s="338"/>
      <c r="N9" s="338"/>
      <c r="O9" s="339"/>
    </row>
    <row r="10" spans="1:15" ht="15.75" x14ac:dyDescent="0.2">
      <c r="A10" s="332" t="s">
        <v>304</v>
      </c>
      <c r="B10" s="333"/>
      <c r="C10" s="333"/>
      <c r="D10" s="333"/>
      <c r="E10" s="333"/>
      <c r="F10" s="333"/>
      <c r="G10" s="333"/>
      <c r="H10" s="333"/>
      <c r="I10" s="333"/>
      <c r="J10" s="333"/>
      <c r="K10" s="333"/>
      <c r="L10" s="333"/>
      <c r="M10" s="333"/>
      <c r="N10" s="333"/>
      <c r="O10" s="334"/>
    </row>
    <row r="11" spans="1:15" ht="26.45" customHeight="1" x14ac:dyDescent="0.2">
      <c r="A11" s="335">
        <v>2</v>
      </c>
      <c r="B11" s="342" t="s">
        <v>300</v>
      </c>
      <c r="C11" s="342" t="s">
        <v>287</v>
      </c>
      <c r="D11" s="80" t="s">
        <v>301</v>
      </c>
      <c r="E11" s="81">
        <v>100</v>
      </c>
      <c r="F11" s="82" t="s">
        <v>13</v>
      </c>
      <c r="G11" s="82" t="s">
        <v>61</v>
      </c>
      <c r="H11" s="82">
        <f>180*117/100</f>
        <v>210.6</v>
      </c>
      <c r="I11" s="82">
        <f>H11*250</f>
        <v>52650</v>
      </c>
      <c r="J11" s="80" t="s">
        <v>14</v>
      </c>
      <c r="K11" s="412" t="s">
        <v>471</v>
      </c>
      <c r="L11" s="412"/>
      <c r="M11" s="412"/>
      <c r="N11" s="400" t="s">
        <v>22</v>
      </c>
      <c r="O11" s="350" t="s">
        <v>302</v>
      </c>
    </row>
    <row r="12" spans="1:15" ht="15.6" customHeight="1" x14ac:dyDescent="0.2">
      <c r="A12" s="340"/>
      <c r="B12" s="373"/>
      <c r="C12" s="373"/>
      <c r="D12" s="80" t="s">
        <v>303</v>
      </c>
      <c r="E12" s="81">
        <v>93</v>
      </c>
      <c r="F12" s="82" t="s">
        <v>13</v>
      </c>
      <c r="G12" s="82" t="s">
        <v>61</v>
      </c>
      <c r="H12" s="82">
        <f>200*117/100</f>
        <v>234</v>
      </c>
      <c r="I12" s="82">
        <f t="shared" ref="I12:I17" si="0">H12*250</f>
        <v>58500</v>
      </c>
      <c r="J12" s="80" t="s">
        <v>14</v>
      </c>
      <c r="K12" s="413"/>
      <c r="L12" s="413"/>
      <c r="M12" s="413"/>
      <c r="N12" s="401"/>
      <c r="O12" s="378"/>
    </row>
    <row r="13" spans="1:15" ht="15.6" customHeight="1" x14ac:dyDescent="0.2">
      <c r="A13" s="340"/>
      <c r="B13" s="373"/>
      <c r="C13" s="373"/>
      <c r="D13" s="31" t="s">
        <v>23</v>
      </c>
      <c r="E13" s="7">
        <v>87</v>
      </c>
      <c r="F13" s="8" t="s">
        <v>13</v>
      </c>
      <c r="G13" s="8" t="s">
        <v>61</v>
      </c>
      <c r="H13" s="8">
        <f>200*117/100</f>
        <v>234</v>
      </c>
      <c r="I13" s="8">
        <f t="shared" si="0"/>
        <v>58500</v>
      </c>
      <c r="J13" s="31" t="s">
        <v>14</v>
      </c>
      <c r="K13" s="413"/>
      <c r="L13" s="413"/>
      <c r="M13" s="413"/>
      <c r="N13" s="401"/>
      <c r="O13" s="378"/>
    </row>
    <row r="14" spans="1:15" ht="15.6" customHeight="1" x14ac:dyDescent="0.2">
      <c r="A14" s="340"/>
      <c r="B14" s="373"/>
      <c r="C14" s="373"/>
      <c r="D14" s="31" t="s">
        <v>24</v>
      </c>
      <c r="E14" s="7">
        <v>87</v>
      </c>
      <c r="F14" s="8" t="s">
        <v>13</v>
      </c>
      <c r="G14" s="8" t="s">
        <v>61</v>
      </c>
      <c r="H14" s="8">
        <f>200*117/100</f>
        <v>234</v>
      </c>
      <c r="I14" s="8">
        <f t="shared" si="0"/>
        <v>58500</v>
      </c>
      <c r="J14" s="31" t="s">
        <v>14</v>
      </c>
      <c r="K14" s="413"/>
      <c r="L14" s="413"/>
      <c r="M14" s="413"/>
      <c r="N14" s="401"/>
      <c r="O14" s="378"/>
    </row>
    <row r="15" spans="1:15" ht="25.5" x14ac:dyDescent="0.2">
      <c r="A15" s="340"/>
      <c r="B15" s="373"/>
      <c r="C15" s="373"/>
      <c r="D15" s="31" t="s">
        <v>74</v>
      </c>
      <c r="E15" s="7">
        <v>83</v>
      </c>
      <c r="F15" s="8" t="s">
        <v>13</v>
      </c>
      <c r="G15" s="8" t="s">
        <v>61</v>
      </c>
      <c r="H15" s="8">
        <f>212*117/100</f>
        <v>248.04</v>
      </c>
      <c r="I15" s="8">
        <f t="shared" si="0"/>
        <v>62010</v>
      </c>
      <c r="J15" s="31" t="s">
        <v>14</v>
      </c>
      <c r="K15" s="413"/>
      <c r="L15" s="413"/>
      <c r="M15" s="413"/>
      <c r="N15" s="401"/>
      <c r="O15" s="378"/>
    </row>
    <row r="16" spans="1:15" ht="25.5" x14ac:dyDescent="0.2">
      <c r="A16" s="340"/>
      <c r="B16" s="373"/>
      <c r="C16" s="373"/>
      <c r="D16" s="31" t="s">
        <v>84</v>
      </c>
      <c r="E16" s="7">
        <v>69</v>
      </c>
      <c r="F16" s="8" t="s">
        <v>13</v>
      </c>
      <c r="G16" s="8" t="s">
        <v>61</v>
      </c>
      <c r="H16" s="8">
        <f>281*117/100</f>
        <v>328.77</v>
      </c>
      <c r="I16" s="8">
        <f t="shared" si="0"/>
        <v>82192.5</v>
      </c>
      <c r="J16" s="31" t="s">
        <v>14</v>
      </c>
      <c r="K16" s="413"/>
      <c r="L16" s="413"/>
      <c r="M16" s="413"/>
      <c r="N16" s="401"/>
      <c r="O16" s="378"/>
    </row>
    <row r="17" spans="1:15" ht="25.5" x14ac:dyDescent="0.2">
      <c r="A17" s="340"/>
      <c r="B17" s="343"/>
      <c r="C17" s="343"/>
      <c r="D17" s="31" t="s">
        <v>129</v>
      </c>
      <c r="E17" s="7">
        <v>61</v>
      </c>
      <c r="F17" s="8" t="s">
        <v>13</v>
      </c>
      <c r="G17" s="8" t="s">
        <v>61</v>
      </c>
      <c r="H17" s="8">
        <f>340*117/100</f>
        <v>397.8</v>
      </c>
      <c r="I17" s="8">
        <f t="shared" si="0"/>
        <v>99450</v>
      </c>
      <c r="J17" s="31" t="s">
        <v>14</v>
      </c>
      <c r="K17" s="428"/>
      <c r="L17" s="428"/>
      <c r="M17" s="428"/>
      <c r="N17" s="402"/>
      <c r="O17" s="351"/>
    </row>
    <row r="18" spans="1:15" ht="13.9" customHeight="1" x14ac:dyDescent="0.2">
      <c r="A18" s="336"/>
      <c r="B18" s="337" t="s">
        <v>305</v>
      </c>
      <c r="C18" s="338"/>
      <c r="D18" s="338"/>
      <c r="E18" s="338"/>
      <c r="F18" s="338"/>
      <c r="G18" s="338"/>
      <c r="H18" s="338"/>
      <c r="I18" s="338"/>
      <c r="J18" s="338"/>
      <c r="K18" s="338"/>
      <c r="L18" s="338"/>
      <c r="M18" s="338"/>
      <c r="N18" s="338"/>
      <c r="O18" s="339"/>
    </row>
    <row r="19" spans="1:15" ht="15.75" x14ac:dyDescent="0.2">
      <c r="A19" s="332" t="s">
        <v>306</v>
      </c>
      <c r="B19" s="333"/>
      <c r="C19" s="333"/>
      <c r="D19" s="333"/>
      <c r="E19" s="333"/>
      <c r="F19" s="333"/>
      <c r="G19" s="333"/>
      <c r="H19" s="333"/>
      <c r="I19" s="333"/>
      <c r="J19" s="333"/>
      <c r="K19" s="333"/>
      <c r="L19" s="333"/>
      <c r="M19" s="333"/>
      <c r="N19" s="333"/>
      <c r="O19" s="334"/>
    </row>
    <row r="20" spans="1:15" ht="26.45" customHeight="1" x14ac:dyDescent="0.2">
      <c r="A20" s="335">
        <v>3</v>
      </c>
      <c r="B20" s="342" t="s">
        <v>307</v>
      </c>
      <c r="C20" s="342" t="s">
        <v>287</v>
      </c>
      <c r="D20" s="16" t="s">
        <v>310</v>
      </c>
      <c r="E20" s="17">
        <v>100</v>
      </c>
      <c r="F20" s="18" t="s">
        <v>13</v>
      </c>
      <c r="G20" s="18" t="s">
        <v>63</v>
      </c>
      <c r="H20" s="18">
        <f>160*117/100</f>
        <v>187.2</v>
      </c>
      <c r="I20" s="18">
        <f>H20*150</f>
        <v>28080</v>
      </c>
      <c r="J20" s="16" t="s">
        <v>14</v>
      </c>
      <c r="K20" s="412" t="s">
        <v>472</v>
      </c>
      <c r="L20" s="412"/>
      <c r="M20" s="412"/>
      <c r="N20" s="400" t="s">
        <v>22</v>
      </c>
      <c r="O20" s="350" t="s">
        <v>309</v>
      </c>
    </row>
    <row r="21" spans="1:15" ht="25.5" x14ac:dyDescent="0.2">
      <c r="A21" s="340"/>
      <c r="B21" s="373"/>
      <c r="C21" s="373"/>
      <c r="D21" s="16" t="s">
        <v>311</v>
      </c>
      <c r="E21" s="17">
        <v>100</v>
      </c>
      <c r="F21" s="18" t="s">
        <v>13</v>
      </c>
      <c r="G21" s="18" t="s">
        <v>63</v>
      </c>
      <c r="H21" s="18">
        <f>160*117/100</f>
        <v>187.2</v>
      </c>
      <c r="I21" s="18">
        <f>H21*150</f>
        <v>28080</v>
      </c>
      <c r="J21" s="16" t="s">
        <v>14</v>
      </c>
      <c r="K21" s="413"/>
      <c r="L21" s="413"/>
      <c r="M21" s="413"/>
      <c r="N21" s="401"/>
      <c r="O21" s="378"/>
    </row>
    <row r="22" spans="1:15" ht="25.5" x14ac:dyDescent="0.2">
      <c r="A22" s="340"/>
      <c r="B22" s="373"/>
      <c r="C22" s="373"/>
      <c r="D22" s="31" t="s">
        <v>85</v>
      </c>
      <c r="E22" s="7">
        <v>71</v>
      </c>
      <c r="F22" s="8" t="s">
        <v>13</v>
      </c>
      <c r="G22" s="8" t="s">
        <v>63</v>
      </c>
      <c r="H22" s="8">
        <f>271.2*117/100</f>
        <v>317.30399999999997</v>
      </c>
      <c r="I22" s="8">
        <f>H22*150</f>
        <v>47595.6</v>
      </c>
      <c r="J22" s="31" t="s">
        <v>14</v>
      </c>
      <c r="K22" s="413"/>
      <c r="L22" s="413"/>
      <c r="M22" s="413"/>
      <c r="N22" s="401"/>
      <c r="O22" s="378"/>
    </row>
    <row r="23" spans="1:15" ht="25.5" x14ac:dyDescent="0.2">
      <c r="A23" s="340"/>
      <c r="B23" s="373"/>
      <c r="C23" s="373"/>
      <c r="D23" s="31" t="s">
        <v>312</v>
      </c>
      <c r="E23" s="7">
        <v>67</v>
      </c>
      <c r="F23" s="8" t="s">
        <v>13</v>
      </c>
      <c r="G23" s="8" t="s">
        <v>63</v>
      </c>
      <c r="H23" s="8">
        <f>301*117/100</f>
        <v>352.17</v>
      </c>
      <c r="I23" s="8">
        <f t="shared" ref="I23:I24" si="1">H23*150</f>
        <v>52825.5</v>
      </c>
      <c r="J23" s="31" t="s">
        <v>14</v>
      </c>
      <c r="K23" s="413"/>
      <c r="L23" s="413"/>
      <c r="M23" s="413"/>
      <c r="N23" s="401"/>
      <c r="O23" s="378"/>
    </row>
    <row r="24" spans="1:15" ht="25.5" x14ac:dyDescent="0.2">
      <c r="A24" s="340"/>
      <c r="B24" s="343"/>
      <c r="C24" s="343"/>
      <c r="D24" s="31" t="s">
        <v>313</v>
      </c>
      <c r="E24" s="7">
        <v>59</v>
      </c>
      <c r="F24" s="8" t="s">
        <v>13</v>
      </c>
      <c r="G24" s="8" t="s">
        <v>63</v>
      </c>
      <c r="H24" s="8">
        <f>380*117/100</f>
        <v>444.6</v>
      </c>
      <c r="I24" s="8">
        <f t="shared" si="1"/>
        <v>66690</v>
      </c>
      <c r="J24" s="31" t="s">
        <v>14</v>
      </c>
      <c r="K24" s="428"/>
      <c r="L24" s="428"/>
      <c r="M24" s="428"/>
      <c r="N24" s="402"/>
      <c r="O24" s="351"/>
    </row>
    <row r="25" spans="1:15" ht="13.9" customHeight="1" x14ac:dyDescent="0.2">
      <c r="A25" s="336"/>
      <c r="B25" s="337" t="s">
        <v>308</v>
      </c>
      <c r="C25" s="338"/>
      <c r="D25" s="338"/>
      <c r="E25" s="338"/>
      <c r="F25" s="338"/>
      <c r="G25" s="338"/>
      <c r="H25" s="338"/>
      <c r="I25" s="338"/>
      <c r="J25" s="338"/>
      <c r="K25" s="338"/>
      <c r="L25" s="338"/>
      <c r="M25" s="338"/>
      <c r="N25" s="338"/>
      <c r="O25" s="339"/>
    </row>
    <row r="26" spans="1:15" ht="15.75" x14ac:dyDescent="0.2">
      <c r="A26" s="332" t="s">
        <v>318</v>
      </c>
      <c r="B26" s="333"/>
      <c r="C26" s="333"/>
      <c r="D26" s="333"/>
      <c r="E26" s="333"/>
      <c r="F26" s="333"/>
      <c r="G26" s="333"/>
      <c r="H26" s="333"/>
      <c r="I26" s="333"/>
      <c r="J26" s="333"/>
      <c r="K26" s="333"/>
      <c r="L26" s="333"/>
      <c r="M26" s="333"/>
      <c r="N26" s="333"/>
      <c r="O26" s="334"/>
    </row>
    <row r="27" spans="1:15" ht="25.5" customHeight="1" x14ac:dyDescent="0.2">
      <c r="A27" s="335">
        <v>4</v>
      </c>
      <c r="B27" s="342" t="s">
        <v>319</v>
      </c>
      <c r="C27" s="342" t="s">
        <v>16</v>
      </c>
      <c r="D27" s="80" t="s">
        <v>320</v>
      </c>
      <c r="E27" s="83">
        <v>100</v>
      </c>
      <c r="F27" s="84" t="s">
        <v>15</v>
      </c>
      <c r="G27" s="84"/>
      <c r="H27" s="85">
        <v>0.03</v>
      </c>
      <c r="I27" s="84"/>
      <c r="J27" s="80" t="s">
        <v>14</v>
      </c>
      <c r="K27" s="412" t="s">
        <v>473</v>
      </c>
      <c r="L27" s="412"/>
      <c r="M27" s="412"/>
      <c r="N27" s="400" t="s">
        <v>22</v>
      </c>
      <c r="O27" s="350">
        <v>253012</v>
      </c>
    </row>
    <row r="28" spans="1:15" ht="25.5" x14ac:dyDescent="0.2">
      <c r="A28" s="340"/>
      <c r="B28" s="373"/>
      <c r="C28" s="373"/>
      <c r="D28" s="80" t="s">
        <v>31</v>
      </c>
      <c r="E28" s="81">
        <v>96</v>
      </c>
      <c r="F28" s="84" t="s">
        <v>15</v>
      </c>
      <c r="G28" s="84"/>
      <c r="H28" s="85">
        <v>3.2000000000000001E-2</v>
      </c>
      <c r="I28" s="84"/>
      <c r="J28" s="80" t="s">
        <v>14</v>
      </c>
      <c r="K28" s="413"/>
      <c r="L28" s="413"/>
      <c r="M28" s="413"/>
      <c r="N28" s="401"/>
      <c r="O28" s="378"/>
    </row>
    <row r="29" spans="1:15" ht="38.25" x14ac:dyDescent="0.2">
      <c r="A29" s="340"/>
      <c r="B29" s="373"/>
      <c r="C29" s="373"/>
      <c r="D29" s="80" t="s">
        <v>321</v>
      </c>
      <c r="E29" s="81">
        <v>94</v>
      </c>
      <c r="F29" s="84" t="s">
        <v>15</v>
      </c>
      <c r="G29" s="84"/>
      <c r="H29" s="85">
        <v>3.3000000000000002E-2</v>
      </c>
      <c r="I29" s="84"/>
      <c r="J29" s="80" t="s">
        <v>14</v>
      </c>
      <c r="K29" s="413"/>
      <c r="L29" s="413"/>
      <c r="M29" s="413"/>
      <c r="N29" s="401"/>
      <c r="O29" s="378"/>
    </row>
    <row r="30" spans="1:15" ht="25.5" x14ac:dyDescent="0.2">
      <c r="A30" s="340"/>
      <c r="B30" s="373"/>
      <c r="C30" s="373"/>
      <c r="D30" s="80" t="s">
        <v>322</v>
      </c>
      <c r="E30" s="81">
        <v>90</v>
      </c>
      <c r="F30" s="84" t="s">
        <v>15</v>
      </c>
      <c r="G30" s="84"/>
      <c r="H30" s="85">
        <v>3.5000000000000003E-2</v>
      </c>
      <c r="I30" s="84"/>
      <c r="J30" s="80" t="s">
        <v>14</v>
      </c>
      <c r="K30" s="413"/>
      <c r="L30" s="413"/>
      <c r="M30" s="413"/>
      <c r="N30" s="401"/>
      <c r="O30" s="378"/>
    </row>
    <row r="31" spans="1:15" ht="38.25" x14ac:dyDescent="0.2">
      <c r="A31" s="340"/>
      <c r="B31" s="373"/>
      <c r="C31" s="373"/>
      <c r="D31" s="31" t="s">
        <v>288</v>
      </c>
      <c r="E31" s="7">
        <v>82</v>
      </c>
      <c r="F31" s="15" t="s">
        <v>15</v>
      </c>
      <c r="G31" s="15"/>
      <c r="H31" s="67">
        <v>3.5999999999999997E-2</v>
      </c>
      <c r="I31" s="15"/>
      <c r="J31" s="31" t="s">
        <v>14</v>
      </c>
      <c r="K31" s="413"/>
      <c r="L31" s="413"/>
      <c r="M31" s="413"/>
      <c r="N31" s="401"/>
      <c r="O31" s="378"/>
    </row>
    <row r="32" spans="1:15" ht="38.25" x14ac:dyDescent="0.2">
      <c r="A32" s="340"/>
      <c r="B32" s="373"/>
      <c r="C32" s="373"/>
      <c r="D32" s="31" t="s">
        <v>323</v>
      </c>
      <c r="E32" s="7">
        <v>84</v>
      </c>
      <c r="F32" s="15" t="s">
        <v>15</v>
      </c>
      <c r="G32" s="15"/>
      <c r="H32" s="67">
        <v>3.9E-2</v>
      </c>
      <c r="I32" s="15"/>
      <c r="J32" s="31" t="s">
        <v>14</v>
      </c>
      <c r="K32" s="413"/>
      <c r="L32" s="413"/>
      <c r="M32" s="413"/>
      <c r="N32" s="401"/>
      <c r="O32" s="378"/>
    </row>
    <row r="33" spans="1:15" ht="25.5" x14ac:dyDescent="0.2">
      <c r="A33" s="340"/>
      <c r="B33" s="373"/>
      <c r="C33" s="373"/>
      <c r="D33" s="31" t="s">
        <v>316</v>
      </c>
      <c r="E33" s="7">
        <v>76</v>
      </c>
      <c r="F33" s="15" t="s">
        <v>15</v>
      </c>
      <c r="G33" s="15"/>
      <c r="H33" s="67">
        <v>4.5499999999999999E-2</v>
      </c>
      <c r="I33" s="15"/>
      <c r="J33" s="31" t="s">
        <v>14</v>
      </c>
      <c r="K33" s="413"/>
      <c r="L33" s="413"/>
      <c r="M33" s="413"/>
      <c r="N33" s="401"/>
      <c r="O33" s="378"/>
    </row>
    <row r="34" spans="1:15" ht="15.6" customHeight="1" x14ac:dyDescent="0.2">
      <c r="A34" s="340"/>
      <c r="B34" s="373"/>
      <c r="C34" s="373"/>
      <c r="D34" s="31" t="s">
        <v>324</v>
      </c>
      <c r="E34" s="7">
        <v>75</v>
      </c>
      <c r="F34" s="15" t="s">
        <v>15</v>
      </c>
      <c r="G34" s="15"/>
      <c r="H34" s="67">
        <v>4.6899999999999997E-2</v>
      </c>
      <c r="I34" s="15"/>
      <c r="J34" s="31" t="s">
        <v>14</v>
      </c>
      <c r="K34" s="413"/>
      <c r="L34" s="413"/>
      <c r="M34" s="413"/>
      <c r="N34" s="401"/>
      <c r="O34" s="378"/>
    </row>
    <row r="35" spans="1:15" ht="25.5" x14ac:dyDescent="0.2">
      <c r="A35" s="340"/>
      <c r="B35" s="343"/>
      <c r="C35" s="343"/>
      <c r="D35" s="31" t="s">
        <v>325</v>
      </c>
      <c r="E35" s="7">
        <v>58</v>
      </c>
      <c r="F35" s="15" t="s">
        <v>15</v>
      </c>
      <c r="G35" s="15"/>
      <c r="H35" s="67">
        <v>7.4999999999999997E-2</v>
      </c>
      <c r="I35" s="15"/>
      <c r="J35" s="31" t="s">
        <v>14</v>
      </c>
      <c r="K35" s="428"/>
      <c r="L35" s="428"/>
      <c r="M35" s="428"/>
      <c r="N35" s="402"/>
      <c r="O35" s="351"/>
    </row>
    <row r="36" spans="1:15" ht="14.25" customHeight="1" x14ac:dyDescent="0.2">
      <c r="A36" s="336"/>
      <c r="B36" s="337" t="s">
        <v>317</v>
      </c>
      <c r="C36" s="338"/>
      <c r="D36" s="338"/>
      <c r="E36" s="338"/>
      <c r="F36" s="338"/>
      <c r="G36" s="338"/>
      <c r="H36" s="338"/>
      <c r="I36" s="338"/>
      <c r="J36" s="338"/>
      <c r="K36" s="338"/>
      <c r="L36" s="338"/>
      <c r="M36" s="338"/>
      <c r="N36" s="338"/>
      <c r="O36" s="339"/>
    </row>
    <row r="37" spans="1:15" ht="15.75" x14ac:dyDescent="0.2">
      <c r="A37" s="332" t="s">
        <v>327</v>
      </c>
      <c r="B37" s="333"/>
      <c r="C37" s="333"/>
      <c r="D37" s="333"/>
      <c r="E37" s="333"/>
      <c r="F37" s="333"/>
      <c r="G37" s="333"/>
      <c r="H37" s="333"/>
      <c r="I37" s="333"/>
      <c r="J37" s="333"/>
      <c r="K37" s="333"/>
      <c r="L37" s="333"/>
      <c r="M37" s="333"/>
      <c r="N37" s="333"/>
      <c r="O37" s="334"/>
    </row>
    <row r="38" spans="1:15" ht="39.6" customHeight="1" x14ac:dyDescent="0.2">
      <c r="A38" s="335">
        <v>5</v>
      </c>
      <c r="B38" s="342" t="s">
        <v>328</v>
      </c>
      <c r="C38" s="342" t="s">
        <v>287</v>
      </c>
      <c r="D38" s="16" t="s">
        <v>288</v>
      </c>
      <c r="E38" s="17">
        <v>100</v>
      </c>
      <c r="F38" s="18" t="s">
        <v>26</v>
      </c>
      <c r="G38" s="18" t="s">
        <v>27</v>
      </c>
      <c r="H38" s="18">
        <f>2300*117/100</f>
        <v>2691</v>
      </c>
      <c r="I38" s="18">
        <f>H38*30</f>
        <v>80730</v>
      </c>
      <c r="J38" s="16" t="s">
        <v>14</v>
      </c>
      <c r="K38" s="412" t="s">
        <v>253</v>
      </c>
      <c r="L38" s="376" t="s">
        <v>533</v>
      </c>
      <c r="M38" s="376">
        <f>1500*1.17*30</f>
        <v>52650</v>
      </c>
      <c r="N38" s="400" t="s">
        <v>22</v>
      </c>
      <c r="O38" s="350">
        <v>253008</v>
      </c>
    </row>
    <row r="39" spans="1:15" ht="25.5" x14ac:dyDescent="0.2">
      <c r="A39" s="340"/>
      <c r="B39" s="373"/>
      <c r="C39" s="373"/>
      <c r="D39" s="31" t="s">
        <v>320</v>
      </c>
      <c r="E39" s="7">
        <v>94</v>
      </c>
      <c r="F39" s="8" t="s">
        <v>26</v>
      </c>
      <c r="G39" s="8" t="s">
        <v>27</v>
      </c>
      <c r="H39" s="8">
        <f>2500*117/100</f>
        <v>2925</v>
      </c>
      <c r="I39" s="8">
        <f t="shared" ref="I39:I42" si="2">H39*30</f>
        <v>87750</v>
      </c>
      <c r="J39" s="31" t="s">
        <v>14</v>
      </c>
      <c r="K39" s="413"/>
      <c r="L39" s="377"/>
      <c r="M39" s="377"/>
      <c r="N39" s="401"/>
      <c r="O39" s="378"/>
    </row>
    <row r="40" spans="1:15" ht="25.5" x14ac:dyDescent="0.2">
      <c r="A40" s="340"/>
      <c r="B40" s="373"/>
      <c r="C40" s="373"/>
      <c r="D40" s="31" t="s">
        <v>315</v>
      </c>
      <c r="E40" s="7">
        <v>85</v>
      </c>
      <c r="F40" s="8" t="s">
        <v>26</v>
      </c>
      <c r="G40" s="8" t="s">
        <v>27</v>
      </c>
      <c r="H40" s="8">
        <f>2920*117/100</f>
        <v>3416.4</v>
      </c>
      <c r="I40" s="8">
        <f t="shared" si="2"/>
        <v>102492</v>
      </c>
      <c r="J40" s="31" t="s">
        <v>14</v>
      </c>
      <c r="K40" s="413"/>
      <c r="L40" s="377"/>
      <c r="M40" s="377"/>
      <c r="N40" s="401"/>
      <c r="O40" s="378"/>
    </row>
    <row r="41" spans="1:15" ht="25.5" x14ac:dyDescent="0.2">
      <c r="A41" s="340"/>
      <c r="B41" s="373"/>
      <c r="C41" s="373"/>
      <c r="D41" s="31" t="s">
        <v>329</v>
      </c>
      <c r="E41" s="7">
        <v>83</v>
      </c>
      <c r="F41" s="8" t="s">
        <v>26</v>
      </c>
      <c r="G41" s="8" t="s">
        <v>27</v>
      </c>
      <c r="H41" s="8">
        <f>3000*117/100</f>
        <v>3510</v>
      </c>
      <c r="I41" s="8">
        <f t="shared" si="2"/>
        <v>105300</v>
      </c>
      <c r="J41" s="31" t="s">
        <v>14</v>
      </c>
      <c r="K41" s="413"/>
      <c r="L41" s="377"/>
      <c r="M41" s="377"/>
      <c r="N41" s="401"/>
      <c r="O41" s="378"/>
    </row>
    <row r="42" spans="1:15" ht="38.25" x14ac:dyDescent="0.2">
      <c r="A42" s="340"/>
      <c r="B42" s="343"/>
      <c r="C42" s="343"/>
      <c r="D42" s="31" t="s">
        <v>289</v>
      </c>
      <c r="E42" s="7">
        <v>70</v>
      </c>
      <c r="F42" s="8" t="s">
        <v>26</v>
      </c>
      <c r="G42" s="8" t="s">
        <v>27</v>
      </c>
      <c r="H42" s="8">
        <f>4000*117/100</f>
        <v>4680</v>
      </c>
      <c r="I42" s="8">
        <f t="shared" si="2"/>
        <v>140400</v>
      </c>
      <c r="J42" s="31" t="s">
        <v>14</v>
      </c>
      <c r="K42" s="428"/>
      <c r="L42" s="389"/>
      <c r="M42" s="389"/>
      <c r="N42" s="402"/>
      <c r="O42" s="351"/>
    </row>
    <row r="43" spans="1:15" ht="13.9" customHeight="1" x14ac:dyDescent="0.2">
      <c r="A43" s="336"/>
      <c r="B43" s="337"/>
      <c r="C43" s="338"/>
      <c r="D43" s="338"/>
      <c r="E43" s="338"/>
      <c r="F43" s="338"/>
      <c r="G43" s="338"/>
      <c r="H43" s="338"/>
      <c r="I43" s="338"/>
      <c r="J43" s="338"/>
      <c r="K43" s="338"/>
      <c r="L43" s="338"/>
      <c r="M43" s="338"/>
      <c r="N43" s="338"/>
      <c r="O43" s="339"/>
    </row>
    <row r="44" spans="1:15" ht="15.75" x14ac:dyDescent="0.2">
      <c r="A44" s="332" t="s">
        <v>330</v>
      </c>
      <c r="B44" s="333"/>
      <c r="C44" s="333"/>
      <c r="D44" s="333"/>
      <c r="E44" s="333"/>
      <c r="F44" s="333"/>
      <c r="G44" s="333"/>
      <c r="H44" s="333"/>
      <c r="I44" s="333"/>
      <c r="J44" s="333"/>
      <c r="K44" s="333"/>
      <c r="L44" s="333"/>
      <c r="M44" s="333"/>
      <c r="N44" s="333"/>
      <c r="O44" s="334"/>
    </row>
    <row r="45" spans="1:15" ht="41.45" customHeight="1" x14ac:dyDescent="0.2">
      <c r="A45" s="335">
        <v>6</v>
      </c>
      <c r="B45" s="342" t="s">
        <v>326</v>
      </c>
      <c r="C45" s="342" t="s">
        <v>287</v>
      </c>
      <c r="D45" s="55" t="s">
        <v>289</v>
      </c>
      <c r="E45" s="56">
        <v>94</v>
      </c>
      <c r="F45" s="57" t="s">
        <v>13</v>
      </c>
      <c r="G45" s="57" t="s">
        <v>290</v>
      </c>
      <c r="H45" s="58">
        <f>230*117/100</f>
        <v>269.10000000000002</v>
      </c>
      <c r="I45" s="57">
        <f>H45*700</f>
        <v>188370.00000000003</v>
      </c>
      <c r="J45" s="55" t="s">
        <v>14</v>
      </c>
      <c r="K45" s="412" t="s">
        <v>474</v>
      </c>
      <c r="L45" s="412"/>
      <c r="M45" s="412"/>
      <c r="N45" s="400" t="s">
        <v>22</v>
      </c>
      <c r="O45" s="350"/>
    </row>
    <row r="46" spans="1:15" ht="38.25" x14ac:dyDescent="0.2">
      <c r="A46" s="340"/>
      <c r="B46" s="373"/>
      <c r="C46" s="373"/>
      <c r="D46" s="31" t="s">
        <v>288</v>
      </c>
      <c r="E46" s="7">
        <v>88</v>
      </c>
      <c r="F46" s="8" t="s">
        <v>13</v>
      </c>
      <c r="G46" s="8" t="s">
        <v>290</v>
      </c>
      <c r="H46" s="8">
        <f>209*117/100</f>
        <v>244.53</v>
      </c>
      <c r="I46" s="8">
        <f>H46*700</f>
        <v>171171</v>
      </c>
      <c r="J46" s="31" t="s">
        <v>14</v>
      </c>
      <c r="K46" s="413"/>
      <c r="L46" s="413"/>
      <c r="M46" s="413"/>
      <c r="N46" s="401"/>
      <c r="O46" s="378"/>
    </row>
    <row r="47" spans="1:15" ht="25.5" x14ac:dyDescent="0.2">
      <c r="A47" s="340"/>
      <c r="B47" s="373"/>
      <c r="C47" s="373"/>
      <c r="D47" s="31" t="s">
        <v>291</v>
      </c>
      <c r="E47" s="7">
        <v>75</v>
      </c>
      <c r="F47" s="8" t="s">
        <v>13</v>
      </c>
      <c r="G47" s="8" t="s">
        <v>290</v>
      </c>
      <c r="H47" s="8">
        <f>328*117/100</f>
        <v>383.76</v>
      </c>
      <c r="I47" s="8">
        <f>H47*700</f>
        <v>268632</v>
      </c>
      <c r="J47" s="31" t="s">
        <v>14</v>
      </c>
      <c r="K47" s="413"/>
      <c r="L47" s="413"/>
      <c r="M47" s="413"/>
      <c r="N47" s="401"/>
      <c r="O47" s="378"/>
    </row>
    <row r="48" spans="1:15" ht="25.5" x14ac:dyDescent="0.2">
      <c r="A48" s="340"/>
      <c r="B48" s="373"/>
      <c r="C48" s="373"/>
      <c r="D48" s="31" t="s">
        <v>292</v>
      </c>
      <c r="E48" s="7">
        <v>74</v>
      </c>
      <c r="F48" s="8" t="s">
        <v>13</v>
      </c>
      <c r="G48" s="8" t="s">
        <v>290</v>
      </c>
      <c r="H48" s="8">
        <f>332*117/100</f>
        <v>388.44</v>
      </c>
      <c r="I48" s="8">
        <f>H48*700</f>
        <v>271908</v>
      </c>
      <c r="J48" s="31" t="s">
        <v>14</v>
      </c>
      <c r="K48" s="413"/>
      <c r="L48" s="413"/>
      <c r="M48" s="413"/>
      <c r="N48" s="401"/>
      <c r="O48" s="378"/>
    </row>
    <row r="49" spans="1:15" ht="25.5" x14ac:dyDescent="0.2">
      <c r="A49" s="340"/>
      <c r="B49" s="343"/>
      <c r="C49" s="343"/>
      <c r="D49" s="31" t="s">
        <v>293</v>
      </c>
      <c r="E49" s="7">
        <v>60</v>
      </c>
      <c r="F49" s="8" t="s">
        <v>13</v>
      </c>
      <c r="G49" s="8" t="s">
        <v>290</v>
      </c>
      <c r="H49" s="8">
        <f>480*117/100</f>
        <v>561.6</v>
      </c>
      <c r="I49" s="8">
        <f>H49*700</f>
        <v>393120</v>
      </c>
      <c r="J49" s="31" t="s">
        <v>14</v>
      </c>
      <c r="K49" s="428"/>
      <c r="L49" s="428"/>
      <c r="M49" s="428"/>
      <c r="N49" s="402"/>
      <c r="O49" s="351"/>
    </row>
    <row r="50" spans="1:15" ht="13.9" customHeight="1" x14ac:dyDescent="0.2">
      <c r="A50" s="336"/>
      <c r="B50" s="337" t="s">
        <v>314</v>
      </c>
      <c r="C50" s="338"/>
      <c r="D50" s="338"/>
      <c r="E50" s="338"/>
      <c r="F50" s="338"/>
      <c r="G50" s="338"/>
      <c r="H50" s="338"/>
      <c r="I50" s="338"/>
      <c r="J50" s="338"/>
      <c r="K50" s="338"/>
      <c r="L50" s="338"/>
      <c r="M50" s="338"/>
      <c r="N50" s="338"/>
      <c r="O50" s="339"/>
    </row>
    <row r="51" spans="1:15" ht="15.75" x14ac:dyDescent="0.2">
      <c r="A51" s="332" t="s">
        <v>332</v>
      </c>
      <c r="B51" s="333"/>
      <c r="C51" s="333"/>
      <c r="D51" s="333"/>
      <c r="E51" s="333"/>
      <c r="F51" s="333"/>
      <c r="G51" s="333"/>
      <c r="H51" s="333"/>
      <c r="I51" s="333"/>
      <c r="J51" s="333"/>
      <c r="K51" s="333"/>
      <c r="L51" s="333"/>
      <c r="M51" s="333"/>
      <c r="N51" s="333"/>
      <c r="O51" s="334"/>
    </row>
    <row r="52" spans="1:15" ht="78.75" x14ac:dyDescent="0.2">
      <c r="A52" s="335">
        <v>7</v>
      </c>
      <c r="B52" s="63" t="s">
        <v>79</v>
      </c>
      <c r="C52" s="30" t="s">
        <v>286</v>
      </c>
      <c r="D52" s="86" t="s">
        <v>19</v>
      </c>
      <c r="E52" s="83">
        <v>100</v>
      </c>
      <c r="F52" s="84" t="s">
        <v>13</v>
      </c>
      <c r="G52" s="84" t="s">
        <v>80</v>
      </c>
      <c r="H52" s="84">
        <f>200*117/100</f>
        <v>234</v>
      </c>
      <c r="I52" s="84">
        <f>H52*100*12</f>
        <v>280800</v>
      </c>
      <c r="J52" s="86" t="s">
        <v>14</v>
      </c>
      <c r="K52" s="64" t="s">
        <v>475</v>
      </c>
      <c r="L52" s="105"/>
      <c r="M52" s="105"/>
      <c r="N52" s="66" t="s">
        <v>22</v>
      </c>
      <c r="O52" s="65">
        <v>1732000750</v>
      </c>
    </row>
    <row r="53" spans="1:15" ht="13.9" customHeight="1" x14ac:dyDescent="0.2">
      <c r="A53" s="336"/>
      <c r="B53" s="337" t="s">
        <v>331</v>
      </c>
      <c r="C53" s="338"/>
      <c r="D53" s="338"/>
      <c r="E53" s="338"/>
      <c r="F53" s="338"/>
      <c r="G53" s="338"/>
      <c r="H53" s="338"/>
      <c r="I53" s="338"/>
      <c r="J53" s="338"/>
      <c r="K53" s="338"/>
      <c r="L53" s="338"/>
      <c r="M53" s="338"/>
      <c r="N53" s="338"/>
      <c r="O53" s="339"/>
    </row>
    <row r="54" spans="1:15" ht="15.75" x14ac:dyDescent="0.2">
      <c r="A54" s="332" t="s">
        <v>333</v>
      </c>
      <c r="B54" s="333"/>
      <c r="C54" s="333"/>
      <c r="D54" s="333"/>
      <c r="E54" s="333"/>
      <c r="F54" s="333"/>
      <c r="G54" s="333"/>
      <c r="H54" s="333"/>
      <c r="I54" s="333"/>
      <c r="J54" s="333"/>
      <c r="K54" s="333"/>
      <c r="L54" s="333"/>
      <c r="M54" s="333"/>
      <c r="N54" s="333"/>
      <c r="O54" s="334"/>
    </row>
    <row r="55" spans="1:15" ht="39.6" customHeight="1" x14ac:dyDescent="0.2">
      <c r="A55" s="335">
        <v>8</v>
      </c>
      <c r="B55" s="342" t="s">
        <v>334</v>
      </c>
      <c r="C55" s="342" t="s">
        <v>72</v>
      </c>
      <c r="D55" s="19" t="s">
        <v>335</v>
      </c>
      <c r="E55" s="20">
        <v>94</v>
      </c>
      <c r="F55" s="21" t="s">
        <v>17</v>
      </c>
      <c r="G55" s="21" t="s">
        <v>17</v>
      </c>
      <c r="H55" s="77">
        <f>291000*117/100</f>
        <v>340470</v>
      </c>
      <c r="I55" s="21">
        <f>H55</f>
        <v>340470</v>
      </c>
      <c r="J55" s="19" t="s">
        <v>14</v>
      </c>
      <c r="K55" s="412" t="s">
        <v>476</v>
      </c>
      <c r="L55" s="443" t="s">
        <v>689</v>
      </c>
      <c r="M55" s="346">
        <f>I55*0.9</f>
        <v>306423</v>
      </c>
      <c r="N55" s="400" t="s">
        <v>22</v>
      </c>
      <c r="O55" s="350"/>
    </row>
    <row r="56" spans="1:15" ht="15.6" customHeight="1" x14ac:dyDescent="0.2">
      <c r="A56" s="340"/>
      <c r="B56" s="373"/>
      <c r="C56" s="373"/>
      <c r="D56" s="31" t="s">
        <v>338</v>
      </c>
      <c r="E56" s="7">
        <v>88</v>
      </c>
      <c r="F56" s="8" t="s">
        <v>17</v>
      </c>
      <c r="G56" s="8" t="s">
        <v>17</v>
      </c>
      <c r="H56" s="8">
        <f>348190*117/100</f>
        <v>407382.3</v>
      </c>
      <c r="I56" s="8">
        <f>H56</f>
        <v>407382.3</v>
      </c>
      <c r="J56" s="31" t="s">
        <v>14</v>
      </c>
      <c r="K56" s="413"/>
      <c r="L56" s="444"/>
      <c r="M56" s="381"/>
      <c r="N56" s="401"/>
      <c r="O56" s="378"/>
    </row>
    <row r="57" spans="1:15" ht="38.25" x14ac:dyDescent="0.2">
      <c r="A57" s="340"/>
      <c r="B57" s="373"/>
      <c r="C57" s="373"/>
      <c r="D57" s="31" t="s">
        <v>336</v>
      </c>
      <c r="E57" s="7">
        <v>70</v>
      </c>
      <c r="F57" s="8" t="s">
        <v>17</v>
      </c>
      <c r="G57" s="8" t="s">
        <v>17</v>
      </c>
      <c r="H57" s="8">
        <f>440000*117/100</f>
        <v>514800</v>
      </c>
      <c r="I57" s="8">
        <f>H57</f>
        <v>514800</v>
      </c>
      <c r="J57" s="31"/>
      <c r="K57" s="413"/>
      <c r="L57" s="444"/>
      <c r="M57" s="381"/>
      <c r="N57" s="401"/>
      <c r="O57" s="378"/>
    </row>
    <row r="58" spans="1:15" ht="25.5" x14ac:dyDescent="0.2">
      <c r="A58" s="340"/>
      <c r="B58" s="373"/>
      <c r="C58" s="373"/>
      <c r="D58" s="31" t="s">
        <v>43</v>
      </c>
      <c r="E58" s="7">
        <v>66</v>
      </c>
      <c r="F58" s="8" t="s">
        <v>17</v>
      </c>
      <c r="G58" s="8" t="s">
        <v>17</v>
      </c>
      <c r="H58" s="8">
        <f>485000*117/100</f>
        <v>567450</v>
      </c>
      <c r="I58" s="8">
        <f t="shared" ref="I58" si="3">H58</f>
        <v>567450</v>
      </c>
      <c r="J58" s="31" t="s">
        <v>14</v>
      </c>
      <c r="K58" s="413"/>
      <c r="L58" s="444"/>
      <c r="M58" s="381"/>
      <c r="N58" s="401"/>
      <c r="O58" s="378"/>
    </row>
    <row r="59" spans="1:15" ht="15.6" customHeight="1" x14ac:dyDescent="0.2">
      <c r="A59" s="340"/>
      <c r="B59" s="343"/>
      <c r="C59" s="343"/>
      <c r="D59" s="31" t="s">
        <v>337</v>
      </c>
      <c r="E59" s="7">
        <v>69</v>
      </c>
      <c r="F59" s="8" t="s">
        <v>17</v>
      </c>
      <c r="G59" s="8" t="s">
        <v>17</v>
      </c>
      <c r="H59" s="8">
        <f>485000*117/100</f>
        <v>567450</v>
      </c>
      <c r="I59" s="8">
        <f t="shared" ref="I59" si="4">H59</f>
        <v>567450</v>
      </c>
      <c r="J59" s="31" t="s">
        <v>14</v>
      </c>
      <c r="K59" s="428"/>
      <c r="L59" s="445"/>
      <c r="M59" s="347"/>
      <c r="N59" s="402"/>
      <c r="O59" s="351"/>
    </row>
    <row r="60" spans="1:15" ht="13.9" customHeight="1" x14ac:dyDescent="0.2">
      <c r="A60" s="336"/>
      <c r="B60" s="337"/>
      <c r="C60" s="338"/>
      <c r="D60" s="338"/>
      <c r="E60" s="338"/>
      <c r="F60" s="338"/>
      <c r="G60" s="338"/>
      <c r="H60" s="338"/>
      <c r="I60" s="338"/>
      <c r="J60" s="338"/>
      <c r="K60" s="338"/>
      <c r="L60" s="338"/>
      <c r="M60" s="338"/>
      <c r="N60" s="338"/>
      <c r="O60" s="339"/>
    </row>
    <row r="61" spans="1:15" ht="15.75" x14ac:dyDescent="0.2">
      <c r="A61" s="332" t="s">
        <v>339</v>
      </c>
      <c r="B61" s="333"/>
      <c r="C61" s="333"/>
      <c r="D61" s="333"/>
      <c r="E61" s="333"/>
      <c r="F61" s="333"/>
      <c r="G61" s="333"/>
      <c r="H61" s="333"/>
      <c r="I61" s="333"/>
      <c r="J61" s="333"/>
      <c r="K61" s="333"/>
      <c r="L61" s="333"/>
      <c r="M61" s="333"/>
      <c r="N61" s="333"/>
      <c r="O61" s="334"/>
    </row>
    <row r="62" spans="1:15" ht="26.45" customHeight="1" x14ac:dyDescent="0.2">
      <c r="A62" s="335">
        <v>9</v>
      </c>
      <c r="B62" s="342" t="s">
        <v>340</v>
      </c>
      <c r="C62" s="342" t="s">
        <v>72</v>
      </c>
      <c r="D62" s="19" t="s">
        <v>342</v>
      </c>
      <c r="E62" s="20">
        <v>94</v>
      </c>
      <c r="F62" s="21" t="s">
        <v>17</v>
      </c>
      <c r="G62" s="21" t="s">
        <v>17</v>
      </c>
      <c r="H62" s="77">
        <f>123000*117/100</f>
        <v>143910</v>
      </c>
      <c r="I62" s="21">
        <f>H62</f>
        <v>143910</v>
      </c>
      <c r="J62" s="19"/>
      <c r="K62" s="412" t="s">
        <v>476</v>
      </c>
      <c r="L62" s="412" t="s">
        <v>689</v>
      </c>
      <c r="M62" s="346">
        <f>I62*0.9</f>
        <v>129519</v>
      </c>
      <c r="N62" s="400" t="s">
        <v>22</v>
      </c>
      <c r="O62" s="350"/>
    </row>
    <row r="63" spans="1:15" ht="25.5" x14ac:dyDescent="0.2">
      <c r="A63" s="340"/>
      <c r="B63" s="373"/>
      <c r="C63" s="373"/>
      <c r="D63" s="31" t="s">
        <v>343</v>
      </c>
      <c r="E63" s="7">
        <v>46</v>
      </c>
      <c r="F63" s="8" t="s">
        <v>17</v>
      </c>
      <c r="G63" s="8" t="s">
        <v>17</v>
      </c>
      <c r="H63" s="8">
        <f>380000*117/100</f>
        <v>444600</v>
      </c>
      <c r="I63" s="8">
        <f>H63</f>
        <v>444600</v>
      </c>
      <c r="J63" s="31"/>
      <c r="K63" s="413"/>
      <c r="L63" s="413"/>
      <c r="M63" s="381"/>
      <c r="N63" s="401"/>
      <c r="O63" s="378"/>
    </row>
    <row r="64" spans="1:15" ht="25.5" x14ac:dyDescent="0.2">
      <c r="A64" s="340"/>
      <c r="B64" s="343"/>
      <c r="C64" s="343"/>
      <c r="D64" s="31" t="s">
        <v>344</v>
      </c>
      <c r="E64" s="7">
        <v>45</v>
      </c>
      <c r="F64" s="8" t="s">
        <v>17</v>
      </c>
      <c r="G64" s="8" t="s">
        <v>17</v>
      </c>
      <c r="H64" s="8">
        <f>400000*117/100</f>
        <v>468000</v>
      </c>
      <c r="I64" s="8">
        <f>H64</f>
        <v>468000</v>
      </c>
      <c r="J64" s="31"/>
      <c r="K64" s="428"/>
      <c r="L64" s="428"/>
      <c r="M64" s="347"/>
      <c r="N64" s="402"/>
      <c r="O64" s="351"/>
    </row>
    <row r="65" spans="1:15" ht="13.9" customHeight="1" x14ac:dyDescent="0.2">
      <c r="A65" s="336"/>
      <c r="B65" s="337" t="s">
        <v>341</v>
      </c>
      <c r="C65" s="338"/>
      <c r="D65" s="338"/>
      <c r="E65" s="338"/>
      <c r="F65" s="338"/>
      <c r="G65" s="338"/>
      <c r="H65" s="338"/>
      <c r="I65" s="338"/>
      <c r="J65" s="338"/>
      <c r="K65" s="338"/>
      <c r="L65" s="338"/>
      <c r="M65" s="338"/>
      <c r="N65" s="338"/>
      <c r="O65" s="339"/>
    </row>
    <row r="66" spans="1:15" ht="15.75" x14ac:dyDescent="0.2">
      <c r="A66" s="332" t="s">
        <v>348</v>
      </c>
      <c r="B66" s="333"/>
      <c r="C66" s="333"/>
      <c r="D66" s="333"/>
      <c r="E66" s="333"/>
      <c r="F66" s="333"/>
      <c r="G66" s="333"/>
      <c r="H66" s="333"/>
      <c r="I66" s="333"/>
      <c r="J66" s="333"/>
      <c r="K66" s="333"/>
      <c r="L66" s="333"/>
      <c r="M66" s="333"/>
      <c r="N66" s="333"/>
      <c r="O66" s="334"/>
    </row>
    <row r="67" spans="1:15" ht="79.150000000000006" customHeight="1" x14ac:dyDescent="0.2">
      <c r="A67" s="335">
        <v>10</v>
      </c>
      <c r="B67" s="63" t="s">
        <v>775</v>
      </c>
      <c r="C67" s="63" t="s">
        <v>72</v>
      </c>
      <c r="D67" s="16" t="s">
        <v>345</v>
      </c>
      <c r="E67" s="17">
        <v>100</v>
      </c>
      <c r="F67" s="18" t="s">
        <v>346</v>
      </c>
      <c r="G67" s="18" t="s">
        <v>44</v>
      </c>
      <c r="H67" s="18">
        <f>194*117/100</f>
        <v>226.98</v>
      </c>
      <c r="I67" s="18">
        <f>100*H67</f>
        <v>22698</v>
      </c>
      <c r="J67" s="16" t="s">
        <v>14</v>
      </c>
      <c r="K67" s="64" t="s">
        <v>477</v>
      </c>
      <c r="L67" s="105" t="s">
        <v>774</v>
      </c>
      <c r="M67" s="169">
        <f>I67*0.9</f>
        <v>20428.2</v>
      </c>
      <c r="N67" s="66" t="s">
        <v>22</v>
      </c>
      <c r="O67" s="65">
        <v>2440052958</v>
      </c>
    </row>
    <row r="68" spans="1:15" ht="13.9" customHeight="1" x14ac:dyDescent="0.2">
      <c r="A68" s="336"/>
      <c r="B68" s="337" t="s">
        <v>347</v>
      </c>
      <c r="C68" s="338"/>
      <c r="D68" s="338"/>
      <c r="E68" s="338"/>
      <c r="F68" s="338"/>
      <c r="G68" s="338"/>
      <c r="H68" s="338"/>
      <c r="I68" s="338"/>
      <c r="J68" s="338"/>
      <c r="K68" s="338"/>
      <c r="L68" s="338"/>
      <c r="M68" s="338"/>
      <c r="N68" s="338"/>
      <c r="O68" s="339"/>
    </row>
    <row r="69" spans="1:15" ht="15.75" x14ac:dyDescent="0.2">
      <c r="A69" s="332" t="s">
        <v>349</v>
      </c>
      <c r="B69" s="333"/>
      <c r="C69" s="333"/>
      <c r="D69" s="333"/>
      <c r="E69" s="333"/>
      <c r="F69" s="333"/>
      <c r="G69" s="333"/>
      <c r="H69" s="333"/>
      <c r="I69" s="333"/>
      <c r="J69" s="333"/>
      <c r="K69" s="333"/>
      <c r="L69" s="333"/>
      <c r="M69" s="333"/>
      <c r="N69" s="333"/>
      <c r="O69" s="334"/>
    </row>
    <row r="70" spans="1:15" ht="79.150000000000006" customHeight="1" x14ac:dyDescent="0.2">
      <c r="A70" s="335">
        <v>11</v>
      </c>
      <c r="B70" s="63" t="s">
        <v>350</v>
      </c>
      <c r="C70" s="63" t="s">
        <v>78</v>
      </c>
      <c r="D70" s="55" t="s">
        <v>351</v>
      </c>
      <c r="E70" s="56">
        <v>100</v>
      </c>
      <c r="F70" s="57" t="s">
        <v>17</v>
      </c>
      <c r="G70" s="57" t="s">
        <v>17</v>
      </c>
      <c r="H70" s="58">
        <f>95000*117/100</f>
        <v>111150</v>
      </c>
      <c r="I70" s="57">
        <f>H70</f>
        <v>111150</v>
      </c>
      <c r="J70" s="55"/>
      <c r="K70" s="88" t="s">
        <v>478</v>
      </c>
      <c r="L70" s="88"/>
      <c r="M70" s="88"/>
      <c r="N70" s="66" t="s">
        <v>22</v>
      </c>
      <c r="O70" s="65"/>
    </row>
    <row r="71" spans="1:15" ht="13.9" customHeight="1" x14ac:dyDescent="0.2">
      <c r="A71" s="336"/>
      <c r="B71" s="337" t="s">
        <v>479</v>
      </c>
      <c r="C71" s="338"/>
      <c r="D71" s="338"/>
      <c r="E71" s="338"/>
      <c r="F71" s="338"/>
      <c r="G71" s="338"/>
      <c r="H71" s="338"/>
      <c r="I71" s="338"/>
      <c r="J71" s="338"/>
      <c r="K71" s="338"/>
      <c r="L71" s="338"/>
      <c r="M71" s="338"/>
      <c r="N71" s="338"/>
      <c r="O71" s="339"/>
    </row>
    <row r="72" spans="1:15" ht="15.75" x14ac:dyDescent="0.2">
      <c r="A72" s="332" t="s">
        <v>352</v>
      </c>
      <c r="B72" s="333"/>
      <c r="C72" s="333"/>
      <c r="D72" s="333"/>
      <c r="E72" s="333"/>
      <c r="F72" s="333"/>
      <c r="G72" s="333"/>
      <c r="H72" s="333"/>
      <c r="I72" s="333"/>
      <c r="J72" s="333"/>
      <c r="K72" s="333"/>
      <c r="L72" s="333"/>
      <c r="M72" s="333"/>
      <c r="N72" s="333"/>
      <c r="O72" s="334"/>
    </row>
    <row r="73" spans="1:15" ht="79.150000000000006" customHeight="1" x14ac:dyDescent="0.2">
      <c r="A73" s="335">
        <v>12</v>
      </c>
      <c r="B73" s="68" t="s">
        <v>353</v>
      </c>
      <c r="C73" s="68" t="s">
        <v>354</v>
      </c>
      <c r="D73" s="16" t="s">
        <v>355</v>
      </c>
      <c r="E73" s="17">
        <v>100</v>
      </c>
      <c r="F73" s="18" t="s">
        <v>17</v>
      </c>
      <c r="G73" s="18" t="s">
        <v>17</v>
      </c>
      <c r="H73" s="18">
        <f>11700*117/100</f>
        <v>13689</v>
      </c>
      <c r="I73" s="18">
        <f>H73</f>
        <v>13689</v>
      </c>
      <c r="J73" s="16"/>
      <c r="K73" s="69" t="s">
        <v>21</v>
      </c>
      <c r="L73" s="105"/>
      <c r="M73" s="105"/>
      <c r="N73" s="71" t="s">
        <v>22</v>
      </c>
      <c r="O73" s="70"/>
    </row>
    <row r="74" spans="1:15" ht="29.45" customHeight="1" x14ac:dyDescent="0.2">
      <c r="A74" s="336"/>
      <c r="B74" s="337" t="s">
        <v>480</v>
      </c>
      <c r="C74" s="338"/>
      <c r="D74" s="338"/>
      <c r="E74" s="338"/>
      <c r="F74" s="338"/>
      <c r="G74" s="338"/>
      <c r="H74" s="338"/>
      <c r="I74" s="338"/>
      <c r="J74" s="338"/>
      <c r="K74" s="338"/>
      <c r="L74" s="338"/>
      <c r="M74" s="338"/>
      <c r="N74" s="338"/>
      <c r="O74" s="339"/>
    </row>
    <row r="76" spans="1:15" x14ac:dyDescent="0.2">
      <c r="B76" s="28"/>
    </row>
  </sheetData>
  <mergeCells count="91">
    <mergeCell ref="A70:A71"/>
    <mergeCell ref="B65:O65"/>
    <mergeCell ref="A10:O10"/>
    <mergeCell ref="A66:O66"/>
    <mergeCell ref="A67:A68"/>
    <mergeCell ref="B68:O68"/>
    <mergeCell ref="A44:O44"/>
    <mergeCell ref="L45:L49"/>
    <mergeCell ref="M45:M49"/>
    <mergeCell ref="B60:O60"/>
    <mergeCell ref="A61:O61"/>
    <mergeCell ref="O45:O49"/>
    <mergeCell ref="B50:O50"/>
    <mergeCell ref="A45:A50"/>
    <mergeCell ref="B45:B49"/>
    <mergeCell ref="C45:C49"/>
    <mergeCell ref="K45:K49"/>
    <mergeCell ref="N45:N49"/>
    <mergeCell ref="L55:L59"/>
    <mergeCell ref="M55:M59"/>
    <mergeCell ref="A51:O51"/>
    <mergeCell ref="A52:A53"/>
    <mergeCell ref="K38:K42"/>
    <mergeCell ref="N38:N42"/>
    <mergeCell ref="O38:O42"/>
    <mergeCell ref="L38:L42"/>
    <mergeCell ref="M38:M42"/>
    <mergeCell ref="A26:O26"/>
    <mergeCell ref="A27:A36"/>
    <mergeCell ref="B27:B35"/>
    <mergeCell ref="C27:C35"/>
    <mergeCell ref="K27:K35"/>
    <mergeCell ref="N27:N35"/>
    <mergeCell ref="L27:L35"/>
    <mergeCell ref="M27:M35"/>
    <mergeCell ref="B36:O36"/>
    <mergeCell ref="O27:O35"/>
    <mergeCell ref="A1:A6"/>
    <mergeCell ref="B1:O1"/>
    <mergeCell ref="B2:O2"/>
    <mergeCell ref="B3:O3"/>
    <mergeCell ref="B4:O4"/>
    <mergeCell ref="B5:O5"/>
    <mergeCell ref="A7:O7"/>
    <mergeCell ref="A8:A9"/>
    <mergeCell ref="B9:O9"/>
    <mergeCell ref="A69:O69"/>
    <mergeCell ref="A11:A18"/>
    <mergeCell ref="B11:B17"/>
    <mergeCell ref="C11:C17"/>
    <mergeCell ref="K11:K17"/>
    <mergeCell ref="L11:L17"/>
    <mergeCell ref="M11:M17"/>
    <mergeCell ref="O11:O17"/>
    <mergeCell ref="N11:N17"/>
    <mergeCell ref="A54:O54"/>
    <mergeCell ref="L62:L64"/>
    <mergeCell ref="M62:M64"/>
    <mergeCell ref="A20:A25"/>
    <mergeCell ref="B74:O74"/>
    <mergeCell ref="A73:A74"/>
    <mergeCell ref="A72:O72"/>
    <mergeCell ref="B71:O71"/>
    <mergeCell ref="A55:A60"/>
    <mergeCell ref="N55:N59"/>
    <mergeCell ref="O55:O59"/>
    <mergeCell ref="A62:A65"/>
    <mergeCell ref="B62:B64"/>
    <mergeCell ref="B55:B59"/>
    <mergeCell ref="C55:C59"/>
    <mergeCell ref="K55:K59"/>
    <mergeCell ref="C62:C64"/>
    <mergeCell ref="K62:K64"/>
    <mergeCell ref="N62:N64"/>
    <mergeCell ref="O62:O64"/>
    <mergeCell ref="A19:O19"/>
    <mergeCell ref="B18:O18"/>
    <mergeCell ref="B53:O53"/>
    <mergeCell ref="B25:O25"/>
    <mergeCell ref="O20:O24"/>
    <mergeCell ref="N20:N24"/>
    <mergeCell ref="M20:M24"/>
    <mergeCell ref="L20:L24"/>
    <mergeCell ref="K20:K24"/>
    <mergeCell ref="C20:C24"/>
    <mergeCell ref="B20:B24"/>
    <mergeCell ref="A37:O37"/>
    <mergeCell ref="A38:A43"/>
    <mergeCell ref="B38:B42"/>
    <mergeCell ref="C38:C42"/>
    <mergeCell ref="B43:O43"/>
  </mergeCells>
  <pageMargins left="0.25" right="0.25" top="0.75" bottom="0.75" header="0.3" footer="0.3"/>
  <pageSetup paperSize="9" scale="64" fitToHeight="0" orientation="landscape" r:id="rId1"/>
  <rowBreaks count="3" manualBreakCount="3">
    <brk id="25" max="16383" man="1"/>
    <brk id="43" max="16383" man="1"/>
    <brk id="65" max="16383"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M29"/>
  <sheetViews>
    <sheetView rightToLeft="1" topLeftCell="A22" workbookViewId="0">
      <selection activeCell="A29" sqref="A29:XFD29"/>
    </sheetView>
  </sheetViews>
  <sheetFormatPr defaultColWidth="8.75" defaultRowHeight="15" x14ac:dyDescent="0.2"/>
  <cols>
    <col min="1" max="1" width="4.25" customWidth="1"/>
    <col min="2" max="2" width="21.125" style="9" bestFit="1" customWidth="1"/>
    <col min="4" max="4" width="7.25" customWidth="1"/>
    <col min="5" max="5" width="7.75" customWidth="1"/>
    <col min="6" max="6" width="10.25" bestFit="1" customWidth="1"/>
    <col min="7" max="7" width="12.125" style="10" bestFit="1" customWidth="1"/>
    <col min="8" max="8" width="13.625" style="11" bestFit="1" customWidth="1"/>
    <col min="9" max="9" width="14.625" style="11" bestFit="1" customWidth="1"/>
    <col min="10" max="10" width="9" customWidth="1"/>
    <col min="11" max="11" width="23.625" style="12" customWidth="1"/>
    <col min="12" max="12" width="13.5" style="13" customWidth="1"/>
    <col min="13" max="13" width="16.5" style="14" customWidth="1"/>
  </cols>
  <sheetData>
    <row r="1" spans="1:13" ht="20.25" x14ac:dyDescent="0.2">
      <c r="A1" s="354"/>
      <c r="B1" s="355" t="s">
        <v>679</v>
      </c>
      <c r="C1" s="355"/>
      <c r="D1" s="355"/>
      <c r="E1" s="355"/>
      <c r="F1" s="355"/>
      <c r="G1" s="355"/>
      <c r="H1" s="355"/>
      <c r="I1" s="355"/>
      <c r="J1" s="355"/>
      <c r="K1" s="355"/>
      <c r="L1" s="355"/>
      <c r="M1" s="355"/>
    </row>
    <row r="2" spans="1:13" ht="14.25" x14ac:dyDescent="0.2">
      <c r="A2" s="354"/>
      <c r="B2" s="356" t="s">
        <v>198</v>
      </c>
      <c r="C2" s="356"/>
      <c r="D2" s="356"/>
      <c r="E2" s="356"/>
      <c r="F2" s="356"/>
      <c r="G2" s="356"/>
      <c r="H2" s="356"/>
      <c r="I2" s="356"/>
      <c r="J2" s="356"/>
      <c r="K2" s="356"/>
      <c r="L2" s="356"/>
      <c r="M2" s="356"/>
    </row>
    <row r="3" spans="1:13" ht="15.75" x14ac:dyDescent="0.2">
      <c r="A3" s="354"/>
      <c r="B3" s="357" t="s">
        <v>269</v>
      </c>
      <c r="C3" s="357"/>
      <c r="D3" s="357"/>
      <c r="E3" s="357"/>
      <c r="F3" s="357"/>
      <c r="G3" s="357"/>
      <c r="H3" s="357"/>
      <c r="I3" s="357"/>
      <c r="J3" s="357"/>
      <c r="K3" s="357"/>
      <c r="L3" s="357"/>
      <c r="M3" s="357"/>
    </row>
    <row r="4" spans="1:13" ht="14.25" x14ac:dyDescent="0.2">
      <c r="A4" s="354"/>
      <c r="B4" s="358" t="s">
        <v>71</v>
      </c>
      <c r="C4" s="358"/>
      <c r="D4" s="358"/>
      <c r="E4" s="358"/>
      <c r="F4" s="358"/>
      <c r="G4" s="358"/>
      <c r="H4" s="358"/>
      <c r="I4" s="358"/>
      <c r="J4" s="358"/>
      <c r="K4" s="358"/>
      <c r="L4" s="358"/>
      <c r="M4" s="358"/>
    </row>
    <row r="5" spans="1:13" ht="14.25" x14ac:dyDescent="0.2">
      <c r="A5" s="354"/>
      <c r="B5" s="358" t="s">
        <v>70</v>
      </c>
      <c r="C5" s="358"/>
      <c r="D5" s="358"/>
      <c r="E5" s="358"/>
      <c r="F5" s="358"/>
      <c r="G5" s="358"/>
      <c r="H5" s="358"/>
      <c r="I5" s="358"/>
      <c r="J5" s="358"/>
      <c r="K5" s="358"/>
      <c r="L5" s="358"/>
      <c r="M5" s="358"/>
    </row>
    <row r="6" spans="1:13" ht="47.25" x14ac:dyDescent="0.2">
      <c r="A6" s="354"/>
      <c r="B6" s="1" t="s">
        <v>1</v>
      </c>
      <c r="C6" s="2" t="s">
        <v>2</v>
      </c>
      <c r="D6" s="3" t="s">
        <v>3</v>
      </c>
      <c r="E6" s="3" t="s">
        <v>4</v>
      </c>
      <c r="F6" s="3" t="s">
        <v>5</v>
      </c>
      <c r="G6" s="3" t="s">
        <v>6</v>
      </c>
      <c r="H6" s="4" t="s">
        <v>7</v>
      </c>
      <c r="I6" s="5" t="s">
        <v>8</v>
      </c>
      <c r="J6" s="3" t="s">
        <v>9</v>
      </c>
      <c r="K6" s="3" t="s">
        <v>10</v>
      </c>
      <c r="L6" s="6" t="s">
        <v>11</v>
      </c>
      <c r="M6" s="3" t="s">
        <v>12</v>
      </c>
    </row>
    <row r="7" spans="1:13" ht="15.75" x14ac:dyDescent="0.2">
      <c r="A7" s="332" t="s">
        <v>450</v>
      </c>
      <c r="B7" s="333"/>
      <c r="C7" s="333"/>
      <c r="D7" s="333"/>
      <c r="E7" s="333"/>
      <c r="F7" s="333"/>
      <c r="G7" s="333"/>
      <c r="H7" s="333"/>
      <c r="I7" s="333"/>
      <c r="J7" s="333"/>
      <c r="K7" s="333"/>
      <c r="L7" s="333"/>
      <c r="M7" s="334"/>
    </row>
    <row r="8" spans="1:13" ht="51" x14ac:dyDescent="0.2">
      <c r="A8" s="335">
        <v>1</v>
      </c>
      <c r="B8" s="342" t="s">
        <v>451</v>
      </c>
      <c r="C8" s="342" t="s">
        <v>452</v>
      </c>
      <c r="D8" s="16" t="s">
        <v>453</v>
      </c>
      <c r="E8" s="17">
        <v>100</v>
      </c>
      <c r="F8" s="18" t="s">
        <v>13</v>
      </c>
      <c r="G8" s="18" t="s">
        <v>454</v>
      </c>
      <c r="H8" s="18">
        <f>220*117/100</f>
        <v>257.39999999999998</v>
      </c>
      <c r="I8" s="18">
        <f>H8*60</f>
        <v>15443.999999999998</v>
      </c>
      <c r="J8" s="16" t="s">
        <v>14</v>
      </c>
      <c r="K8" s="412" t="s">
        <v>455</v>
      </c>
      <c r="L8" s="442" t="s">
        <v>22</v>
      </c>
      <c r="M8" s="350"/>
    </row>
    <row r="9" spans="1:13" ht="25.5" x14ac:dyDescent="0.2">
      <c r="A9" s="340"/>
      <c r="B9" s="373"/>
      <c r="C9" s="373"/>
      <c r="D9" s="31" t="s">
        <v>456</v>
      </c>
      <c r="E9" s="7">
        <v>94</v>
      </c>
      <c r="F9" s="8" t="s">
        <v>13</v>
      </c>
      <c r="G9" s="8" t="s">
        <v>454</v>
      </c>
      <c r="H9" s="8">
        <f>240*117/100</f>
        <v>280.8</v>
      </c>
      <c r="I9" s="8">
        <f>H9*60</f>
        <v>16848</v>
      </c>
      <c r="J9" s="31" t="s">
        <v>14</v>
      </c>
      <c r="K9" s="413"/>
      <c r="L9" s="442"/>
      <c r="M9" s="378"/>
    </row>
    <row r="10" spans="1:13" ht="25.5" x14ac:dyDescent="0.2">
      <c r="A10" s="340"/>
      <c r="B10" s="373"/>
      <c r="C10" s="373"/>
      <c r="D10" s="31" t="s">
        <v>457</v>
      </c>
      <c r="E10" s="7">
        <v>82</v>
      </c>
      <c r="F10" s="8" t="s">
        <v>13</v>
      </c>
      <c r="G10" s="8" t="s">
        <v>454</v>
      </c>
      <c r="H10" s="8">
        <f>250*117/100</f>
        <v>292.5</v>
      </c>
      <c r="I10" s="8">
        <f>H10*60</f>
        <v>17550</v>
      </c>
      <c r="J10" s="31" t="s">
        <v>14</v>
      </c>
      <c r="K10" s="413"/>
      <c r="L10" s="442"/>
      <c r="M10" s="378"/>
    </row>
    <row r="11" spans="1:13" ht="14.25" x14ac:dyDescent="0.2">
      <c r="A11" s="336"/>
      <c r="B11" s="337"/>
      <c r="C11" s="338"/>
      <c r="D11" s="338"/>
      <c r="E11" s="338"/>
      <c r="F11" s="338"/>
      <c r="G11" s="338"/>
      <c r="H11" s="338"/>
      <c r="I11" s="338"/>
      <c r="J11" s="338"/>
      <c r="K11" s="338"/>
      <c r="L11" s="338"/>
      <c r="M11" s="339"/>
    </row>
    <row r="12" spans="1:13" ht="15.75" x14ac:dyDescent="0.2">
      <c r="A12" s="332" t="s">
        <v>458</v>
      </c>
      <c r="B12" s="333"/>
      <c r="C12" s="333"/>
      <c r="D12" s="333"/>
      <c r="E12" s="333"/>
      <c r="F12" s="333"/>
      <c r="G12" s="333"/>
      <c r="H12" s="333"/>
      <c r="I12" s="333"/>
      <c r="J12" s="333"/>
      <c r="K12" s="333"/>
      <c r="L12" s="333"/>
      <c r="M12" s="334"/>
    </row>
    <row r="13" spans="1:13" ht="76.5" x14ac:dyDescent="0.2">
      <c r="A13" s="335">
        <v>2</v>
      </c>
      <c r="B13" s="342" t="s">
        <v>459</v>
      </c>
      <c r="C13" s="342" t="s">
        <v>53</v>
      </c>
      <c r="D13" s="16" t="s">
        <v>460</v>
      </c>
      <c r="E13" s="17">
        <v>96</v>
      </c>
      <c r="F13" s="18" t="s">
        <v>461</v>
      </c>
      <c r="G13" s="18" t="s">
        <v>462</v>
      </c>
      <c r="H13" s="18">
        <f>250*117/100</f>
        <v>292.5</v>
      </c>
      <c r="I13" s="18">
        <f>(H13*25+230*117/100*10)*6</f>
        <v>60021</v>
      </c>
      <c r="J13" s="16" t="s">
        <v>14</v>
      </c>
      <c r="K13" s="412" t="s">
        <v>463</v>
      </c>
      <c r="L13" s="442" t="s">
        <v>22</v>
      </c>
      <c r="M13" s="350"/>
    </row>
    <row r="14" spans="1:13" ht="38.25" x14ac:dyDescent="0.2">
      <c r="A14" s="340"/>
      <c r="B14" s="373"/>
      <c r="C14" s="373"/>
      <c r="D14" s="31" t="s">
        <v>464</v>
      </c>
      <c r="E14" s="7">
        <v>94</v>
      </c>
      <c r="F14" s="8" t="s">
        <v>13</v>
      </c>
      <c r="G14" s="8" t="s">
        <v>462</v>
      </c>
      <c r="H14" s="8">
        <f>230*117/100</f>
        <v>269.10000000000002</v>
      </c>
      <c r="I14" s="8">
        <f>H14*35*6</f>
        <v>56511</v>
      </c>
      <c r="J14" s="31" t="s">
        <v>14</v>
      </c>
      <c r="K14" s="413"/>
      <c r="L14" s="442"/>
      <c r="M14" s="378"/>
    </row>
    <row r="15" spans="1:13" ht="38.25" x14ac:dyDescent="0.2">
      <c r="A15" s="340"/>
      <c r="B15" s="373"/>
      <c r="C15" s="373"/>
      <c r="D15" s="31" t="s">
        <v>465</v>
      </c>
      <c r="E15" s="7">
        <v>74</v>
      </c>
      <c r="F15" s="8" t="s">
        <v>13</v>
      </c>
      <c r="G15" s="8" t="s">
        <v>462</v>
      </c>
      <c r="H15" s="8">
        <f>320*117/100</f>
        <v>374.4</v>
      </c>
      <c r="I15" s="8">
        <f>H15*35*6</f>
        <v>78624</v>
      </c>
      <c r="J15" s="31" t="s">
        <v>14</v>
      </c>
      <c r="K15" s="413"/>
      <c r="L15" s="442"/>
      <c r="M15" s="378"/>
    </row>
    <row r="16" spans="1:13" ht="14.25" x14ac:dyDescent="0.2">
      <c r="A16" s="336"/>
      <c r="B16" s="337" t="s">
        <v>116</v>
      </c>
      <c r="C16" s="338"/>
      <c r="D16" s="338"/>
      <c r="E16" s="338"/>
      <c r="F16" s="338"/>
      <c r="G16" s="338"/>
      <c r="H16" s="338"/>
      <c r="I16" s="338"/>
      <c r="J16" s="338"/>
      <c r="K16" s="338"/>
      <c r="L16" s="338"/>
      <c r="M16" s="339"/>
    </row>
    <row r="17" spans="1:13" ht="15.75" x14ac:dyDescent="0.2">
      <c r="A17" s="332" t="s">
        <v>295</v>
      </c>
      <c r="B17" s="333"/>
      <c r="C17" s="333"/>
      <c r="D17" s="333"/>
      <c r="E17" s="333"/>
      <c r="F17" s="333"/>
      <c r="G17" s="333"/>
      <c r="H17" s="333"/>
      <c r="I17" s="333"/>
      <c r="J17" s="333"/>
      <c r="K17" s="333"/>
      <c r="L17" s="333"/>
      <c r="M17" s="334"/>
    </row>
    <row r="18" spans="1:13" ht="26.45" customHeight="1" x14ac:dyDescent="0.2">
      <c r="A18" s="335">
        <v>3</v>
      </c>
      <c r="B18" s="342" t="s">
        <v>153</v>
      </c>
      <c r="C18" s="342" t="s">
        <v>157</v>
      </c>
      <c r="D18" s="19" t="s">
        <v>163</v>
      </c>
      <c r="E18" s="20">
        <v>100</v>
      </c>
      <c r="F18" s="21" t="s">
        <v>17</v>
      </c>
      <c r="G18" s="21" t="s">
        <v>17</v>
      </c>
      <c r="H18" s="77">
        <f>35000*117/100</f>
        <v>40950</v>
      </c>
      <c r="I18" s="21">
        <f>H18</f>
        <v>40950</v>
      </c>
      <c r="J18" s="19" t="s">
        <v>14</v>
      </c>
      <c r="K18" s="412" t="s">
        <v>20</v>
      </c>
      <c r="L18" s="442" t="s">
        <v>22</v>
      </c>
      <c r="M18" s="350"/>
    </row>
    <row r="19" spans="1:13" ht="13.9" customHeight="1" x14ac:dyDescent="0.2">
      <c r="A19" s="340"/>
      <c r="B19" s="373"/>
      <c r="C19" s="373"/>
      <c r="D19" s="31" t="s">
        <v>164</v>
      </c>
      <c r="E19" s="7">
        <v>66</v>
      </c>
      <c r="F19" s="8" t="s">
        <v>17</v>
      </c>
      <c r="G19" s="8" t="s">
        <v>17</v>
      </c>
      <c r="H19" s="8">
        <f>51500*117/100</f>
        <v>60255</v>
      </c>
      <c r="I19" s="8">
        <f t="shared" ref="I19:I21" si="0">H19</f>
        <v>60255</v>
      </c>
      <c r="J19" s="31" t="s">
        <v>14</v>
      </c>
      <c r="K19" s="413"/>
      <c r="L19" s="442"/>
      <c r="M19" s="378"/>
    </row>
    <row r="20" spans="1:13" ht="13.9" customHeight="1" x14ac:dyDescent="0.2">
      <c r="A20" s="340"/>
      <c r="B20" s="373"/>
      <c r="C20" s="373"/>
      <c r="D20" s="31" t="s">
        <v>165</v>
      </c>
      <c r="E20" s="7">
        <v>54</v>
      </c>
      <c r="F20" s="8" t="s">
        <v>17</v>
      </c>
      <c r="G20" s="8" t="s">
        <v>17</v>
      </c>
      <c r="H20" s="8">
        <f>68838*117/100</f>
        <v>80540.460000000006</v>
      </c>
      <c r="I20" s="8">
        <f t="shared" si="0"/>
        <v>80540.460000000006</v>
      </c>
      <c r="J20" s="31" t="s">
        <v>14</v>
      </c>
      <c r="K20" s="413"/>
      <c r="L20" s="442"/>
      <c r="M20" s="378"/>
    </row>
    <row r="21" spans="1:13" ht="13.9" customHeight="1" x14ac:dyDescent="0.2">
      <c r="A21" s="340"/>
      <c r="B21" s="373"/>
      <c r="C21" s="373"/>
      <c r="D21" s="31" t="s">
        <v>166</v>
      </c>
      <c r="E21" s="7">
        <v>53</v>
      </c>
      <c r="F21" s="8" t="s">
        <v>17</v>
      </c>
      <c r="G21" s="8" t="s">
        <v>17</v>
      </c>
      <c r="H21" s="8">
        <f>69000*117/100</f>
        <v>80730</v>
      </c>
      <c r="I21" s="8">
        <f t="shared" si="0"/>
        <v>80730</v>
      </c>
      <c r="J21" s="31" t="s">
        <v>14</v>
      </c>
      <c r="K21" s="413"/>
      <c r="L21" s="442"/>
      <c r="M21" s="378"/>
    </row>
    <row r="22" spans="1:13" ht="13.9" customHeight="1" x14ac:dyDescent="0.2">
      <c r="A22" s="336"/>
      <c r="B22" s="337" t="s">
        <v>294</v>
      </c>
      <c r="C22" s="338"/>
      <c r="D22" s="338"/>
      <c r="E22" s="338"/>
      <c r="F22" s="338"/>
      <c r="G22" s="338"/>
      <c r="H22" s="338"/>
      <c r="I22" s="338"/>
      <c r="J22" s="338"/>
      <c r="K22" s="338"/>
      <c r="L22" s="338"/>
      <c r="M22" s="339"/>
    </row>
    <row r="23" spans="1:13" ht="15.75" x14ac:dyDescent="0.2">
      <c r="A23" s="332" t="s">
        <v>466</v>
      </c>
      <c r="B23" s="333"/>
      <c r="C23" s="333"/>
      <c r="D23" s="333"/>
      <c r="E23" s="333"/>
      <c r="F23" s="333"/>
      <c r="G23" s="333"/>
      <c r="H23" s="333"/>
      <c r="I23" s="333"/>
      <c r="J23" s="333"/>
      <c r="K23" s="333"/>
      <c r="L23" s="333"/>
      <c r="M23" s="334"/>
    </row>
    <row r="24" spans="1:13" ht="38.25" x14ac:dyDescent="0.2">
      <c r="A24" s="335">
        <v>4</v>
      </c>
      <c r="B24" s="342" t="s">
        <v>467</v>
      </c>
      <c r="C24" s="342" t="s">
        <v>53</v>
      </c>
      <c r="D24" s="78" t="s">
        <v>468</v>
      </c>
      <c r="E24" s="17">
        <v>100</v>
      </c>
      <c r="F24" s="18" t="s">
        <v>13</v>
      </c>
      <c r="G24" s="18" t="s">
        <v>469</v>
      </c>
      <c r="H24" s="18">
        <f>250*117/100</f>
        <v>292.5</v>
      </c>
      <c r="I24" s="18">
        <f>H24*40*6</f>
        <v>70200</v>
      </c>
      <c r="J24" s="16" t="s">
        <v>14</v>
      </c>
      <c r="K24" s="412" t="s">
        <v>20</v>
      </c>
      <c r="L24" s="442" t="s">
        <v>22</v>
      </c>
      <c r="M24" s="350">
        <v>1611110750</v>
      </c>
    </row>
    <row r="25" spans="1:13" ht="38.25" x14ac:dyDescent="0.2">
      <c r="A25" s="340"/>
      <c r="B25" s="373"/>
      <c r="C25" s="373"/>
      <c r="D25" s="79" t="s">
        <v>470</v>
      </c>
      <c r="E25" s="7">
        <v>90</v>
      </c>
      <c r="F25" s="8" t="s">
        <v>13</v>
      </c>
      <c r="G25" s="8" t="s">
        <v>469</v>
      </c>
      <c r="H25" s="8">
        <f>290*117/100</f>
        <v>339.3</v>
      </c>
      <c r="I25" s="8">
        <f t="shared" ref="I25:I26" si="1">H25*40*6</f>
        <v>81432</v>
      </c>
      <c r="J25" s="31" t="s">
        <v>14</v>
      </c>
      <c r="K25" s="413"/>
      <c r="L25" s="442"/>
      <c r="M25" s="378"/>
    </row>
    <row r="26" spans="1:13" ht="38.25" x14ac:dyDescent="0.2">
      <c r="A26" s="340"/>
      <c r="B26" s="373"/>
      <c r="C26" s="373"/>
      <c r="D26" s="31" t="s">
        <v>464</v>
      </c>
      <c r="E26" s="7">
        <v>86</v>
      </c>
      <c r="F26" s="8" t="s">
        <v>13</v>
      </c>
      <c r="G26" s="8" t="s">
        <v>469</v>
      </c>
      <c r="H26" s="8">
        <f>313*117/100</f>
        <v>366.21</v>
      </c>
      <c r="I26" s="8">
        <f t="shared" si="1"/>
        <v>87890.4</v>
      </c>
      <c r="J26" s="31" t="s">
        <v>14</v>
      </c>
      <c r="K26" s="413"/>
      <c r="L26" s="442"/>
      <c r="M26" s="378"/>
    </row>
    <row r="27" spans="1:13" ht="14.25" x14ac:dyDescent="0.2">
      <c r="A27" s="336"/>
      <c r="B27" s="337" t="s">
        <v>181</v>
      </c>
      <c r="C27" s="338"/>
      <c r="D27" s="338"/>
      <c r="E27" s="338"/>
      <c r="F27" s="338"/>
      <c r="G27" s="338"/>
      <c r="H27" s="338"/>
      <c r="I27" s="338"/>
      <c r="J27" s="338"/>
      <c r="K27" s="338"/>
      <c r="L27" s="338"/>
      <c r="M27" s="339"/>
    </row>
    <row r="29" spans="1:13" x14ac:dyDescent="0.2">
      <c r="B29" s="28"/>
    </row>
  </sheetData>
  <mergeCells count="38">
    <mergeCell ref="A1:A6"/>
    <mergeCell ref="B1:M1"/>
    <mergeCell ref="B2:M2"/>
    <mergeCell ref="B3:M3"/>
    <mergeCell ref="B4:M4"/>
    <mergeCell ref="B5:M5"/>
    <mergeCell ref="A7:M7"/>
    <mergeCell ref="A8:A11"/>
    <mergeCell ref="B8:B10"/>
    <mergeCell ref="C8:C10"/>
    <mergeCell ref="K8:K10"/>
    <mergeCell ref="L8:L10"/>
    <mergeCell ref="M8:M10"/>
    <mergeCell ref="B11:M11"/>
    <mergeCell ref="A12:M12"/>
    <mergeCell ref="A13:A16"/>
    <mergeCell ref="B13:B15"/>
    <mergeCell ref="C13:C15"/>
    <mergeCell ref="K13:K15"/>
    <mergeCell ref="L13:L15"/>
    <mergeCell ref="M13:M15"/>
    <mergeCell ref="B16:M16"/>
    <mergeCell ref="A17:M17"/>
    <mergeCell ref="A18:A22"/>
    <mergeCell ref="B18:B21"/>
    <mergeCell ref="C18:C21"/>
    <mergeCell ref="K18:K21"/>
    <mergeCell ref="L18:L21"/>
    <mergeCell ref="M18:M21"/>
    <mergeCell ref="B22:M22"/>
    <mergeCell ref="A23:M23"/>
    <mergeCell ref="A24:A27"/>
    <mergeCell ref="B24:B26"/>
    <mergeCell ref="C24:C26"/>
    <mergeCell ref="K24:K26"/>
    <mergeCell ref="L24:L26"/>
    <mergeCell ref="M24:M26"/>
    <mergeCell ref="B27:M27"/>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M60"/>
  <sheetViews>
    <sheetView rightToLeft="1" topLeftCell="A61" workbookViewId="0">
      <selection activeCell="A60" sqref="A60:XFD60"/>
    </sheetView>
  </sheetViews>
  <sheetFormatPr defaultColWidth="8.75" defaultRowHeight="15" x14ac:dyDescent="0.2"/>
  <cols>
    <col min="1" max="1" width="4.25" customWidth="1"/>
    <col min="2" max="2" width="21.125" style="9" bestFit="1" customWidth="1"/>
    <col min="4" max="4" width="7.25" customWidth="1"/>
    <col min="5" max="5" width="7.75" customWidth="1"/>
    <col min="6" max="6" width="10.25" bestFit="1" customWidth="1"/>
    <col min="7" max="7" width="12.125" style="10" bestFit="1" customWidth="1"/>
    <col min="8" max="8" width="13.625" style="11" bestFit="1" customWidth="1"/>
    <col min="9" max="9" width="14.625" style="11" bestFit="1" customWidth="1"/>
    <col min="10" max="10" width="9" customWidth="1"/>
    <col min="11" max="11" width="23.625" style="12" customWidth="1"/>
    <col min="12" max="12" width="13.5" style="13" customWidth="1"/>
    <col min="13" max="13" width="16.5" style="14" customWidth="1"/>
  </cols>
  <sheetData>
    <row r="1" spans="1:13" ht="20.25" x14ac:dyDescent="0.2">
      <c r="A1" s="354"/>
      <c r="B1" s="355" t="s">
        <v>406</v>
      </c>
      <c r="C1" s="355"/>
      <c r="D1" s="355"/>
      <c r="E1" s="355"/>
      <c r="F1" s="355"/>
      <c r="G1" s="355"/>
      <c r="H1" s="355"/>
      <c r="I1" s="355"/>
      <c r="J1" s="355"/>
      <c r="K1" s="355"/>
      <c r="L1" s="355"/>
      <c r="M1" s="355"/>
    </row>
    <row r="2" spans="1:13" ht="14.25" x14ac:dyDescent="0.2">
      <c r="A2" s="354"/>
      <c r="B2" s="356" t="s">
        <v>198</v>
      </c>
      <c r="C2" s="356"/>
      <c r="D2" s="356"/>
      <c r="E2" s="356"/>
      <c r="F2" s="356"/>
      <c r="G2" s="356"/>
      <c r="H2" s="356"/>
      <c r="I2" s="356"/>
      <c r="J2" s="356"/>
      <c r="K2" s="356"/>
      <c r="L2" s="356"/>
      <c r="M2" s="356"/>
    </row>
    <row r="3" spans="1:13" ht="15.75" x14ac:dyDescent="0.2">
      <c r="A3" s="354"/>
      <c r="B3" s="357" t="s">
        <v>269</v>
      </c>
      <c r="C3" s="357"/>
      <c r="D3" s="357"/>
      <c r="E3" s="357"/>
      <c r="F3" s="357"/>
      <c r="G3" s="357"/>
      <c r="H3" s="357"/>
      <c r="I3" s="357"/>
      <c r="J3" s="357"/>
      <c r="K3" s="357"/>
      <c r="L3" s="357"/>
      <c r="M3" s="357"/>
    </row>
    <row r="4" spans="1:13" ht="14.25" x14ac:dyDescent="0.2">
      <c r="A4" s="354"/>
      <c r="B4" s="358" t="s">
        <v>71</v>
      </c>
      <c r="C4" s="358"/>
      <c r="D4" s="358"/>
      <c r="E4" s="358"/>
      <c r="F4" s="358"/>
      <c r="G4" s="358"/>
      <c r="H4" s="358"/>
      <c r="I4" s="358"/>
      <c r="J4" s="358"/>
      <c r="K4" s="358"/>
      <c r="L4" s="358"/>
      <c r="M4" s="358"/>
    </row>
    <row r="5" spans="1:13" ht="14.25" x14ac:dyDescent="0.2">
      <c r="A5" s="354"/>
      <c r="B5" s="358" t="s">
        <v>70</v>
      </c>
      <c r="C5" s="358"/>
      <c r="D5" s="358"/>
      <c r="E5" s="358"/>
      <c r="F5" s="358"/>
      <c r="G5" s="358"/>
      <c r="H5" s="358"/>
      <c r="I5" s="358"/>
      <c r="J5" s="358"/>
      <c r="K5" s="358"/>
      <c r="L5" s="358"/>
      <c r="M5" s="358"/>
    </row>
    <row r="6" spans="1:13" ht="47.25" x14ac:dyDescent="0.2">
      <c r="A6" s="354"/>
      <c r="B6" s="1" t="s">
        <v>1</v>
      </c>
      <c r="C6" s="2" t="s">
        <v>2</v>
      </c>
      <c r="D6" s="3" t="s">
        <v>3</v>
      </c>
      <c r="E6" s="3" t="s">
        <v>4</v>
      </c>
      <c r="F6" s="3" t="s">
        <v>5</v>
      </c>
      <c r="G6" s="3" t="s">
        <v>6</v>
      </c>
      <c r="H6" s="4" t="s">
        <v>7</v>
      </c>
      <c r="I6" s="5" t="s">
        <v>8</v>
      </c>
      <c r="J6" s="3" t="s">
        <v>9</v>
      </c>
      <c r="K6" s="3" t="s">
        <v>10</v>
      </c>
      <c r="L6" s="6" t="s">
        <v>11</v>
      </c>
      <c r="M6" s="3" t="s">
        <v>12</v>
      </c>
    </row>
    <row r="7" spans="1:13" ht="15.75" x14ac:dyDescent="0.2">
      <c r="A7" s="332" t="s">
        <v>407</v>
      </c>
      <c r="B7" s="333"/>
      <c r="C7" s="333"/>
      <c r="D7" s="333"/>
      <c r="E7" s="333"/>
      <c r="F7" s="333"/>
      <c r="G7" s="333"/>
      <c r="H7" s="333"/>
      <c r="I7" s="333"/>
      <c r="J7" s="333"/>
      <c r="K7" s="333"/>
      <c r="L7" s="333"/>
      <c r="M7" s="334"/>
    </row>
    <row r="8" spans="1:13" ht="38.25" x14ac:dyDescent="0.2">
      <c r="A8" s="335">
        <v>1</v>
      </c>
      <c r="B8" s="72" t="s">
        <v>408</v>
      </c>
      <c r="C8" s="72" t="s">
        <v>286</v>
      </c>
      <c r="D8" s="19" t="s">
        <v>409</v>
      </c>
      <c r="E8" s="20">
        <v>100</v>
      </c>
      <c r="F8" s="21" t="s">
        <v>17</v>
      </c>
      <c r="G8" s="21" t="s">
        <v>17</v>
      </c>
      <c r="H8" s="21">
        <f>15000*117/100</f>
        <v>17550</v>
      </c>
      <c r="I8" s="21">
        <f>H8</f>
        <v>17550</v>
      </c>
      <c r="J8" s="19" t="s">
        <v>14</v>
      </c>
      <c r="K8" s="73" t="s">
        <v>21</v>
      </c>
      <c r="L8" s="76" t="s">
        <v>22</v>
      </c>
      <c r="M8" s="24"/>
    </row>
    <row r="9" spans="1:13" ht="14.25" x14ac:dyDescent="0.2">
      <c r="A9" s="336"/>
      <c r="B9" s="337" t="s">
        <v>410</v>
      </c>
      <c r="C9" s="338"/>
      <c r="D9" s="338"/>
      <c r="E9" s="338"/>
      <c r="F9" s="338"/>
      <c r="G9" s="338"/>
      <c r="H9" s="338"/>
      <c r="I9" s="338"/>
      <c r="J9" s="338"/>
      <c r="K9" s="338"/>
      <c r="L9" s="338"/>
      <c r="M9" s="339"/>
    </row>
    <row r="10" spans="1:13" ht="15.75" x14ac:dyDescent="0.2">
      <c r="A10" s="332" t="s">
        <v>411</v>
      </c>
      <c r="B10" s="333"/>
      <c r="C10" s="333"/>
      <c r="D10" s="333"/>
      <c r="E10" s="333"/>
      <c r="F10" s="333"/>
      <c r="G10" s="333"/>
      <c r="H10" s="333"/>
      <c r="I10" s="333"/>
      <c r="J10" s="333"/>
      <c r="K10" s="333"/>
      <c r="L10" s="333"/>
      <c r="M10" s="334"/>
    </row>
    <row r="11" spans="1:13" ht="76.5" x14ac:dyDescent="0.2">
      <c r="A11" s="335">
        <v>2</v>
      </c>
      <c r="B11" s="342" t="s">
        <v>412</v>
      </c>
      <c r="C11" s="342" t="s">
        <v>413</v>
      </c>
      <c r="D11" s="16" t="s">
        <v>414</v>
      </c>
      <c r="E11" s="17">
        <v>94</v>
      </c>
      <c r="F11" s="18" t="s">
        <v>17</v>
      </c>
      <c r="G11" s="18" t="s">
        <v>17</v>
      </c>
      <c r="H11" s="18">
        <f>13000*117/100</f>
        <v>15210</v>
      </c>
      <c r="I11" s="18">
        <f>H11</f>
        <v>15210</v>
      </c>
      <c r="J11" s="16" t="s">
        <v>14</v>
      </c>
      <c r="K11" s="412" t="s">
        <v>20</v>
      </c>
      <c r="L11" s="400" t="s">
        <v>22</v>
      </c>
      <c r="M11" s="350"/>
    </row>
    <row r="12" spans="1:13" ht="63.75" x14ac:dyDescent="0.2">
      <c r="A12" s="340"/>
      <c r="B12" s="373"/>
      <c r="C12" s="373"/>
      <c r="D12" s="31" t="s">
        <v>415</v>
      </c>
      <c r="E12" s="7">
        <v>81</v>
      </c>
      <c r="F12" s="8" t="s">
        <v>17</v>
      </c>
      <c r="G12" s="8" t="s">
        <v>17</v>
      </c>
      <c r="H12" s="8">
        <f>16000*117/100</f>
        <v>18720</v>
      </c>
      <c r="I12" s="8">
        <f t="shared" ref="I12:I13" si="0">H12</f>
        <v>18720</v>
      </c>
      <c r="J12" s="31" t="s">
        <v>14</v>
      </c>
      <c r="K12" s="413"/>
      <c r="L12" s="401"/>
      <c r="M12" s="378"/>
    </row>
    <row r="13" spans="1:13" ht="51" x14ac:dyDescent="0.2">
      <c r="A13" s="340"/>
      <c r="B13" s="343"/>
      <c r="C13" s="343"/>
      <c r="D13" s="31" t="s">
        <v>416</v>
      </c>
      <c r="E13" s="7">
        <v>64</v>
      </c>
      <c r="F13" s="8" t="s">
        <v>17</v>
      </c>
      <c r="G13" s="8" t="s">
        <v>17</v>
      </c>
      <c r="H13" s="8">
        <f>40365*117/100</f>
        <v>47227.05</v>
      </c>
      <c r="I13" s="8">
        <f t="shared" si="0"/>
        <v>47227.05</v>
      </c>
      <c r="J13" s="31" t="s">
        <v>14</v>
      </c>
      <c r="K13" s="428"/>
      <c r="L13" s="402"/>
      <c r="M13" s="351"/>
    </row>
    <row r="14" spans="1:13" ht="13.9" customHeight="1" x14ac:dyDescent="0.2">
      <c r="A14" s="336"/>
      <c r="B14" s="337"/>
      <c r="C14" s="338"/>
      <c r="D14" s="338"/>
      <c r="E14" s="338"/>
      <c r="F14" s="338"/>
      <c r="G14" s="338"/>
      <c r="H14" s="338"/>
      <c r="I14" s="338"/>
      <c r="J14" s="338"/>
      <c r="K14" s="338"/>
      <c r="L14" s="338"/>
      <c r="M14" s="339"/>
    </row>
    <row r="15" spans="1:13" ht="15.75" x14ac:dyDescent="0.2">
      <c r="A15" s="332" t="s">
        <v>417</v>
      </c>
      <c r="B15" s="333"/>
      <c r="C15" s="333"/>
      <c r="D15" s="333"/>
      <c r="E15" s="333"/>
      <c r="F15" s="333"/>
      <c r="G15" s="333"/>
      <c r="H15" s="333"/>
      <c r="I15" s="333"/>
      <c r="J15" s="333"/>
      <c r="K15" s="333"/>
      <c r="L15" s="333"/>
      <c r="M15" s="334"/>
    </row>
    <row r="16" spans="1:13" ht="52.9" customHeight="1" x14ac:dyDescent="0.2">
      <c r="A16" s="335">
        <v>3</v>
      </c>
      <c r="B16" s="342" t="s">
        <v>418</v>
      </c>
      <c r="C16" s="342" t="s">
        <v>52</v>
      </c>
      <c r="D16" s="16" t="s">
        <v>419</v>
      </c>
      <c r="E16" s="17">
        <v>100</v>
      </c>
      <c r="F16" s="18" t="s">
        <v>17</v>
      </c>
      <c r="G16" s="18" t="s">
        <v>17</v>
      </c>
      <c r="H16" s="18">
        <f>26430*117/100</f>
        <v>30923.1</v>
      </c>
      <c r="I16" s="18">
        <f>H16</f>
        <v>30923.1</v>
      </c>
      <c r="J16" s="16" t="s">
        <v>14</v>
      </c>
      <c r="K16" s="412" t="s">
        <v>20</v>
      </c>
      <c r="L16" s="400" t="s">
        <v>22</v>
      </c>
      <c r="M16" s="350"/>
    </row>
    <row r="17" spans="1:13" ht="25.5" x14ac:dyDescent="0.2">
      <c r="A17" s="340"/>
      <c r="B17" s="373"/>
      <c r="C17" s="373"/>
      <c r="D17" s="31" t="s">
        <v>420</v>
      </c>
      <c r="E17" s="7">
        <v>96</v>
      </c>
      <c r="F17" s="8" t="s">
        <v>17</v>
      </c>
      <c r="G17" s="8" t="s">
        <v>17</v>
      </c>
      <c r="H17" s="8">
        <f>28000*117/100</f>
        <v>32760</v>
      </c>
      <c r="I17" s="8">
        <f t="shared" ref="I17:I19" si="1">H17</f>
        <v>32760</v>
      </c>
      <c r="J17" s="35" t="s">
        <v>14</v>
      </c>
      <c r="K17" s="413"/>
      <c r="L17" s="401"/>
      <c r="M17" s="378"/>
    </row>
    <row r="18" spans="1:13" ht="38.25" x14ac:dyDescent="0.2">
      <c r="A18" s="340"/>
      <c r="B18" s="373"/>
      <c r="C18" s="373"/>
      <c r="D18" s="31" t="s">
        <v>421</v>
      </c>
      <c r="E18" s="7">
        <v>86</v>
      </c>
      <c r="F18" s="8" t="s">
        <v>17</v>
      </c>
      <c r="G18" s="8" t="s">
        <v>17</v>
      </c>
      <c r="H18" s="8">
        <f>32800*117/100</f>
        <v>38376</v>
      </c>
      <c r="I18" s="8">
        <f t="shared" si="1"/>
        <v>38376</v>
      </c>
      <c r="J18" s="31" t="s">
        <v>14</v>
      </c>
      <c r="K18" s="413"/>
      <c r="L18" s="401"/>
      <c r="M18" s="378"/>
    </row>
    <row r="19" spans="1:13" ht="38.25" x14ac:dyDescent="0.2">
      <c r="A19" s="340"/>
      <c r="B19" s="343"/>
      <c r="C19" s="343"/>
      <c r="D19" s="31" t="s">
        <v>422</v>
      </c>
      <c r="E19" s="7">
        <v>82</v>
      </c>
      <c r="F19" s="8" t="s">
        <v>17</v>
      </c>
      <c r="G19" s="8" t="s">
        <v>17</v>
      </c>
      <c r="H19" s="8">
        <f>35500*117/100</f>
        <v>41535</v>
      </c>
      <c r="I19" s="8">
        <f t="shared" si="1"/>
        <v>41535</v>
      </c>
      <c r="J19" s="31" t="s">
        <v>14</v>
      </c>
      <c r="K19" s="428"/>
      <c r="L19" s="402"/>
      <c r="M19" s="351"/>
    </row>
    <row r="20" spans="1:13" ht="13.9" customHeight="1" x14ac:dyDescent="0.2">
      <c r="A20" s="336"/>
      <c r="B20" s="337"/>
      <c r="C20" s="338"/>
      <c r="D20" s="338"/>
      <c r="E20" s="338"/>
      <c r="F20" s="338"/>
      <c r="G20" s="338"/>
      <c r="H20" s="338"/>
      <c r="I20" s="338"/>
      <c r="J20" s="338"/>
      <c r="K20" s="338"/>
      <c r="L20" s="338"/>
      <c r="M20" s="339"/>
    </row>
    <row r="21" spans="1:13" ht="15.75" x14ac:dyDescent="0.2">
      <c r="A21" s="332" t="s">
        <v>423</v>
      </c>
      <c r="B21" s="333"/>
      <c r="C21" s="333"/>
      <c r="D21" s="333"/>
      <c r="E21" s="333"/>
      <c r="F21" s="333"/>
      <c r="G21" s="333"/>
      <c r="H21" s="333"/>
      <c r="I21" s="333"/>
      <c r="J21" s="333"/>
      <c r="K21" s="333"/>
      <c r="L21" s="333"/>
      <c r="M21" s="334"/>
    </row>
    <row r="22" spans="1:13" ht="52.9" customHeight="1" x14ac:dyDescent="0.2">
      <c r="A22" s="335">
        <v>4</v>
      </c>
      <c r="B22" s="342" t="s">
        <v>424</v>
      </c>
      <c r="C22" s="342" t="s">
        <v>52</v>
      </c>
      <c r="D22" s="16" t="s">
        <v>419</v>
      </c>
      <c r="E22" s="17">
        <v>100</v>
      </c>
      <c r="F22" s="18" t="s">
        <v>17</v>
      </c>
      <c r="G22" s="18" t="s">
        <v>17</v>
      </c>
      <c r="H22" s="18">
        <f>8250*117/100</f>
        <v>9652.5</v>
      </c>
      <c r="I22" s="18">
        <f>H22</f>
        <v>9652.5</v>
      </c>
      <c r="J22" s="16" t="s">
        <v>14</v>
      </c>
      <c r="K22" s="412" t="s">
        <v>20</v>
      </c>
      <c r="L22" s="400" t="s">
        <v>22</v>
      </c>
      <c r="M22" s="350"/>
    </row>
    <row r="23" spans="1:13" ht="38.25" x14ac:dyDescent="0.2">
      <c r="A23" s="340"/>
      <c r="B23" s="373"/>
      <c r="C23" s="373"/>
      <c r="D23" s="31" t="s">
        <v>421</v>
      </c>
      <c r="E23" s="7">
        <v>86</v>
      </c>
      <c r="F23" s="8" t="s">
        <v>17</v>
      </c>
      <c r="G23" s="8" t="s">
        <v>17</v>
      </c>
      <c r="H23" s="8">
        <f>24000*117/100</f>
        <v>28080</v>
      </c>
      <c r="I23" s="8">
        <f>H23</f>
        <v>28080</v>
      </c>
      <c r="J23" s="31" t="s">
        <v>14</v>
      </c>
      <c r="K23" s="413"/>
      <c r="L23" s="401"/>
      <c r="M23" s="378"/>
    </row>
    <row r="24" spans="1:13" ht="25.5" x14ac:dyDescent="0.2">
      <c r="A24" s="340"/>
      <c r="B24" s="373"/>
      <c r="C24" s="373"/>
      <c r="D24" s="31" t="s">
        <v>420</v>
      </c>
      <c r="E24" s="7">
        <v>96</v>
      </c>
      <c r="F24" s="8" t="s">
        <v>17</v>
      </c>
      <c r="G24" s="8" t="s">
        <v>17</v>
      </c>
      <c r="H24" s="8">
        <f>25000*117/100</f>
        <v>29250</v>
      </c>
      <c r="I24" s="8">
        <f>H24</f>
        <v>29250</v>
      </c>
      <c r="J24" s="35" t="s">
        <v>14</v>
      </c>
      <c r="K24" s="413"/>
      <c r="L24" s="401"/>
      <c r="M24" s="378"/>
    </row>
    <row r="25" spans="1:13" ht="38.25" x14ac:dyDescent="0.2">
      <c r="A25" s="340"/>
      <c r="B25" s="343"/>
      <c r="C25" s="343"/>
      <c r="D25" s="31" t="s">
        <v>422</v>
      </c>
      <c r="E25" s="7">
        <v>82</v>
      </c>
      <c r="F25" s="8" t="s">
        <v>17</v>
      </c>
      <c r="G25" s="8" t="s">
        <v>17</v>
      </c>
      <c r="H25" s="8">
        <f>25000*117/100</f>
        <v>29250</v>
      </c>
      <c r="I25" s="8">
        <f t="shared" ref="I25" si="2">H25</f>
        <v>29250</v>
      </c>
      <c r="J25" s="31" t="s">
        <v>14</v>
      </c>
      <c r="K25" s="428"/>
      <c r="L25" s="402"/>
      <c r="M25" s="351"/>
    </row>
    <row r="26" spans="1:13" ht="13.9" customHeight="1" x14ac:dyDescent="0.2">
      <c r="A26" s="336"/>
      <c r="B26" s="337"/>
      <c r="C26" s="338"/>
      <c r="D26" s="338"/>
      <c r="E26" s="338"/>
      <c r="F26" s="338"/>
      <c r="G26" s="338"/>
      <c r="H26" s="338"/>
      <c r="I26" s="338"/>
      <c r="J26" s="338"/>
      <c r="K26" s="338"/>
      <c r="L26" s="338"/>
      <c r="M26" s="339"/>
    </row>
    <row r="27" spans="1:13" ht="15.75" x14ac:dyDescent="0.2">
      <c r="A27" s="332" t="s">
        <v>425</v>
      </c>
      <c r="B27" s="333"/>
      <c r="C27" s="333"/>
      <c r="D27" s="333"/>
      <c r="E27" s="333"/>
      <c r="F27" s="333"/>
      <c r="G27" s="333"/>
      <c r="H27" s="333"/>
      <c r="I27" s="333"/>
      <c r="J27" s="333"/>
      <c r="K27" s="333"/>
      <c r="L27" s="333"/>
      <c r="M27" s="334"/>
    </row>
    <row r="28" spans="1:13" ht="39.6" customHeight="1" x14ac:dyDescent="0.2">
      <c r="A28" s="335">
        <v>5</v>
      </c>
      <c r="B28" s="342" t="s">
        <v>426</v>
      </c>
      <c r="C28" s="342" t="s">
        <v>287</v>
      </c>
      <c r="D28" s="16" t="s">
        <v>289</v>
      </c>
      <c r="E28" s="17">
        <v>94</v>
      </c>
      <c r="F28" s="18" t="s">
        <v>13</v>
      </c>
      <c r="G28" s="18" t="s">
        <v>290</v>
      </c>
      <c r="H28" s="18">
        <f>209*117/100</f>
        <v>244.53</v>
      </c>
      <c r="I28" s="18">
        <f>H28*700</f>
        <v>171171</v>
      </c>
      <c r="J28" s="16" t="s">
        <v>14</v>
      </c>
      <c r="K28" s="412" t="s">
        <v>20</v>
      </c>
      <c r="L28" s="400" t="s">
        <v>22</v>
      </c>
      <c r="M28" s="350"/>
    </row>
    <row r="29" spans="1:13" ht="38.25" x14ac:dyDescent="0.2">
      <c r="A29" s="340"/>
      <c r="B29" s="373"/>
      <c r="C29" s="373"/>
      <c r="D29" s="31" t="s">
        <v>288</v>
      </c>
      <c r="E29" s="7">
        <v>88</v>
      </c>
      <c r="F29" s="8" t="s">
        <v>13</v>
      </c>
      <c r="G29" s="8" t="s">
        <v>290</v>
      </c>
      <c r="H29" s="8">
        <f>230*117/100</f>
        <v>269.10000000000002</v>
      </c>
      <c r="I29" s="8">
        <f>H29*700</f>
        <v>188370.00000000003</v>
      </c>
      <c r="J29" s="31" t="s">
        <v>14</v>
      </c>
      <c r="K29" s="413"/>
      <c r="L29" s="401"/>
      <c r="M29" s="378"/>
    </row>
    <row r="30" spans="1:13" ht="25.5" x14ac:dyDescent="0.2">
      <c r="A30" s="340"/>
      <c r="B30" s="373"/>
      <c r="C30" s="373"/>
      <c r="D30" s="31" t="s">
        <v>291</v>
      </c>
      <c r="E30" s="7">
        <v>75</v>
      </c>
      <c r="F30" s="8" t="s">
        <v>13</v>
      </c>
      <c r="G30" s="8" t="s">
        <v>290</v>
      </c>
      <c r="H30" s="8">
        <f>328*117/100</f>
        <v>383.76</v>
      </c>
      <c r="I30" s="8">
        <f>H30*700</f>
        <v>268632</v>
      </c>
      <c r="J30" s="31" t="s">
        <v>14</v>
      </c>
      <c r="K30" s="413"/>
      <c r="L30" s="401"/>
      <c r="M30" s="378"/>
    </row>
    <row r="31" spans="1:13" ht="25.5" x14ac:dyDescent="0.2">
      <c r="A31" s="340"/>
      <c r="B31" s="373"/>
      <c r="C31" s="373"/>
      <c r="D31" s="31" t="s">
        <v>292</v>
      </c>
      <c r="E31" s="7">
        <v>74</v>
      </c>
      <c r="F31" s="8" t="s">
        <v>13</v>
      </c>
      <c r="G31" s="8" t="s">
        <v>290</v>
      </c>
      <c r="H31" s="8">
        <f>332*117/100</f>
        <v>388.44</v>
      </c>
      <c r="I31" s="8">
        <f>H31*700</f>
        <v>271908</v>
      </c>
      <c r="J31" s="31" t="s">
        <v>14</v>
      </c>
      <c r="K31" s="413"/>
      <c r="L31" s="401"/>
      <c r="M31" s="378"/>
    </row>
    <row r="32" spans="1:13" ht="25.5" x14ac:dyDescent="0.2">
      <c r="A32" s="340"/>
      <c r="B32" s="343"/>
      <c r="C32" s="343"/>
      <c r="D32" s="31" t="s">
        <v>293</v>
      </c>
      <c r="E32" s="7">
        <v>60</v>
      </c>
      <c r="F32" s="8" t="s">
        <v>13</v>
      </c>
      <c r="G32" s="8" t="s">
        <v>290</v>
      </c>
      <c r="H32" s="8">
        <f>480*117/100</f>
        <v>561.6</v>
      </c>
      <c r="I32" s="8">
        <f>H32*700</f>
        <v>393120</v>
      </c>
      <c r="J32" s="31" t="s">
        <v>14</v>
      </c>
      <c r="K32" s="428"/>
      <c r="L32" s="402"/>
      <c r="M32" s="351"/>
    </row>
    <row r="33" spans="1:13" ht="13.9" customHeight="1" x14ac:dyDescent="0.2">
      <c r="A33" s="336"/>
      <c r="B33" s="337"/>
      <c r="C33" s="338"/>
      <c r="D33" s="338"/>
      <c r="E33" s="338"/>
      <c r="F33" s="338"/>
      <c r="G33" s="338"/>
      <c r="H33" s="338"/>
      <c r="I33" s="338"/>
      <c r="J33" s="338"/>
      <c r="K33" s="338"/>
      <c r="L33" s="338"/>
      <c r="M33" s="339"/>
    </row>
    <row r="34" spans="1:13" ht="15.75" x14ac:dyDescent="0.2">
      <c r="A34" s="332" t="s">
        <v>427</v>
      </c>
      <c r="B34" s="333"/>
      <c r="C34" s="333"/>
      <c r="D34" s="333"/>
      <c r="E34" s="333"/>
      <c r="F34" s="333"/>
      <c r="G34" s="333"/>
      <c r="H34" s="333"/>
      <c r="I34" s="333"/>
      <c r="J34" s="333"/>
      <c r="K34" s="333"/>
      <c r="L34" s="333"/>
      <c r="M34" s="334"/>
    </row>
    <row r="35" spans="1:13" ht="38.25" x14ac:dyDescent="0.2">
      <c r="A35" s="335">
        <v>6</v>
      </c>
      <c r="B35" s="72" t="s">
        <v>428</v>
      </c>
      <c r="C35" s="72" t="s">
        <v>429</v>
      </c>
      <c r="D35" s="16" t="s">
        <v>430</v>
      </c>
      <c r="E35" s="17">
        <v>100</v>
      </c>
      <c r="F35" s="18" t="s">
        <v>13</v>
      </c>
      <c r="G35" s="18" t="s">
        <v>34</v>
      </c>
      <c r="H35" s="18">
        <f>190*117/100</f>
        <v>222.3</v>
      </c>
      <c r="I35" s="18">
        <f>200*H35</f>
        <v>44460</v>
      </c>
      <c r="J35" s="16" t="s">
        <v>14</v>
      </c>
      <c r="K35" s="73" t="s">
        <v>21</v>
      </c>
      <c r="L35" s="74" t="s">
        <v>22</v>
      </c>
      <c r="M35" s="75">
        <v>2710062750</v>
      </c>
    </row>
    <row r="36" spans="1:13" ht="13.9" customHeight="1" x14ac:dyDescent="0.2">
      <c r="A36" s="336"/>
      <c r="B36" s="337" t="s">
        <v>431</v>
      </c>
      <c r="C36" s="338"/>
      <c r="D36" s="338"/>
      <c r="E36" s="338"/>
      <c r="F36" s="338"/>
      <c r="G36" s="338"/>
      <c r="H36" s="338"/>
      <c r="I36" s="338"/>
      <c r="J36" s="338"/>
      <c r="K36" s="338"/>
      <c r="L36" s="338"/>
      <c r="M36" s="339"/>
    </row>
    <row r="37" spans="1:13" ht="15.75" x14ac:dyDescent="0.2">
      <c r="A37" s="332" t="s">
        <v>432</v>
      </c>
      <c r="B37" s="333"/>
      <c r="C37" s="333"/>
      <c r="D37" s="333"/>
      <c r="E37" s="333"/>
      <c r="F37" s="333"/>
      <c r="G37" s="333"/>
      <c r="H37" s="333"/>
      <c r="I37" s="333"/>
      <c r="J37" s="333"/>
      <c r="K37" s="333"/>
      <c r="L37" s="333"/>
      <c r="M37" s="334"/>
    </row>
    <row r="38" spans="1:13" ht="48" x14ac:dyDescent="0.2">
      <c r="A38" s="335">
        <v>7</v>
      </c>
      <c r="B38" s="72" t="s">
        <v>35</v>
      </c>
      <c r="C38" s="30" t="s">
        <v>36</v>
      </c>
      <c r="D38" s="19" t="s">
        <v>37</v>
      </c>
      <c r="E38" s="20">
        <v>100</v>
      </c>
      <c r="F38" s="21" t="s">
        <v>38</v>
      </c>
      <c r="G38" s="21" t="s">
        <v>42</v>
      </c>
      <c r="H38" s="77">
        <f>1500*117/100</f>
        <v>1755</v>
      </c>
      <c r="I38" s="21">
        <f>H38*12</f>
        <v>21060</v>
      </c>
      <c r="J38" s="19" t="s">
        <v>14</v>
      </c>
      <c r="K38" s="73" t="s">
        <v>21</v>
      </c>
      <c r="L38" s="76" t="s">
        <v>22</v>
      </c>
      <c r="M38" s="75">
        <v>1746100750</v>
      </c>
    </row>
    <row r="39" spans="1:13" ht="13.9" customHeight="1" x14ac:dyDescent="0.2">
      <c r="A39" s="336"/>
      <c r="B39" s="337" t="s">
        <v>168</v>
      </c>
      <c r="C39" s="338"/>
      <c r="D39" s="338"/>
      <c r="E39" s="338"/>
      <c r="F39" s="338"/>
      <c r="G39" s="338"/>
      <c r="H39" s="338"/>
      <c r="I39" s="338"/>
      <c r="J39" s="338"/>
      <c r="K39" s="338"/>
      <c r="L39" s="338"/>
      <c r="M39" s="339"/>
    </row>
    <row r="40" spans="1:13" ht="15.75" x14ac:dyDescent="0.2">
      <c r="A40" s="332" t="s">
        <v>433</v>
      </c>
      <c r="B40" s="333"/>
      <c r="C40" s="333"/>
      <c r="D40" s="333"/>
      <c r="E40" s="333"/>
      <c r="F40" s="333"/>
      <c r="G40" s="333"/>
      <c r="H40" s="333"/>
      <c r="I40" s="333"/>
      <c r="J40" s="333"/>
      <c r="K40" s="333"/>
      <c r="L40" s="333"/>
      <c r="M40" s="334"/>
    </row>
    <row r="41" spans="1:13" ht="38.25" x14ac:dyDescent="0.2">
      <c r="A41" s="335">
        <v>8</v>
      </c>
      <c r="B41" s="72" t="s">
        <v>434</v>
      </c>
      <c r="C41" s="30" t="s">
        <v>435</v>
      </c>
      <c r="D41" s="19" t="s">
        <v>436</v>
      </c>
      <c r="E41" s="20">
        <v>100</v>
      </c>
      <c r="F41" s="21" t="s">
        <v>17</v>
      </c>
      <c r="G41" s="21" t="s">
        <v>17</v>
      </c>
      <c r="H41" s="21">
        <f>100000*117/100</f>
        <v>117000</v>
      </c>
      <c r="I41" s="21">
        <f>H41</f>
        <v>117000</v>
      </c>
      <c r="J41" s="19"/>
      <c r="K41" s="73" t="s">
        <v>21</v>
      </c>
      <c r="L41" s="76" t="s">
        <v>22</v>
      </c>
      <c r="M41" s="75">
        <v>2440072961</v>
      </c>
    </row>
    <row r="42" spans="1:13" ht="13.9" customHeight="1" x14ac:dyDescent="0.2">
      <c r="A42" s="336"/>
      <c r="B42" s="337" t="s">
        <v>437</v>
      </c>
      <c r="C42" s="338"/>
      <c r="D42" s="338"/>
      <c r="E42" s="338"/>
      <c r="F42" s="338"/>
      <c r="G42" s="338"/>
      <c r="H42" s="338"/>
      <c r="I42" s="338"/>
      <c r="J42" s="338"/>
      <c r="K42" s="338"/>
      <c r="L42" s="338"/>
      <c r="M42" s="339"/>
    </row>
    <row r="43" spans="1:13" ht="15.75" x14ac:dyDescent="0.2">
      <c r="A43" s="332" t="s">
        <v>438</v>
      </c>
      <c r="B43" s="333"/>
      <c r="C43" s="333"/>
      <c r="D43" s="333"/>
      <c r="E43" s="333"/>
      <c r="F43" s="333"/>
      <c r="G43" s="333"/>
      <c r="H43" s="333"/>
      <c r="I43" s="333"/>
      <c r="J43" s="333"/>
      <c r="K43" s="333"/>
      <c r="L43" s="333"/>
      <c r="M43" s="334"/>
    </row>
    <row r="44" spans="1:13" ht="26.45" customHeight="1" x14ac:dyDescent="0.2">
      <c r="A44" s="335">
        <v>9</v>
      </c>
      <c r="B44" s="342" t="s">
        <v>439</v>
      </c>
      <c r="C44" s="342" t="s">
        <v>440</v>
      </c>
      <c r="D44" s="16" t="s">
        <v>441</v>
      </c>
      <c r="E44" s="17">
        <v>100</v>
      </c>
      <c r="F44" s="21" t="s">
        <v>38</v>
      </c>
      <c r="G44" s="21" t="s">
        <v>42</v>
      </c>
      <c r="H44" s="18">
        <f>2000*117/100</f>
        <v>2340</v>
      </c>
      <c r="I44" s="18">
        <f>H44*12</f>
        <v>28080</v>
      </c>
      <c r="J44" s="16"/>
      <c r="K44" s="412" t="s">
        <v>20</v>
      </c>
      <c r="L44" s="400" t="s">
        <v>22</v>
      </c>
      <c r="M44" s="350">
        <v>1829200750</v>
      </c>
    </row>
    <row r="45" spans="1:13" ht="25.5" x14ac:dyDescent="0.2">
      <c r="A45" s="340"/>
      <c r="B45" s="373"/>
      <c r="C45" s="373"/>
      <c r="D45" s="31" t="s">
        <v>30</v>
      </c>
      <c r="E45" s="7">
        <v>70</v>
      </c>
      <c r="F45" s="15" t="s">
        <v>38</v>
      </c>
      <c r="G45" s="15" t="s">
        <v>42</v>
      </c>
      <c r="H45" s="8">
        <f>2700*117/100</f>
        <v>3159</v>
      </c>
      <c r="I45" s="8">
        <f>H45*12</f>
        <v>37908</v>
      </c>
      <c r="J45" s="31" t="s">
        <v>14</v>
      </c>
      <c r="K45" s="413"/>
      <c r="L45" s="401"/>
      <c r="M45" s="378"/>
    </row>
    <row r="46" spans="1:13" ht="38.25" x14ac:dyDescent="0.2">
      <c r="A46" s="340"/>
      <c r="B46" s="343"/>
      <c r="C46" s="343"/>
      <c r="D46" s="31" t="s">
        <v>422</v>
      </c>
      <c r="E46" s="7">
        <v>59</v>
      </c>
      <c r="F46" s="15" t="s">
        <v>38</v>
      </c>
      <c r="G46" s="15" t="s">
        <v>42</v>
      </c>
      <c r="H46" s="8">
        <f>3450*117/100</f>
        <v>4036.5</v>
      </c>
      <c r="I46" s="8">
        <f>H46*12</f>
        <v>48438</v>
      </c>
      <c r="J46" s="31" t="s">
        <v>14</v>
      </c>
      <c r="K46" s="428"/>
      <c r="L46" s="402"/>
      <c r="M46" s="351"/>
    </row>
    <row r="47" spans="1:13" ht="13.9" customHeight="1" x14ac:dyDescent="0.2">
      <c r="A47" s="336"/>
      <c r="B47" s="337"/>
      <c r="C47" s="338"/>
      <c r="D47" s="338"/>
      <c r="E47" s="338"/>
      <c r="F47" s="338"/>
      <c r="G47" s="338"/>
      <c r="H47" s="338"/>
      <c r="I47" s="338"/>
      <c r="J47" s="338"/>
      <c r="K47" s="338"/>
      <c r="L47" s="338"/>
      <c r="M47" s="339"/>
    </row>
    <row r="48" spans="1:13" ht="15.75" x14ac:dyDescent="0.2">
      <c r="A48" s="332" t="s">
        <v>442</v>
      </c>
      <c r="B48" s="333"/>
      <c r="C48" s="333"/>
      <c r="D48" s="333"/>
      <c r="E48" s="333"/>
      <c r="F48" s="333"/>
      <c r="G48" s="333"/>
      <c r="H48" s="333"/>
      <c r="I48" s="333"/>
      <c r="J48" s="333"/>
      <c r="K48" s="333"/>
      <c r="L48" s="333"/>
      <c r="M48" s="334"/>
    </row>
    <row r="49" spans="1:13" ht="51" x14ac:dyDescent="0.2">
      <c r="A49" s="335">
        <v>10</v>
      </c>
      <c r="B49" s="72" t="s">
        <v>174</v>
      </c>
      <c r="C49" s="30" t="s">
        <v>238</v>
      </c>
      <c r="D49" s="19" t="s">
        <v>175</v>
      </c>
      <c r="E49" s="20">
        <v>100</v>
      </c>
      <c r="F49" s="18" t="s">
        <v>17</v>
      </c>
      <c r="G49" s="18" t="s">
        <v>17</v>
      </c>
      <c r="H49" s="18">
        <f>180000*117/100</f>
        <v>210600</v>
      </c>
      <c r="I49" s="21">
        <f>H49</f>
        <v>210600</v>
      </c>
      <c r="J49" s="16" t="s">
        <v>14</v>
      </c>
      <c r="K49" s="73" t="s">
        <v>21</v>
      </c>
      <c r="L49" s="76" t="s">
        <v>22</v>
      </c>
      <c r="M49" s="75">
        <v>1617000581</v>
      </c>
    </row>
    <row r="50" spans="1:13" ht="31.9" customHeight="1" x14ac:dyDescent="0.2">
      <c r="A50" s="336"/>
      <c r="B50" s="337" t="s">
        <v>443</v>
      </c>
      <c r="C50" s="338"/>
      <c r="D50" s="338"/>
      <c r="E50" s="338"/>
      <c r="F50" s="338"/>
      <c r="G50" s="338"/>
      <c r="H50" s="338"/>
      <c r="I50" s="338"/>
      <c r="J50" s="338"/>
      <c r="K50" s="338"/>
      <c r="L50" s="338"/>
      <c r="M50" s="339"/>
    </row>
    <row r="51" spans="1:13" ht="15.75" x14ac:dyDescent="0.2">
      <c r="A51" s="332" t="s">
        <v>444</v>
      </c>
      <c r="B51" s="333"/>
      <c r="C51" s="333"/>
      <c r="D51" s="333"/>
      <c r="E51" s="333"/>
      <c r="F51" s="333"/>
      <c r="G51" s="333"/>
      <c r="H51" s="333"/>
      <c r="I51" s="333"/>
      <c r="J51" s="333"/>
      <c r="K51" s="333"/>
      <c r="L51" s="333"/>
      <c r="M51" s="334"/>
    </row>
    <row r="52" spans="1:13" ht="76.5" x14ac:dyDescent="0.2">
      <c r="A52" s="335">
        <v>11</v>
      </c>
      <c r="B52" s="72" t="s">
        <v>174</v>
      </c>
      <c r="C52" s="30" t="s">
        <v>238</v>
      </c>
      <c r="D52" s="19" t="s">
        <v>178</v>
      </c>
      <c r="E52" s="20">
        <v>100</v>
      </c>
      <c r="F52" s="18" t="s">
        <v>17</v>
      </c>
      <c r="G52" s="18" t="s">
        <v>17</v>
      </c>
      <c r="H52" s="18">
        <f>180000*117/100</f>
        <v>210600</v>
      </c>
      <c r="I52" s="21">
        <f>H52</f>
        <v>210600</v>
      </c>
      <c r="J52" s="16" t="s">
        <v>14</v>
      </c>
      <c r="K52" s="73" t="s">
        <v>21</v>
      </c>
      <c r="L52" s="76" t="s">
        <v>22</v>
      </c>
      <c r="M52" s="75">
        <v>1617000581</v>
      </c>
    </row>
    <row r="53" spans="1:13" ht="31.9" customHeight="1" x14ac:dyDescent="0.2">
      <c r="A53" s="336"/>
      <c r="B53" s="337" t="s">
        <v>445</v>
      </c>
      <c r="C53" s="338"/>
      <c r="D53" s="338"/>
      <c r="E53" s="338"/>
      <c r="F53" s="338"/>
      <c r="G53" s="338"/>
      <c r="H53" s="338"/>
      <c r="I53" s="338"/>
      <c r="J53" s="338"/>
      <c r="K53" s="338"/>
      <c r="L53" s="338"/>
      <c r="M53" s="339"/>
    </row>
    <row r="54" spans="1:13" ht="15.75" x14ac:dyDescent="0.2">
      <c r="A54" s="332" t="s">
        <v>446</v>
      </c>
      <c r="B54" s="333"/>
      <c r="C54" s="333"/>
      <c r="D54" s="333"/>
      <c r="E54" s="333"/>
      <c r="F54" s="333"/>
      <c r="G54" s="333"/>
      <c r="H54" s="333"/>
      <c r="I54" s="333"/>
      <c r="J54" s="333"/>
      <c r="K54" s="333"/>
      <c r="L54" s="333"/>
      <c r="M54" s="334"/>
    </row>
    <row r="55" spans="1:13" ht="39.6" customHeight="1" x14ac:dyDescent="0.2">
      <c r="A55" s="335">
        <v>12</v>
      </c>
      <c r="B55" s="342" t="s">
        <v>447</v>
      </c>
      <c r="C55" s="342" t="s">
        <v>238</v>
      </c>
      <c r="D55" s="16" t="s">
        <v>448</v>
      </c>
      <c r="E55" s="17">
        <v>100</v>
      </c>
      <c r="F55" s="18" t="s">
        <v>17</v>
      </c>
      <c r="G55" s="18" t="s">
        <v>17</v>
      </c>
      <c r="H55" s="18">
        <f>15000*117/100</f>
        <v>17550</v>
      </c>
      <c r="I55" s="18">
        <f>H55</f>
        <v>17550</v>
      </c>
      <c r="J55" s="16" t="s">
        <v>14</v>
      </c>
      <c r="K55" s="412" t="s">
        <v>20</v>
      </c>
      <c r="L55" s="400"/>
      <c r="M55" s="350"/>
    </row>
    <row r="56" spans="1:13" ht="38.25" x14ac:dyDescent="0.2">
      <c r="A56" s="340"/>
      <c r="B56" s="373"/>
      <c r="C56" s="373"/>
      <c r="D56" s="31" t="s">
        <v>219</v>
      </c>
      <c r="E56" s="7">
        <v>94</v>
      </c>
      <c r="F56" s="8" t="s">
        <v>17</v>
      </c>
      <c r="G56" s="8" t="s">
        <v>17</v>
      </c>
      <c r="H56" s="8">
        <f>15000*117/100</f>
        <v>17550</v>
      </c>
      <c r="I56" s="8">
        <f t="shared" ref="I56:I57" si="3">H56</f>
        <v>17550</v>
      </c>
      <c r="J56" s="31" t="s">
        <v>14</v>
      </c>
      <c r="K56" s="413"/>
      <c r="L56" s="401"/>
      <c r="M56" s="378"/>
    </row>
    <row r="57" spans="1:13" ht="38.25" x14ac:dyDescent="0.2">
      <c r="A57" s="340"/>
      <c r="B57" s="343"/>
      <c r="C57" s="343"/>
      <c r="D57" s="31" t="s">
        <v>449</v>
      </c>
      <c r="E57" s="7">
        <v>43</v>
      </c>
      <c r="F57" s="8" t="s">
        <v>17</v>
      </c>
      <c r="G57" s="8" t="s">
        <v>17</v>
      </c>
      <c r="H57" s="8">
        <f>55000*117/100</f>
        <v>64350</v>
      </c>
      <c r="I57" s="8">
        <f t="shared" si="3"/>
        <v>64350</v>
      </c>
      <c r="J57" s="31"/>
      <c r="K57" s="428"/>
      <c r="L57" s="402"/>
      <c r="M57" s="351"/>
    </row>
    <row r="58" spans="1:13" ht="13.9" customHeight="1" x14ac:dyDescent="0.2">
      <c r="A58" s="336"/>
      <c r="B58" s="337" t="s">
        <v>116</v>
      </c>
      <c r="C58" s="338"/>
      <c r="D58" s="338"/>
      <c r="E58" s="338"/>
      <c r="F58" s="338"/>
      <c r="G58" s="338"/>
      <c r="H58" s="338"/>
      <c r="I58" s="338"/>
      <c r="J58" s="338"/>
      <c r="K58" s="338"/>
      <c r="L58" s="338"/>
      <c r="M58" s="339"/>
    </row>
    <row r="59" spans="1:13" x14ac:dyDescent="0.2">
      <c r="B59" s="9" t="s">
        <v>234</v>
      </c>
    </row>
    <row r="60" spans="1:13" x14ac:dyDescent="0.2">
      <c r="B60" s="28"/>
    </row>
  </sheetData>
  <mergeCells count="72">
    <mergeCell ref="A7:M7"/>
    <mergeCell ref="A8:A9"/>
    <mergeCell ref="B9:M9"/>
    <mergeCell ref="A1:A6"/>
    <mergeCell ref="B1:M1"/>
    <mergeCell ref="B2:M2"/>
    <mergeCell ref="B3:M3"/>
    <mergeCell ref="B4:M4"/>
    <mergeCell ref="B5:M5"/>
    <mergeCell ref="A15:M15"/>
    <mergeCell ref="A16:A20"/>
    <mergeCell ref="B16:B19"/>
    <mergeCell ref="C16:C19"/>
    <mergeCell ref="K16:K19"/>
    <mergeCell ref="L16:L19"/>
    <mergeCell ref="M16:M19"/>
    <mergeCell ref="B20:M20"/>
    <mergeCell ref="A21:M21"/>
    <mergeCell ref="A22:A26"/>
    <mergeCell ref="B22:B25"/>
    <mergeCell ref="C22:C25"/>
    <mergeCell ref="K22:K25"/>
    <mergeCell ref="L22:L25"/>
    <mergeCell ref="M22:M25"/>
    <mergeCell ref="B26:M26"/>
    <mergeCell ref="A27:M27"/>
    <mergeCell ref="A28:A33"/>
    <mergeCell ref="B28:B32"/>
    <mergeCell ref="C28:C32"/>
    <mergeCell ref="K28:K32"/>
    <mergeCell ref="L28:L32"/>
    <mergeCell ref="M28:M32"/>
    <mergeCell ref="B33:M33"/>
    <mergeCell ref="A40:M40"/>
    <mergeCell ref="A41:A42"/>
    <mergeCell ref="B42:M42"/>
    <mergeCell ref="A43:M43"/>
    <mergeCell ref="A44:A47"/>
    <mergeCell ref="B44:B46"/>
    <mergeCell ref="C44:C46"/>
    <mergeCell ref="K44:K46"/>
    <mergeCell ref="L44:L46"/>
    <mergeCell ref="M44:M46"/>
    <mergeCell ref="B47:M47"/>
    <mergeCell ref="A34:M34"/>
    <mergeCell ref="A35:A36"/>
    <mergeCell ref="B36:M36"/>
    <mergeCell ref="A37:M37"/>
    <mergeCell ref="A38:A39"/>
    <mergeCell ref="B39:M39"/>
    <mergeCell ref="A51:M51"/>
    <mergeCell ref="A48:M48"/>
    <mergeCell ref="A49:A50"/>
    <mergeCell ref="B50:M50"/>
    <mergeCell ref="A52:A53"/>
    <mergeCell ref="B53:M53"/>
    <mergeCell ref="A54:M54"/>
    <mergeCell ref="A55:A58"/>
    <mergeCell ref="B55:B57"/>
    <mergeCell ref="C55:C57"/>
    <mergeCell ref="K55:K57"/>
    <mergeCell ref="L55:L57"/>
    <mergeCell ref="M55:M57"/>
    <mergeCell ref="B58:M58"/>
    <mergeCell ref="A11:A14"/>
    <mergeCell ref="A10:M10"/>
    <mergeCell ref="B14:M14"/>
    <mergeCell ref="M11:M13"/>
    <mergeCell ref="L11:L13"/>
    <mergeCell ref="K11:K13"/>
    <mergeCell ref="C11:C13"/>
    <mergeCell ref="B11:B13"/>
  </mergeCells>
  <pageMargins left="0.7" right="0.7" top="0.75" bottom="0.75" header="0.3" footer="0.3"/>
  <pageSetup paperSize="9" scale="74" fitToHeight="0"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M67"/>
  <sheetViews>
    <sheetView rightToLeft="1" topLeftCell="A58" workbookViewId="0">
      <selection activeCell="A67" sqref="A67:XFD67"/>
    </sheetView>
  </sheetViews>
  <sheetFormatPr defaultColWidth="8.75" defaultRowHeight="15" x14ac:dyDescent="0.2"/>
  <cols>
    <col min="1" max="1" width="4.25" customWidth="1"/>
    <col min="2" max="2" width="21.125" style="9" bestFit="1" customWidth="1"/>
    <col min="4" max="4" width="7.25" customWidth="1"/>
    <col min="5" max="5" width="7.75" customWidth="1"/>
    <col min="6" max="6" width="10.25" bestFit="1" customWidth="1"/>
    <col min="7" max="7" width="12.125" style="10" bestFit="1" customWidth="1"/>
    <col min="8" max="8" width="13.625" style="11" bestFit="1" customWidth="1"/>
    <col min="9" max="9" width="14.625" style="11" bestFit="1" customWidth="1"/>
    <col min="10" max="10" width="9" customWidth="1"/>
    <col min="11" max="11" width="23.625" style="12" customWidth="1"/>
    <col min="12" max="12" width="13.5" style="13" customWidth="1"/>
    <col min="13" max="13" width="16.5" style="14" customWidth="1"/>
  </cols>
  <sheetData>
    <row r="1" spans="1:13" ht="20.25" x14ac:dyDescent="0.2">
      <c r="A1" s="354"/>
      <c r="B1" s="355" t="s">
        <v>356</v>
      </c>
      <c r="C1" s="355"/>
      <c r="D1" s="355"/>
      <c r="E1" s="355"/>
      <c r="F1" s="355"/>
      <c r="G1" s="355"/>
      <c r="H1" s="355"/>
      <c r="I1" s="355"/>
      <c r="J1" s="355"/>
      <c r="K1" s="355"/>
      <c r="L1" s="355"/>
      <c r="M1" s="355"/>
    </row>
    <row r="2" spans="1:13" ht="14.25" x14ac:dyDescent="0.2">
      <c r="A2" s="354"/>
      <c r="B2" s="356" t="s">
        <v>198</v>
      </c>
      <c r="C2" s="356"/>
      <c r="D2" s="356"/>
      <c r="E2" s="356"/>
      <c r="F2" s="356"/>
      <c r="G2" s="356"/>
      <c r="H2" s="356"/>
      <c r="I2" s="356"/>
      <c r="J2" s="356"/>
      <c r="K2" s="356"/>
      <c r="L2" s="356"/>
      <c r="M2" s="356"/>
    </row>
    <row r="3" spans="1:13" ht="15.75" x14ac:dyDescent="0.2">
      <c r="A3" s="354"/>
      <c r="B3" s="357" t="s">
        <v>269</v>
      </c>
      <c r="C3" s="357"/>
      <c r="D3" s="357"/>
      <c r="E3" s="357"/>
      <c r="F3" s="357"/>
      <c r="G3" s="357"/>
      <c r="H3" s="357"/>
      <c r="I3" s="357"/>
      <c r="J3" s="357"/>
      <c r="K3" s="357"/>
      <c r="L3" s="357"/>
      <c r="M3" s="357"/>
    </row>
    <row r="4" spans="1:13" ht="14.25" x14ac:dyDescent="0.2">
      <c r="A4" s="354"/>
      <c r="B4" s="358" t="s">
        <v>71</v>
      </c>
      <c r="C4" s="358"/>
      <c r="D4" s="358"/>
      <c r="E4" s="358"/>
      <c r="F4" s="358"/>
      <c r="G4" s="358"/>
      <c r="H4" s="358"/>
      <c r="I4" s="358"/>
      <c r="J4" s="358"/>
      <c r="K4" s="358"/>
      <c r="L4" s="358"/>
      <c r="M4" s="358"/>
    </row>
    <row r="5" spans="1:13" ht="14.25" x14ac:dyDescent="0.2">
      <c r="A5" s="354"/>
      <c r="B5" s="358" t="s">
        <v>70</v>
      </c>
      <c r="C5" s="358"/>
      <c r="D5" s="358"/>
      <c r="E5" s="358"/>
      <c r="F5" s="358"/>
      <c r="G5" s="358"/>
      <c r="H5" s="358"/>
      <c r="I5" s="358"/>
      <c r="J5" s="358"/>
      <c r="K5" s="358"/>
      <c r="L5" s="358"/>
      <c r="M5" s="358"/>
    </row>
    <row r="6" spans="1:13" ht="47.25" x14ac:dyDescent="0.2">
      <c r="A6" s="354"/>
      <c r="B6" s="1" t="s">
        <v>1</v>
      </c>
      <c r="C6" s="2" t="s">
        <v>2</v>
      </c>
      <c r="D6" s="3" t="s">
        <v>3</v>
      </c>
      <c r="E6" s="3" t="s">
        <v>4</v>
      </c>
      <c r="F6" s="3" t="s">
        <v>5</v>
      </c>
      <c r="G6" s="3" t="s">
        <v>6</v>
      </c>
      <c r="H6" s="4" t="s">
        <v>7</v>
      </c>
      <c r="I6" s="5" t="s">
        <v>8</v>
      </c>
      <c r="J6" s="3" t="s">
        <v>9</v>
      </c>
      <c r="K6" s="3" t="s">
        <v>10</v>
      </c>
      <c r="L6" s="6" t="s">
        <v>11</v>
      </c>
      <c r="M6" s="3" t="s">
        <v>12</v>
      </c>
    </row>
    <row r="7" spans="1:13" ht="15.75" x14ac:dyDescent="0.2">
      <c r="A7" s="332" t="s">
        <v>357</v>
      </c>
      <c r="B7" s="333"/>
      <c r="C7" s="333"/>
      <c r="D7" s="333"/>
      <c r="E7" s="333"/>
      <c r="F7" s="333"/>
      <c r="G7" s="333"/>
      <c r="H7" s="333"/>
      <c r="I7" s="333"/>
      <c r="J7" s="333"/>
      <c r="K7" s="333"/>
      <c r="L7" s="333"/>
      <c r="M7" s="334"/>
    </row>
    <row r="8" spans="1:13" ht="51" x14ac:dyDescent="0.2">
      <c r="A8" s="335">
        <v>1</v>
      </c>
      <c r="B8" s="72" t="s">
        <v>358</v>
      </c>
      <c r="C8" s="72" t="s">
        <v>52</v>
      </c>
      <c r="D8" s="19" t="s">
        <v>359</v>
      </c>
      <c r="E8" s="20">
        <v>100</v>
      </c>
      <c r="F8" s="21" t="s">
        <v>17</v>
      </c>
      <c r="G8" s="21" t="s">
        <v>17</v>
      </c>
      <c r="H8" s="21">
        <f>44000*117/100</f>
        <v>51480</v>
      </c>
      <c r="I8" s="21">
        <f>H8</f>
        <v>51480</v>
      </c>
      <c r="J8" s="19"/>
      <c r="K8" s="73" t="s">
        <v>21</v>
      </c>
      <c r="L8" s="76"/>
      <c r="M8" s="24"/>
    </row>
    <row r="9" spans="1:13" ht="14.25" x14ac:dyDescent="0.2">
      <c r="A9" s="336"/>
      <c r="B9" s="337" t="s">
        <v>360</v>
      </c>
      <c r="C9" s="338"/>
      <c r="D9" s="338"/>
      <c r="E9" s="338"/>
      <c r="F9" s="338"/>
      <c r="G9" s="338"/>
      <c r="H9" s="338"/>
      <c r="I9" s="338"/>
      <c r="J9" s="338"/>
      <c r="K9" s="338"/>
      <c r="L9" s="338"/>
      <c r="M9" s="339"/>
    </row>
    <row r="10" spans="1:13" ht="15.75" x14ac:dyDescent="0.2">
      <c r="A10" s="332" t="s">
        <v>361</v>
      </c>
      <c r="B10" s="333"/>
      <c r="C10" s="333"/>
      <c r="D10" s="333"/>
      <c r="E10" s="333"/>
      <c r="F10" s="333"/>
      <c r="G10" s="333"/>
      <c r="H10" s="333"/>
      <c r="I10" s="333"/>
      <c r="J10" s="333"/>
      <c r="K10" s="333"/>
      <c r="L10" s="333"/>
      <c r="M10" s="334"/>
    </row>
    <row r="11" spans="1:13" ht="51" x14ac:dyDescent="0.2">
      <c r="A11" s="335">
        <v>2</v>
      </c>
      <c r="B11" s="72" t="s">
        <v>362</v>
      </c>
      <c r="C11" s="72" t="s">
        <v>52</v>
      </c>
      <c r="D11" s="19" t="s">
        <v>363</v>
      </c>
      <c r="E11" s="20">
        <v>100</v>
      </c>
      <c r="F11" s="21" t="s">
        <v>17</v>
      </c>
      <c r="G11" s="21" t="s">
        <v>17</v>
      </c>
      <c r="H11" s="21">
        <f>28600*117/100</f>
        <v>33462</v>
      </c>
      <c r="I11" s="21">
        <f>H11</f>
        <v>33462</v>
      </c>
      <c r="J11" s="19"/>
      <c r="K11" s="73" t="s">
        <v>21</v>
      </c>
      <c r="L11" s="76"/>
      <c r="M11" s="24"/>
    </row>
    <row r="12" spans="1:13" ht="14.25" x14ac:dyDescent="0.2">
      <c r="A12" s="336"/>
      <c r="B12" s="337" t="s">
        <v>360</v>
      </c>
      <c r="C12" s="338"/>
      <c r="D12" s="338"/>
      <c r="E12" s="338"/>
      <c r="F12" s="338"/>
      <c r="G12" s="338"/>
      <c r="H12" s="338"/>
      <c r="I12" s="338"/>
      <c r="J12" s="338"/>
      <c r="K12" s="338"/>
      <c r="L12" s="338"/>
      <c r="M12" s="339"/>
    </row>
    <row r="13" spans="1:13" ht="15.75" x14ac:dyDescent="0.2">
      <c r="A13" s="332" t="s">
        <v>364</v>
      </c>
      <c r="B13" s="333"/>
      <c r="C13" s="333"/>
      <c r="D13" s="333"/>
      <c r="E13" s="333"/>
      <c r="F13" s="333"/>
      <c r="G13" s="333"/>
      <c r="H13" s="333"/>
      <c r="I13" s="333"/>
      <c r="J13" s="333"/>
      <c r="K13" s="333"/>
      <c r="L13" s="333"/>
      <c r="M13" s="334"/>
    </row>
    <row r="14" spans="1:13" ht="63.75" x14ac:dyDescent="0.2">
      <c r="A14" s="335">
        <v>3</v>
      </c>
      <c r="B14" s="72" t="s">
        <v>365</v>
      </c>
      <c r="C14" s="72" t="s">
        <v>52</v>
      </c>
      <c r="D14" s="19" t="s">
        <v>366</v>
      </c>
      <c r="E14" s="20">
        <v>100</v>
      </c>
      <c r="F14" s="21" t="s">
        <v>17</v>
      </c>
      <c r="G14" s="21" t="s">
        <v>17</v>
      </c>
      <c r="H14" s="21">
        <f>48020*117/100</f>
        <v>56183.4</v>
      </c>
      <c r="I14" s="21">
        <f>H14</f>
        <v>56183.4</v>
      </c>
      <c r="J14" s="19"/>
      <c r="K14" s="73" t="s">
        <v>21</v>
      </c>
      <c r="L14" s="76"/>
      <c r="M14" s="24"/>
    </row>
    <row r="15" spans="1:13" ht="14.25" x14ac:dyDescent="0.2">
      <c r="A15" s="336"/>
      <c r="B15" s="337" t="s">
        <v>360</v>
      </c>
      <c r="C15" s="338"/>
      <c r="D15" s="338"/>
      <c r="E15" s="338"/>
      <c r="F15" s="338"/>
      <c r="G15" s="338"/>
      <c r="H15" s="338"/>
      <c r="I15" s="338"/>
      <c r="J15" s="338"/>
      <c r="K15" s="338"/>
      <c r="L15" s="338"/>
      <c r="M15" s="339"/>
    </row>
    <row r="16" spans="1:13" ht="15.75" x14ac:dyDescent="0.2">
      <c r="A16" s="332" t="s">
        <v>367</v>
      </c>
      <c r="B16" s="333"/>
      <c r="C16" s="333"/>
      <c r="D16" s="333"/>
      <c r="E16" s="333"/>
      <c r="F16" s="333"/>
      <c r="G16" s="333"/>
      <c r="H16" s="333"/>
      <c r="I16" s="333"/>
      <c r="J16" s="333"/>
      <c r="K16" s="333"/>
      <c r="L16" s="333"/>
      <c r="M16" s="334"/>
    </row>
    <row r="17" spans="1:13" ht="51" x14ac:dyDescent="0.2">
      <c r="A17" s="335">
        <v>4</v>
      </c>
      <c r="B17" s="72" t="s">
        <v>368</v>
      </c>
      <c r="C17" s="72" t="s">
        <v>52</v>
      </c>
      <c r="D17" s="19" t="s">
        <v>369</v>
      </c>
      <c r="E17" s="20">
        <v>100</v>
      </c>
      <c r="F17" s="21" t="s">
        <v>17</v>
      </c>
      <c r="G17" s="21" t="s">
        <v>17</v>
      </c>
      <c r="H17" s="21">
        <f>94050*117/100</f>
        <v>110038.5</v>
      </c>
      <c r="I17" s="21">
        <f>H17</f>
        <v>110038.5</v>
      </c>
      <c r="J17" s="19"/>
      <c r="K17" s="73" t="s">
        <v>21</v>
      </c>
      <c r="L17" s="76"/>
      <c r="M17" s="24"/>
    </row>
    <row r="18" spans="1:13" ht="14.25" x14ac:dyDescent="0.2">
      <c r="A18" s="336"/>
      <c r="B18" s="337" t="s">
        <v>360</v>
      </c>
      <c r="C18" s="338"/>
      <c r="D18" s="338"/>
      <c r="E18" s="338"/>
      <c r="F18" s="338"/>
      <c r="G18" s="338"/>
      <c r="H18" s="338"/>
      <c r="I18" s="338"/>
      <c r="J18" s="338"/>
      <c r="K18" s="338"/>
      <c r="L18" s="338"/>
      <c r="M18" s="339"/>
    </row>
    <row r="19" spans="1:13" ht="15.75" x14ac:dyDescent="0.2">
      <c r="A19" s="332" t="s">
        <v>370</v>
      </c>
      <c r="B19" s="333"/>
      <c r="C19" s="333"/>
      <c r="D19" s="333"/>
      <c r="E19" s="333"/>
      <c r="F19" s="333"/>
      <c r="G19" s="333"/>
      <c r="H19" s="333"/>
      <c r="I19" s="333"/>
      <c r="J19" s="333"/>
      <c r="K19" s="333"/>
      <c r="L19" s="333"/>
      <c r="M19" s="334"/>
    </row>
    <row r="20" spans="1:13" ht="51" x14ac:dyDescent="0.2">
      <c r="A20" s="335">
        <v>5</v>
      </c>
      <c r="B20" s="72" t="s">
        <v>371</v>
      </c>
      <c r="C20" s="72" t="s">
        <v>52</v>
      </c>
      <c r="D20" s="19" t="s">
        <v>372</v>
      </c>
      <c r="E20" s="20">
        <v>100</v>
      </c>
      <c r="F20" s="21" t="s">
        <v>17</v>
      </c>
      <c r="G20" s="21" t="s">
        <v>17</v>
      </c>
      <c r="H20" s="21">
        <f>20000*117/100</f>
        <v>23400</v>
      </c>
      <c r="I20" s="21">
        <f>H20</f>
        <v>23400</v>
      </c>
      <c r="J20" s="19"/>
      <c r="K20" s="73" t="s">
        <v>21</v>
      </c>
      <c r="L20" s="76"/>
      <c r="M20" s="24"/>
    </row>
    <row r="21" spans="1:13" ht="14.25" x14ac:dyDescent="0.2">
      <c r="A21" s="336"/>
      <c r="B21" s="337" t="s">
        <v>360</v>
      </c>
      <c r="C21" s="338"/>
      <c r="D21" s="338"/>
      <c r="E21" s="338"/>
      <c r="F21" s="338"/>
      <c r="G21" s="338"/>
      <c r="H21" s="338"/>
      <c r="I21" s="338"/>
      <c r="J21" s="338"/>
      <c r="K21" s="338"/>
      <c r="L21" s="338"/>
      <c r="M21" s="339"/>
    </row>
    <row r="22" spans="1:13" ht="15.75" x14ac:dyDescent="0.2">
      <c r="A22" s="332" t="s">
        <v>373</v>
      </c>
      <c r="B22" s="333"/>
      <c r="C22" s="333"/>
      <c r="D22" s="333"/>
      <c r="E22" s="333"/>
      <c r="F22" s="333"/>
      <c r="G22" s="333"/>
      <c r="H22" s="333"/>
      <c r="I22" s="333"/>
      <c r="J22" s="333"/>
      <c r="K22" s="333"/>
      <c r="L22" s="333"/>
      <c r="M22" s="334"/>
    </row>
    <row r="23" spans="1:13" ht="51" x14ac:dyDescent="0.2">
      <c r="A23" s="335">
        <v>6</v>
      </c>
      <c r="B23" s="72" t="s">
        <v>374</v>
      </c>
      <c r="C23" s="72" t="s">
        <v>52</v>
      </c>
      <c r="D23" s="19" t="s">
        <v>375</v>
      </c>
      <c r="E23" s="20">
        <v>100</v>
      </c>
      <c r="F23" s="21" t="s">
        <v>17</v>
      </c>
      <c r="G23" s="21" t="s">
        <v>17</v>
      </c>
      <c r="H23" s="21">
        <f>53364*117/100</f>
        <v>62435.88</v>
      </c>
      <c r="I23" s="21">
        <f>H23</f>
        <v>62435.88</v>
      </c>
      <c r="J23" s="19"/>
      <c r="K23" s="73" t="s">
        <v>21</v>
      </c>
      <c r="L23" s="76"/>
      <c r="M23" s="24"/>
    </row>
    <row r="24" spans="1:13" ht="14.25" x14ac:dyDescent="0.2">
      <c r="A24" s="336"/>
      <c r="B24" s="337" t="s">
        <v>360</v>
      </c>
      <c r="C24" s="338"/>
      <c r="D24" s="338"/>
      <c r="E24" s="338"/>
      <c r="F24" s="338"/>
      <c r="G24" s="338"/>
      <c r="H24" s="338"/>
      <c r="I24" s="338"/>
      <c r="J24" s="338"/>
      <c r="K24" s="338"/>
      <c r="L24" s="338"/>
      <c r="M24" s="339"/>
    </row>
    <row r="25" spans="1:13" ht="15.75" x14ac:dyDescent="0.2">
      <c r="A25" s="332" t="s">
        <v>376</v>
      </c>
      <c r="B25" s="333"/>
      <c r="C25" s="333"/>
      <c r="D25" s="333"/>
      <c r="E25" s="333"/>
      <c r="F25" s="333"/>
      <c r="G25" s="333"/>
      <c r="H25" s="333"/>
      <c r="I25" s="333"/>
      <c r="J25" s="333"/>
      <c r="K25" s="333"/>
      <c r="L25" s="333"/>
      <c r="M25" s="334"/>
    </row>
    <row r="26" spans="1:13" ht="51" x14ac:dyDescent="0.2">
      <c r="A26" s="335">
        <v>7</v>
      </c>
      <c r="B26" s="72" t="s">
        <v>377</v>
      </c>
      <c r="C26" s="72" t="s">
        <v>52</v>
      </c>
      <c r="D26" s="19" t="s">
        <v>378</v>
      </c>
      <c r="E26" s="20">
        <v>100</v>
      </c>
      <c r="F26" s="21" t="s">
        <v>17</v>
      </c>
      <c r="G26" s="21" t="s">
        <v>17</v>
      </c>
      <c r="H26" s="21">
        <f>28000*117/100</f>
        <v>32760</v>
      </c>
      <c r="I26" s="21">
        <f>H26</f>
        <v>32760</v>
      </c>
      <c r="J26" s="19"/>
      <c r="K26" s="73" t="s">
        <v>21</v>
      </c>
      <c r="L26" s="76"/>
      <c r="M26" s="24"/>
    </row>
    <row r="27" spans="1:13" ht="14.25" x14ac:dyDescent="0.2">
      <c r="A27" s="336"/>
      <c r="B27" s="337" t="s">
        <v>360</v>
      </c>
      <c r="C27" s="338"/>
      <c r="D27" s="338"/>
      <c r="E27" s="338"/>
      <c r="F27" s="338"/>
      <c r="G27" s="338"/>
      <c r="H27" s="338"/>
      <c r="I27" s="338"/>
      <c r="J27" s="338"/>
      <c r="K27" s="338"/>
      <c r="L27" s="338"/>
      <c r="M27" s="339"/>
    </row>
    <row r="28" spans="1:13" ht="15.75" x14ac:dyDescent="0.2">
      <c r="A28" s="332" t="s">
        <v>379</v>
      </c>
      <c r="B28" s="333"/>
      <c r="C28" s="333"/>
      <c r="D28" s="333"/>
      <c r="E28" s="333"/>
      <c r="F28" s="333"/>
      <c r="G28" s="333"/>
      <c r="H28" s="333"/>
      <c r="I28" s="333"/>
      <c r="J28" s="333"/>
      <c r="K28" s="333"/>
      <c r="L28" s="333"/>
      <c r="M28" s="334"/>
    </row>
    <row r="29" spans="1:13" ht="51" x14ac:dyDescent="0.2">
      <c r="A29" s="335">
        <v>8</v>
      </c>
      <c r="B29" s="72" t="s">
        <v>380</v>
      </c>
      <c r="C29" s="72" t="s">
        <v>52</v>
      </c>
      <c r="D29" s="19" t="s">
        <v>372</v>
      </c>
      <c r="E29" s="20">
        <v>100</v>
      </c>
      <c r="F29" s="21" t="s">
        <v>17</v>
      </c>
      <c r="G29" s="21" t="s">
        <v>17</v>
      </c>
      <c r="H29" s="21">
        <f>51520*117/100</f>
        <v>60278.400000000001</v>
      </c>
      <c r="I29" s="21">
        <f>H29</f>
        <v>60278.400000000001</v>
      </c>
      <c r="J29" s="19"/>
      <c r="K29" s="73" t="s">
        <v>21</v>
      </c>
      <c r="L29" s="76"/>
      <c r="M29" s="24"/>
    </row>
    <row r="30" spans="1:13" ht="14.25" x14ac:dyDescent="0.2">
      <c r="A30" s="336"/>
      <c r="B30" s="337" t="s">
        <v>360</v>
      </c>
      <c r="C30" s="338"/>
      <c r="D30" s="338"/>
      <c r="E30" s="338"/>
      <c r="F30" s="338"/>
      <c r="G30" s="338"/>
      <c r="H30" s="338"/>
      <c r="I30" s="338"/>
      <c r="J30" s="338"/>
      <c r="K30" s="338"/>
      <c r="L30" s="338"/>
      <c r="M30" s="339"/>
    </row>
    <row r="31" spans="1:13" ht="15.75" x14ac:dyDescent="0.2">
      <c r="A31" s="332" t="s">
        <v>381</v>
      </c>
      <c r="B31" s="333"/>
      <c r="C31" s="333"/>
      <c r="D31" s="333"/>
      <c r="E31" s="333"/>
      <c r="F31" s="333"/>
      <c r="G31" s="333"/>
      <c r="H31" s="333"/>
      <c r="I31" s="333"/>
      <c r="J31" s="333"/>
      <c r="K31" s="333"/>
      <c r="L31" s="333"/>
      <c r="M31" s="334"/>
    </row>
    <row r="32" spans="1:13" ht="14.25" x14ac:dyDescent="0.2">
      <c r="A32" s="335">
        <v>9</v>
      </c>
      <c r="B32" s="342" t="s">
        <v>382</v>
      </c>
      <c r="C32" s="342" t="s">
        <v>52</v>
      </c>
      <c r="D32" s="16" t="s">
        <v>383</v>
      </c>
      <c r="E32" s="17">
        <v>100</v>
      </c>
      <c r="F32" s="18" t="s">
        <v>17</v>
      </c>
      <c r="G32" s="18" t="s">
        <v>17</v>
      </c>
      <c r="H32" s="18">
        <f>66150*117/100</f>
        <v>77395.5</v>
      </c>
      <c r="I32" s="18">
        <f>H32</f>
        <v>77395.5</v>
      </c>
      <c r="J32" s="16"/>
      <c r="K32" s="412" t="s">
        <v>20</v>
      </c>
      <c r="L32" s="442"/>
      <c r="M32" s="350"/>
    </row>
    <row r="33" spans="1:13" ht="14.25" x14ac:dyDescent="0.2">
      <c r="A33" s="340"/>
      <c r="B33" s="373"/>
      <c r="C33" s="373"/>
      <c r="D33" s="31" t="s">
        <v>384</v>
      </c>
      <c r="E33" s="7">
        <v>62</v>
      </c>
      <c r="F33" s="8" t="s">
        <v>17</v>
      </c>
      <c r="G33" s="8" t="s">
        <v>17</v>
      </c>
      <c r="H33" s="8">
        <f>146168*117/100</f>
        <v>171016.56</v>
      </c>
      <c r="I33" s="8">
        <f t="shared" ref="I33:I34" si="0">H33</f>
        <v>171016.56</v>
      </c>
      <c r="J33" s="31"/>
      <c r="K33" s="413"/>
      <c r="L33" s="442"/>
      <c r="M33" s="378"/>
    </row>
    <row r="34" spans="1:13" ht="38.25" x14ac:dyDescent="0.2">
      <c r="A34" s="340"/>
      <c r="B34" s="373"/>
      <c r="C34" s="373"/>
      <c r="D34" s="31" t="s">
        <v>385</v>
      </c>
      <c r="E34" s="7">
        <v>56</v>
      </c>
      <c r="F34" s="8" t="s">
        <v>17</v>
      </c>
      <c r="G34" s="8" t="s">
        <v>17</v>
      </c>
      <c r="H34" s="8">
        <f>176000*117/100</f>
        <v>205920</v>
      </c>
      <c r="I34" s="8">
        <f t="shared" si="0"/>
        <v>205920</v>
      </c>
      <c r="J34" s="31"/>
      <c r="K34" s="413"/>
      <c r="L34" s="442"/>
      <c r="M34" s="378"/>
    </row>
    <row r="35" spans="1:13" ht="14.25" x14ac:dyDescent="0.2">
      <c r="A35" s="336"/>
      <c r="B35" s="337" t="s">
        <v>386</v>
      </c>
      <c r="C35" s="338"/>
      <c r="D35" s="338"/>
      <c r="E35" s="338"/>
      <c r="F35" s="338"/>
      <c r="G35" s="338"/>
      <c r="H35" s="338"/>
      <c r="I35" s="338"/>
      <c r="J35" s="338"/>
      <c r="K35" s="338"/>
      <c r="L35" s="338"/>
      <c r="M35" s="339"/>
    </row>
    <row r="36" spans="1:13" ht="15.75" x14ac:dyDescent="0.2">
      <c r="A36" s="332" t="s">
        <v>387</v>
      </c>
      <c r="B36" s="333"/>
      <c r="C36" s="333"/>
      <c r="D36" s="333"/>
      <c r="E36" s="333"/>
      <c r="F36" s="333"/>
      <c r="G36" s="333"/>
      <c r="H36" s="333"/>
      <c r="I36" s="333"/>
      <c r="J36" s="333"/>
      <c r="K36" s="333"/>
      <c r="L36" s="333"/>
      <c r="M36" s="334"/>
    </row>
    <row r="37" spans="1:13" ht="25.5" x14ac:dyDescent="0.2">
      <c r="A37" s="335">
        <v>10</v>
      </c>
      <c r="B37" s="342" t="s">
        <v>388</v>
      </c>
      <c r="C37" s="342" t="s">
        <v>52</v>
      </c>
      <c r="D37" s="16" t="s">
        <v>389</v>
      </c>
      <c r="E37" s="17">
        <v>100</v>
      </c>
      <c r="F37" s="18" t="s">
        <v>17</v>
      </c>
      <c r="G37" s="18" t="s">
        <v>17</v>
      </c>
      <c r="H37" s="18">
        <f>33000*117/100</f>
        <v>38610</v>
      </c>
      <c r="I37" s="18">
        <f>H37</f>
        <v>38610</v>
      </c>
      <c r="J37" s="16" t="s">
        <v>14</v>
      </c>
      <c r="K37" s="412" t="s">
        <v>20</v>
      </c>
      <c r="L37" s="442"/>
      <c r="M37" s="350"/>
    </row>
    <row r="38" spans="1:13" ht="14.25" x14ac:dyDescent="0.2">
      <c r="A38" s="340"/>
      <c r="B38" s="373"/>
      <c r="C38" s="373"/>
      <c r="D38" s="31" t="s">
        <v>372</v>
      </c>
      <c r="E38" s="7">
        <v>75</v>
      </c>
      <c r="F38" s="8" t="s">
        <v>17</v>
      </c>
      <c r="G38" s="8" t="s">
        <v>17</v>
      </c>
      <c r="H38" s="8">
        <f>52000*117/100</f>
        <v>60840</v>
      </c>
      <c r="I38" s="8">
        <f t="shared" ref="I38:I40" si="1">H38</f>
        <v>60840</v>
      </c>
      <c r="J38" s="31"/>
      <c r="K38" s="413"/>
      <c r="L38" s="442"/>
      <c r="M38" s="378"/>
    </row>
    <row r="39" spans="1:13" ht="14.25" x14ac:dyDescent="0.2">
      <c r="A39" s="340"/>
      <c r="B39" s="373"/>
      <c r="C39" s="373"/>
      <c r="D39" s="31" t="s">
        <v>390</v>
      </c>
      <c r="E39" s="7">
        <v>74</v>
      </c>
      <c r="F39" s="8" t="s">
        <v>17</v>
      </c>
      <c r="G39" s="8" t="s">
        <v>17</v>
      </c>
      <c r="H39" s="8">
        <f>53000*117/100</f>
        <v>62010</v>
      </c>
      <c r="I39" s="8">
        <f t="shared" si="1"/>
        <v>62010</v>
      </c>
      <c r="J39" s="31"/>
      <c r="K39" s="413"/>
      <c r="L39" s="442"/>
      <c r="M39" s="378"/>
    </row>
    <row r="40" spans="1:13" ht="38.25" x14ac:dyDescent="0.2">
      <c r="A40" s="340"/>
      <c r="B40" s="373"/>
      <c r="C40" s="373"/>
      <c r="D40" s="31" t="s">
        <v>391</v>
      </c>
      <c r="E40" s="7">
        <v>54</v>
      </c>
      <c r="F40" s="8" t="s">
        <v>17</v>
      </c>
      <c r="G40" s="8" t="s">
        <v>17</v>
      </c>
      <c r="H40" s="8">
        <f>97805*117/100</f>
        <v>114431.85</v>
      </c>
      <c r="I40" s="8">
        <f t="shared" si="1"/>
        <v>114431.85</v>
      </c>
      <c r="J40" s="31"/>
      <c r="K40" s="413"/>
      <c r="L40" s="442"/>
      <c r="M40" s="378"/>
    </row>
    <row r="41" spans="1:13" ht="14.25" x14ac:dyDescent="0.2">
      <c r="A41" s="336"/>
      <c r="B41" s="337"/>
      <c r="C41" s="338"/>
      <c r="D41" s="338"/>
      <c r="E41" s="338"/>
      <c r="F41" s="338"/>
      <c r="G41" s="338"/>
      <c r="H41" s="338"/>
      <c r="I41" s="338"/>
      <c r="J41" s="338"/>
      <c r="K41" s="338"/>
      <c r="L41" s="338"/>
      <c r="M41" s="339"/>
    </row>
    <row r="42" spans="1:13" ht="15.75" x14ac:dyDescent="0.2">
      <c r="A42" s="332" t="s">
        <v>392</v>
      </c>
      <c r="B42" s="333"/>
      <c r="C42" s="333"/>
      <c r="D42" s="333"/>
      <c r="E42" s="333"/>
      <c r="F42" s="333"/>
      <c r="G42" s="333"/>
      <c r="H42" s="333"/>
      <c r="I42" s="333"/>
      <c r="J42" s="333"/>
      <c r="K42" s="333"/>
      <c r="L42" s="333"/>
      <c r="M42" s="334"/>
    </row>
    <row r="43" spans="1:13" ht="76.5" x14ac:dyDescent="0.2">
      <c r="A43" s="335">
        <v>11</v>
      </c>
      <c r="B43" s="342" t="s">
        <v>393</v>
      </c>
      <c r="C43" s="342" t="s">
        <v>52</v>
      </c>
      <c r="D43" s="16" t="s">
        <v>394</v>
      </c>
      <c r="E43" s="17">
        <v>100</v>
      </c>
      <c r="F43" s="18" t="s">
        <v>17</v>
      </c>
      <c r="G43" s="18" t="s">
        <v>17</v>
      </c>
      <c r="H43" s="18">
        <f>95000*117/100</f>
        <v>111150</v>
      </c>
      <c r="I43" s="18">
        <f>H43</f>
        <v>111150</v>
      </c>
      <c r="J43" s="16"/>
      <c r="K43" s="412" t="s">
        <v>20</v>
      </c>
      <c r="L43" s="442"/>
      <c r="M43" s="350"/>
    </row>
    <row r="44" spans="1:13" ht="25.5" x14ac:dyDescent="0.2">
      <c r="A44" s="340"/>
      <c r="B44" s="373"/>
      <c r="C44" s="373"/>
      <c r="D44" s="31" t="s">
        <v>395</v>
      </c>
      <c r="E44" s="7">
        <v>76</v>
      </c>
      <c r="F44" s="8" t="s">
        <v>17</v>
      </c>
      <c r="G44" s="8" t="s">
        <v>17</v>
      </c>
      <c r="H44" s="8">
        <f>144355*117/100</f>
        <v>168895.35</v>
      </c>
      <c r="I44" s="8">
        <f t="shared" ref="I44:I46" si="2">H44</f>
        <v>168895.35</v>
      </c>
      <c r="J44" s="31"/>
      <c r="K44" s="413"/>
      <c r="L44" s="442"/>
      <c r="M44" s="378"/>
    </row>
    <row r="45" spans="1:13" ht="14.25" x14ac:dyDescent="0.2">
      <c r="A45" s="340"/>
      <c r="B45" s="373"/>
      <c r="C45" s="373"/>
      <c r="D45" s="31" t="s">
        <v>73</v>
      </c>
      <c r="E45" s="7">
        <v>73</v>
      </c>
      <c r="F45" s="8" t="s">
        <v>17</v>
      </c>
      <c r="G45" s="8" t="s">
        <v>17</v>
      </c>
      <c r="H45" s="8">
        <f>154000*117/100</f>
        <v>180180</v>
      </c>
      <c r="I45" s="8">
        <f t="shared" si="2"/>
        <v>180180</v>
      </c>
      <c r="J45" s="31"/>
      <c r="K45" s="413"/>
      <c r="L45" s="442"/>
      <c r="M45" s="378"/>
    </row>
    <row r="46" spans="1:13" ht="14.25" x14ac:dyDescent="0.2">
      <c r="A46" s="340"/>
      <c r="B46" s="373"/>
      <c r="C46" s="373"/>
      <c r="D46" s="31" t="s">
        <v>396</v>
      </c>
      <c r="E46" s="7">
        <v>54</v>
      </c>
      <c r="F46" s="8" t="s">
        <v>17</v>
      </c>
      <c r="G46" s="8" t="s">
        <v>17</v>
      </c>
      <c r="H46" s="8">
        <f>213000*117/100</f>
        <v>249210</v>
      </c>
      <c r="I46" s="8">
        <f t="shared" si="2"/>
        <v>249210</v>
      </c>
      <c r="J46" s="31"/>
      <c r="K46" s="413"/>
      <c r="L46" s="442"/>
      <c r="M46" s="378"/>
    </row>
    <row r="47" spans="1:13" ht="14.25" x14ac:dyDescent="0.2">
      <c r="A47" s="336"/>
      <c r="B47" s="337"/>
      <c r="C47" s="338"/>
      <c r="D47" s="338"/>
      <c r="E47" s="338"/>
      <c r="F47" s="338"/>
      <c r="G47" s="338"/>
      <c r="H47" s="338"/>
      <c r="I47" s="338"/>
      <c r="J47" s="338"/>
      <c r="K47" s="338"/>
      <c r="L47" s="338"/>
      <c r="M47" s="339"/>
    </row>
    <row r="48" spans="1:13" ht="15.75" x14ac:dyDescent="0.2">
      <c r="A48" s="332" t="s">
        <v>397</v>
      </c>
      <c r="B48" s="333"/>
      <c r="C48" s="333"/>
      <c r="D48" s="333"/>
      <c r="E48" s="333"/>
      <c r="F48" s="333"/>
      <c r="G48" s="333"/>
      <c r="H48" s="333"/>
      <c r="I48" s="333"/>
      <c r="J48" s="333"/>
      <c r="K48" s="333"/>
      <c r="L48" s="333"/>
      <c r="M48" s="334"/>
    </row>
    <row r="49" spans="1:13" ht="76.5" x14ac:dyDescent="0.2">
      <c r="A49" s="335">
        <v>12</v>
      </c>
      <c r="B49" s="342" t="s">
        <v>398</v>
      </c>
      <c r="C49" s="342" t="s">
        <v>52</v>
      </c>
      <c r="D49" s="16" t="s">
        <v>394</v>
      </c>
      <c r="E49" s="17">
        <v>100</v>
      </c>
      <c r="F49" s="18" t="s">
        <v>17</v>
      </c>
      <c r="G49" s="18" t="s">
        <v>17</v>
      </c>
      <c r="H49" s="18">
        <f>65000*117/100</f>
        <v>76050</v>
      </c>
      <c r="I49" s="18">
        <f>H49</f>
        <v>76050</v>
      </c>
      <c r="J49" s="16"/>
      <c r="K49" s="412" t="s">
        <v>20</v>
      </c>
      <c r="L49" s="442"/>
      <c r="M49" s="350"/>
    </row>
    <row r="50" spans="1:13" ht="25.5" x14ac:dyDescent="0.2">
      <c r="A50" s="340"/>
      <c r="B50" s="373"/>
      <c r="C50" s="373"/>
      <c r="D50" s="31" t="s">
        <v>395</v>
      </c>
      <c r="E50" s="7">
        <v>76</v>
      </c>
      <c r="F50" s="8" t="s">
        <v>17</v>
      </c>
      <c r="G50" s="8" t="s">
        <v>17</v>
      </c>
      <c r="H50" s="8">
        <f>73986*117/100</f>
        <v>86563.62</v>
      </c>
      <c r="I50" s="8">
        <f t="shared" ref="I50:I52" si="3">H50</f>
        <v>86563.62</v>
      </c>
      <c r="J50" s="31"/>
      <c r="K50" s="413"/>
      <c r="L50" s="442"/>
      <c r="M50" s="378"/>
    </row>
    <row r="51" spans="1:13" ht="14.25" x14ac:dyDescent="0.2">
      <c r="A51" s="340"/>
      <c r="B51" s="373"/>
      <c r="C51" s="373"/>
      <c r="D51" s="31" t="s">
        <v>73</v>
      </c>
      <c r="E51" s="7">
        <v>73</v>
      </c>
      <c r="F51" s="8" t="s">
        <v>17</v>
      </c>
      <c r="G51" s="8" t="s">
        <v>17</v>
      </c>
      <c r="H51" s="8">
        <f>105000*117/100</f>
        <v>122850</v>
      </c>
      <c r="I51" s="8">
        <f t="shared" si="3"/>
        <v>122850</v>
      </c>
      <c r="J51" s="31"/>
      <c r="K51" s="413"/>
      <c r="L51" s="442"/>
      <c r="M51" s="378"/>
    </row>
    <row r="52" spans="1:13" ht="14.25" x14ac:dyDescent="0.2">
      <c r="A52" s="340"/>
      <c r="B52" s="373"/>
      <c r="C52" s="373"/>
      <c r="D52" s="31" t="s">
        <v>396</v>
      </c>
      <c r="E52" s="7">
        <v>54</v>
      </c>
      <c r="F52" s="8" t="s">
        <v>17</v>
      </c>
      <c r="G52" s="8" t="s">
        <v>17</v>
      </c>
      <c r="H52" s="8">
        <f>126000*117/100</f>
        <v>147420</v>
      </c>
      <c r="I52" s="8">
        <f t="shared" si="3"/>
        <v>147420</v>
      </c>
      <c r="J52" s="31"/>
      <c r="K52" s="413"/>
      <c r="L52" s="442"/>
      <c r="M52" s="378"/>
    </row>
    <row r="53" spans="1:13" ht="14.25" x14ac:dyDescent="0.2">
      <c r="A53" s="336"/>
      <c r="B53" s="337"/>
      <c r="C53" s="338"/>
      <c r="D53" s="338"/>
      <c r="E53" s="338"/>
      <c r="F53" s="338"/>
      <c r="G53" s="338"/>
      <c r="H53" s="338"/>
      <c r="I53" s="338"/>
      <c r="J53" s="338"/>
      <c r="K53" s="338"/>
      <c r="L53" s="338"/>
      <c r="M53" s="339"/>
    </row>
    <row r="54" spans="1:13" ht="15.75" x14ac:dyDescent="0.2">
      <c r="A54" s="332" t="s">
        <v>399</v>
      </c>
      <c r="B54" s="333"/>
      <c r="C54" s="333"/>
      <c r="D54" s="333"/>
      <c r="E54" s="333"/>
      <c r="F54" s="333"/>
      <c r="G54" s="333"/>
      <c r="H54" s="333"/>
      <c r="I54" s="333"/>
      <c r="J54" s="333"/>
      <c r="K54" s="333"/>
      <c r="L54" s="333"/>
      <c r="M54" s="334"/>
    </row>
    <row r="55" spans="1:13" ht="25.5" x14ac:dyDescent="0.2">
      <c r="A55" s="335">
        <v>13</v>
      </c>
      <c r="B55" s="342" t="s">
        <v>400</v>
      </c>
      <c r="C55" s="342" t="s">
        <v>52</v>
      </c>
      <c r="D55" s="16" t="s">
        <v>401</v>
      </c>
      <c r="E55" s="17">
        <v>100</v>
      </c>
      <c r="F55" s="18" t="s">
        <v>17</v>
      </c>
      <c r="G55" s="18" t="s">
        <v>17</v>
      </c>
      <c r="H55" s="18">
        <f>25900*117/100</f>
        <v>30303</v>
      </c>
      <c r="I55" s="18">
        <f>H55</f>
        <v>30303</v>
      </c>
      <c r="J55" s="16"/>
      <c r="K55" s="412" t="s">
        <v>20</v>
      </c>
      <c r="L55" s="442"/>
      <c r="M55" s="350"/>
    </row>
    <row r="56" spans="1:13" ht="25.5" x14ac:dyDescent="0.2">
      <c r="A56" s="340"/>
      <c r="B56" s="373"/>
      <c r="C56" s="373"/>
      <c r="D56" s="31" t="s">
        <v>402</v>
      </c>
      <c r="E56" s="7">
        <v>82</v>
      </c>
      <c r="F56" s="8" t="s">
        <v>17</v>
      </c>
      <c r="G56" s="8" t="s">
        <v>17</v>
      </c>
      <c r="H56" s="8">
        <f>35000*117/100</f>
        <v>40950</v>
      </c>
      <c r="I56" s="8">
        <f t="shared" ref="I56:I58" si="4">H56</f>
        <v>40950</v>
      </c>
      <c r="J56" s="31" t="s">
        <v>14</v>
      </c>
      <c r="K56" s="413"/>
      <c r="L56" s="442"/>
      <c r="M56" s="378"/>
    </row>
    <row r="57" spans="1:13" ht="25.5" x14ac:dyDescent="0.2">
      <c r="A57" s="340"/>
      <c r="B57" s="373"/>
      <c r="C57" s="373"/>
      <c r="D57" s="31" t="s">
        <v>81</v>
      </c>
      <c r="E57" s="7">
        <v>75</v>
      </c>
      <c r="F57" s="8" t="s">
        <v>17</v>
      </c>
      <c r="G57" s="8" t="s">
        <v>17</v>
      </c>
      <c r="H57" s="8">
        <f>40365*117/100</f>
        <v>47227.05</v>
      </c>
      <c r="I57" s="8">
        <f t="shared" si="4"/>
        <v>47227.05</v>
      </c>
      <c r="J57" s="31" t="s">
        <v>14</v>
      </c>
      <c r="K57" s="413"/>
      <c r="L57" s="442"/>
      <c r="M57" s="378"/>
    </row>
    <row r="58" spans="1:13" ht="13.9" customHeight="1" x14ac:dyDescent="0.2">
      <c r="A58" s="340"/>
      <c r="B58" s="373"/>
      <c r="C58" s="373"/>
      <c r="D58" s="31" t="s">
        <v>403</v>
      </c>
      <c r="E58" s="7">
        <v>56</v>
      </c>
      <c r="F58" s="8" t="s">
        <v>17</v>
      </c>
      <c r="G58" s="8" t="s">
        <v>17</v>
      </c>
      <c r="H58" s="8">
        <f>69000*117/100</f>
        <v>80730</v>
      </c>
      <c r="I58" s="8">
        <f t="shared" si="4"/>
        <v>80730</v>
      </c>
      <c r="J58" s="31"/>
      <c r="K58" s="413"/>
      <c r="L58" s="442"/>
      <c r="M58" s="378"/>
    </row>
    <row r="59" spans="1:13" ht="14.25" x14ac:dyDescent="0.2">
      <c r="A59" s="336"/>
      <c r="B59" s="337"/>
      <c r="C59" s="338"/>
      <c r="D59" s="338"/>
      <c r="E59" s="338"/>
      <c r="F59" s="338"/>
      <c r="G59" s="338"/>
      <c r="H59" s="338"/>
      <c r="I59" s="338"/>
      <c r="J59" s="338"/>
      <c r="K59" s="338"/>
      <c r="L59" s="338"/>
      <c r="M59" s="339"/>
    </row>
    <row r="60" spans="1:13" ht="15.75" x14ac:dyDescent="0.2">
      <c r="A60" s="332" t="s">
        <v>404</v>
      </c>
      <c r="B60" s="333"/>
      <c r="C60" s="333"/>
      <c r="D60" s="333"/>
      <c r="E60" s="333"/>
      <c r="F60" s="333"/>
      <c r="G60" s="333"/>
      <c r="H60" s="333"/>
      <c r="I60" s="333"/>
      <c r="J60" s="333"/>
      <c r="K60" s="333"/>
      <c r="L60" s="333"/>
      <c r="M60" s="334"/>
    </row>
    <row r="61" spans="1:13" ht="25.5" x14ac:dyDescent="0.2">
      <c r="A61" s="335">
        <v>14</v>
      </c>
      <c r="B61" s="342" t="s">
        <v>405</v>
      </c>
      <c r="C61" s="342" t="s">
        <v>52</v>
      </c>
      <c r="D61" s="16" t="s">
        <v>81</v>
      </c>
      <c r="E61" s="17">
        <v>100</v>
      </c>
      <c r="F61" s="18" t="s">
        <v>17</v>
      </c>
      <c r="G61" s="18" t="s">
        <v>17</v>
      </c>
      <c r="H61" s="18">
        <f>14625*117/100</f>
        <v>17111.25</v>
      </c>
      <c r="I61" s="18">
        <f>H61</f>
        <v>17111.25</v>
      </c>
      <c r="J61" s="16" t="s">
        <v>14</v>
      </c>
      <c r="K61" s="412" t="s">
        <v>20</v>
      </c>
      <c r="L61" s="442"/>
      <c r="M61" s="350"/>
    </row>
    <row r="62" spans="1:13" ht="25.5" x14ac:dyDescent="0.2">
      <c r="A62" s="340"/>
      <c r="B62" s="373"/>
      <c r="C62" s="373"/>
      <c r="D62" s="31" t="s">
        <v>402</v>
      </c>
      <c r="E62" s="7">
        <v>82</v>
      </c>
      <c r="F62" s="8" t="s">
        <v>17</v>
      </c>
      <c r="G62" s="8" t="s">
        <v>17</v>
      </c>
      <c r="H62" s="8">
        <f>35000*117/100</f>
        <v>40950</v>
      </c>
      <c r="I62" s="8">
        <f t="shared" ref="I62:I64" si="5">H62</f>
        <v>40950</v>
      </c>
      <c r="J62" s="31" t="s">
        <v>14</v>
      </c>
      <c r="K62" s="413"/>
      <c r="L62" s="442"/>
      <c r="M62" s="378"/>
    </row>
    <row r="63" spans="1:13" ht="25.5" x14ac:dyDescent="0.2">
      <c r="A63" s="340"/>
      <c r="B63" s="373"/>
      <c r="C63" s="373"/>
      <c r="D63" s="31" t="s">
        <v>401</v>
      </c>
      <c r="F63" s="8" t="s">
        <v>17</v>
      </c>
      <c r="G63" s="8" t="s">
        <v>17</v>
      </c>
      <c r="H63" s="8">
        <f>40365*117/100</f>
        <v>47227.05</v>
      </c>
      <c r="I63" s="8">
        <f t="shared" si="5"/>
        <v>47227.05</v>
      </c>
      <c r="J63" s="31"/>
      <c r="K63" s="413"/>
      <c r="L63" s="442"/>
      <c r="M63" s="378"/>
    </row>
    <row r="64" spans="1:13" ht="14.25" x14ac:dyDescent="0.2">
      <c r="A64" s="340"/>
      <c r="B64" s="373"/>
      <c r="C64" s="373"/>
      <c r="D64" s="31" t="s">
        <v>403</v>
      </c>
      <c r="E64" s="7">
        <v>56</v>
      </c>
      <c r="F64" s="8" t="s">
        <v>17</v>
      </c>
      <c r="G64" s="8" t="s">
        <v>17</v>
      </c>
      <c r="H64" s="8">
        <f>69000*117/100</f>
        <v>80730</v>
      </c>
      <c r="I64" s="8">
        <f t="shared" si="5"/>
        <v>80730</v>
      </c>
      <c r="J64" s="31"/>
      <c r="K64" s="413"/>
      <c r="L64" s="442"/>
      <c r="M64" s="378"/>
    </row>
    <row r="65" spans="1:13" ht="14.25" x14ac:dyDescent="0.2">
      <c r="A65" s="336"/>
      <c r="B65" s="337"/>
      <c r="C65" s="338"/>
      <c r="D65" s="338"/>
      <c r="E65" s="338"/>
      <c r="F65" s="338"/>
      <c r="G65" s="338"/>
      <c r="H65" s="338"/>
      <c r="I65" s="338"/>
      <c r="J65" s="338"/>
      <c r="K65" s="338"/>
      <c r="L65" s="338"/>
      <c r="M65" s="339"/>
    </row>
    <row r="66" spans="1:13" x14ac:dyDescent="0.2">
      <c r="B66" s="9" t="s">
        <v>234</v>
      </c>
    </row>
    <row r="67" spans="1:13" x14ac:dyDescent="0.2">
      <c r="B67" s="28"/>
    </row>
  </sheetData>
  <mergeCells count="78">
    <mergeCell ref="A1:A6"/>
    <mergeCell ref="B1:M1"/>
    <mergeCell ref="B2:M2"/>
    <mergeCell ref="B3:M3"/>
    <mergeCell ref="B4:M4"/>
    <mergeCell ref="B5:M5"/>
    <mergeCell ref="A7:M7"/>
    <mergeCell ref="A8:A9"/>
    <mergeCell ref="B9:M9"/>
    <mergeCell ref="A10:M10"/>
    <mergeCell ref="A11:A12"/>
    <mergeCell ref="B12:M12"/>
    <mergeCell ref="A13:M13"/>
    <mergeCell ref="A14:A15"/>
    <mergeCell ref="B15:M15"/>
    <mergeCell ref="A16:M16"/>
    <mergeCell ref="A17:A18"/>
    <mergeCell ref="B18:M18"/>
    <mergeCell ref="A19:M19"/>
    <mergeCell ref="A20:A21"/>
    <mergeCell ref="B21:M21"/>
    <mergeCell ref="A22:M22"/>
    <mergeCell ref="A23:A24"/>
    <mergeCell ref="B24:M24"/>
    <mergeCell ref="A25:M25"/>
    <mergeCell ref="A26:A27"/>
    <mergeCell ref="B27:M27"/>
    <mergeCell ref="A28:M28"/>
    <mergeCell ref="A29:A30"/>
    <mergeCell ref="B30:M30"/>
    <mergeCell ref="A31:M31"/>
    <mergeCell ref="A32:A35"/>
    <mergeCell ref="B32:B34"/>
    <mergeCell ref="C32:C34"/>
    <mergeCell ref="K32:K34"/>
    <mergeCell ref="L32:L34"/>
    <mergeCell ref="M32:M34"/>
    <mergeCell ref="B35:M35"/>
    <mergeCell ref="A36:M36"/>
    <mergeCell ref="A37:A41"/>
    <mergeCell ref="B37:B40"/>
    <mergeCell ref="C37:C40"/>
    <mergeCell ref="K37:K40"/>
    <mergeCell ref="L37:L40"/>
    <mergeCell ref="M37:M40"/>
    <mergeCell ref="B41:M41"/>
    <mergeCell ref="A42:M42"/>
    <mergeCell ref="A43:A47"/>
    <mergeCell ref="B43:B46"/>
    <mergeCell ref="C43:C46"/>
    <mergeCell ref="K43:K46"/>
    <mergeCell ref="L43:L46"/>
    <mergeCell ref="M43:M46"/>
    <mergeCell ref="B47:M47"/>
    <mergeCell ref="A48:M48"/>
    <mergeCell ref="A49:A53"/>
    <mergeCell ref="B49:B52"/>
    <mergeCell ref="C49:C52"/>
    <mergeCell ref="K49:K52"/>
    <mergeCell ref="L49:L52"/>
    <mergeCell ref="M49:M52"/>
    <mergeCell ref="B53:M53"/>
    <mergeCell ref="A54:M54"/>
    <mergeCell ref="A55:A59"/>
    <mergeCell ref="B55:B58"/>
    <mergeCell ref="C55:C58"/>
    <mergeCell ref="K55:K58"/>
    <mergeCell ref="L55:L58"/>
    <mergeCell ref="M55:M58"/>
    <mergeCell ref="B59:M59"/>
    <mergeCell ref="A60:M60"/>
    <mergeCell ref="A61:A65"/>
    <mergeCell ref="B61:B64"/>
    <mergeCell ref="C61:C64"/>
    <mergeCell ref="K61:K64"/>
    <mergeCell ref="L61:L64"/>
    <mergeCell ref="M61:M64"/>
    <mergeCell ref="B65:M65"/>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M22"/>
  <sheetViews>
    <sheetView rightToLeft="1" topLeftCell="A13" zoomScaleNormal="100" workbookViewId="0">
      <selection activeCell="A22" sqref="A22:XFD22"/>
    </sheetView>
  </sheetViews>
  <sheetFormatPr defaultColWidth="8.75" defaultRowHeight="15" x14ac:dyDescent="0.2"/>
  <cols>
    <col min="1" max="1" width="4.25" customWidth="1"/>
    <col min="2" max="2" width="21.125" style="9" bestFit="1" customWidth="1"/>
    <col min="4" max="4" width="7.25" customWidth="1"/>
    <col min="5" max="5" width="7.75" customWidth="1"/>
    <col min="6" max="6" width="10.25" bestFit="1" customWidth="1"/>
    <col min="7" max="7" width="12.125" style="10" bestFit="1" customWidth="1"/>
    <col min="8" max="8" width="13.625" style="11" bestFit="1" customWidth="1"/>
    <col min="9" max="9" width="14.625" style="11" bestFit="1" customWidth="1"/>
    <col min="10" max="10" width="9" customWidth="1"/>
    <col min="11" max="11" width="23.625" style="12" customWidth="1"/>
    <col min="12" max="12" width="13.5" style="13" customWidth="1"/>
    <col min="13" max="13" width="16.5" style="14" customWidth="1"/>
  </cols>
  <sheetData>
    <row r="1" spans="1:13" ht="20.25" x14ac:dyDescent="0.2">
      <c r="A1" s="354"/>
      <c r="B1" s="355" t="s">
        <v>271</v>
      </c>
      <c r="C1" s="355"/>
      <c r="D1" s="355"/>
      <c r="E1" s="355"/>
      <c r="F1" s="355"/>
      <c r="G1" s="355"/>
      <c r="H1" s="355"/>
      <c r="I1" s="355"/>
      <c r="J1" s="355"/>
      <c r="K1" s="355"/>
      <c r="L1" s="355"/>
      <c r="M1" s="355"/>
    </row>
    <row r="2" spans="1:13" ht="14.25" x14ac:dyDescent="0.2">
      <c r="A2" s="354"/>
      <c r="B2" s="356" t="s">
        <v>198</v>
      </c>
      <c r="C2" s="356"/>
      <c r="D2" s="356"/>
      <c r="E2" s="356"/>
      <c r="F2" s="356"/>
      <c r="G2" s="356"/>
      <c r="H2" s="356"/>
      <c r="I2" s="356"/>
      <c r="J2" s="356"/>
      <c r="K2" s="356"/>
      <c r="L2" s="356"/>
      <c r="M2" s="356"/>
    </row>
    <row r="3" spans="1:13" ht="15.75" x14ac:dyDescent="0.2">
      <c r="A3" s="354"/>
      <c r="B3" s="357" t="s">
        <v>269</v>
      </c>
      <c r="C3" s="357"/>
      <c r="D3" s="357"/>
      <c r="E3" s="357"/>
      <c r="F3" s="357"/>
      <c r="G3" s="357"/>
      <c r="H3" s="357"/>
      <c r="I3" s="357"/>
      <c r="J3" s="357"/>
      <c r="K3" s="357"/>
      <c r="L3" s="357"/>
      <c r="M3" s="357"/>
    </row>
    <row r="4" spans="1:13" ht="14.25" x14ac:dyDescent="0.2">
      <c r="A4" s="354"/>
      <c r="B4" s="358" t="s">
        <v>71</v>
      </c>
      <c r="C4" s="358"/>
      <c r="D4" s="358"/>
      <c r="E4" s="358"/>
      <c r="F4" s="358"/>
      <c r="G4" s="358"/>
      <c r="H4" s="358"/>
      <c r="I4" s="358"/>
      <c r="J4" s="358"/>
      <c r="K4" s="358"/>
      <c r="L4" s="358"/>
      <c r="M4" s="358"/>
    </row>
    <row r="5" spans="1:13" ht="14.25" x14ac:dyDescent="0.2">
      <c r="A5" s="354"/>
      <c r="B5" s="358" t="s">
        <v>70</v>
      </c>
      <c r="C5" s="358"/>
      <c r="D5" s="358"/>
      <c r="E5" s="358"/>
      <c r="F5" s="358"/>
      <c r="G5" s="358"/>
      <c r="H5" s="358"/>
      <c r="I5" s="358"/>
      <c r="J5" s="358"/>
      <c r="K5" s="358"/>
      <c r="L5" s="358"/>
      <c r="M5" s="358"/>
    </row>
    <row r="6" spans="1:13" ht="47.25" x14ac:dyDescent="0.2">
      <c r="A6" s="354"/>
      <c r="B6" s="1" t="s">
        <v>1</v>
      </c>
      <c r="C6" s="2" t="s">
        <v>2</v>
      </c>
      <c r="D6" s="3" t="s">
        <v>3</v>
      </c>
      <c r="E6" s="3" t="s">
        <v>4</v>
      </c>
      <c r="F6" s="3" t="s">
        <v>5</v>
      </c>
      <c r="G6" s="3" t="s">
        <v>6</v>
      </c>
      <c r="H6" s="4" t="s">
        <v>7</v>
      </c>
      <c r="I6" s="5" t="s">
        <v>8</v>
      </c>
      <c r="J6" s="3" t="s">
        <v>9</v>
      </c>
      <c r="K6" s="3" t="s">
        <v>10</v>
      </c>
      <c r="L6" s="6" t="s">
        <v>11</v>
      </c>
      <c r="M6" s="3" t="s">
        <v>12</v>
      </c>
    </row>
    <row r="7" spans="1:13" ht="15.75" x14ac:dyDescent="0.2">
      <c r="A7" s="332" t="s">
        <v>273</v>
      </c>
      <c r="B7" s="333"/>
      <c r="C7" s="333"/>
      <c r="D7" s="333"/>
      <c r="E7" s="333"/>
      <c r="F7" s="333"/>
      <c r="G7" s="333"/>
      <c r="H7" s="333"/>
      <c r="I7" s="333"/>
      <c r="J7" s="333"/>
      <c r="K7" s="333"/>
      <c r="L7" s="333"/>
      <c r="M7" s="334"/>
    </row>
    <row r="8" spans="1:13" ht="36" x14ac:dyDescent="0.2">
      <c r="A8" s="335">
        <v>1</v>
      </c>
      <c r="B8" s="59" t="s">
        <v>266</v>
      </c>
      <c r="C8" s="30" t="s">
        <v>267</v>
      </c>
      <c r="D8" s="19" t="s">
        <v>268</v>
      </c>
      <c r="E8" s="20">
        <v>100</v>
      </c>
      <c r="F8" s="21" t="s">
        <v>13</v>
      </c>
      <c r="G8" s="21" t="s">
        <v>270</v>
      </c>
      <c r="H8" s="21">
        <f>189*117/100</f>
        <v>221.13</v>
      </c>
      <c r="I8" s="21">
        <f>H8*10</f>
        <v>2211.3000000000002</v>
      </c>
      <c r="J8" s="19" t="s">
        <v>14</v>
      </c>
      <c r="K8" s="60" t="s">
        <v>45</v>
      </c>
      <c r="L8" s="61" t="s">
        <v>22</v>
      </c>
      <c r="M8" s="62"/>
    </row>
    <row r="9" spans="1:13" ht="14.25" x14ac:dyDescent="0.2">
      <c r="A9" s="336"/>
      <c r="B9" s="337" t="s">
        <v>272</v>
      </c>
      <c r="C9" s="338"/>
      <c r="D9" s="338"/>
      <c r="E9" s="338"/>
      <c r="F9" s="338"/>
      <c r="G9" s="338"/>
      <c r="H9" s="338"/>
      <c r="I9" s="338"/>
      <c r="J9" s="338"/>
      <c r="K9" s="338"/>
      <c r="L9" s="338"/>
      <c r="M9" s="339"/>
    </row>
    <row r="10" spans="1:13" ht="15.75" x14ac:dyDescent="0.2">
      <c r="A10" s="332" t="s">
        <v>274</v>
      </c>
      <c r="B10" s="333"/>
      <c r="C10" s="333"/>
      <c r="D10" s="333"/>
      <c r="E10" s="333"/>
      <c r="F10" s="333"/>
      <c r="G10" s="333"/>
      <c r="H10" s="333"/>
      <c r="I10" s="333"/>
      <c r="J10" s="333"/>
      <c r="K10" s="333"/>
      <c r="L10" s="333"/>
      <c r="M10" s="334"/>
    </row>
    <row r="11" spans="1:13" ht="25.5" x14ac:dyDescent="0.2">
      <c r="A11" s="335">
        <v>2</v>
      </c>
      <c r="B11" s="342" t="s">
        <v>56</v>
      </c>
      <c r="C11" s="342" t="s">
        <v>275</v>
      </c>
      <c r="D11" s="16" t="s">
        <v>276</v>
      </c>
      <c r="E11" s="17">
        <v>100</v>
      </c>
      <c r="F11" s="18" t="s">
        <v>17</v>
      </c>
      <c r="G11" s="18" t="s">
        <v>17</v>
      </c>
      <c r="H11" s="18">
        <f>12200*117/100</f>
        <v>14274</v>
      </c>
      <c r="I11" s="18">
        <f>H11</f>
        <v>14274</v>
      </c>
      <c r="J11" s="16" t="s">
        <v>14</v>
      </c>
      <c r="K11" s="412" t="s">
        <v>20</v>
      </c>
      <c r="L11" s="442" t="s">
        <v>22</v>
      </c>
      <c r="M11" s="350"/>
    </row>
    <row r="12" spans="1:13" ht="25.5" x14ac:dyDescent="0.2">
      <c r="A12" s="340"/>
      <c r="B12" s="373"/>
      <c r="C12" s="373"/>
      <c r="D12" s="31" t="s">
        <v>277</v>
      </c>
      <c r="E12" s="7">
        <v>98</v>
      </c>
      <c r="F12" s="8" t="s">
        <v>17</v>
      </c>
      <c r="G12" s="8" t="s">
        <v>17</v>
      </c>
      <c r="H12" s="8">
        <f>12500*117/100</f>
        <v>14625</v>
      </c>
      <c r="I12" s="8">
        <f t="shared" ref="I12:I13" si="0">H12</f>
        <v>14625</v>
      </c>
      <c r="J12" s="31" t="s">
        <v>14</v>
      </c>
      <c r="K12" s="413"/>
      <c r="L12" s="442"/>
      <c r="M12" s="378"/>
    </row>
    <row r="13" spans="1:13" ht="14.25" x14ac:dyDescent="0.2">
      <c r="A13" s="340"/>
      <c r="B13" s="373"/>
      <c r="C13" s="373"/>
      <c r="D13" s="31" t="s">
        <v>278</v>
      </c>
      <c r="E13" s="7">
        <v>60</v>
      </c>
      <c r="F13" s="8" t="s">
        <v>17</v>
      </c>
      <c r="G13" s="8" t="s">
        <v>17</v>
      </c>
      <c r="H13" s="8">
        <f>28000*117/100</f>
        <v>32760</v>
      </c>
      <c r="I13" s="8">
        <f t="shared" si="0"/>
        <v>32760</v>
      </c>
      <c r="J13" s="31" t="s">
        <v>14</v>
      </c>
      <c r="K13" s="413"/>
      <c r="L13" s="442"/>
      <c r="M13" s="378"/>
    </row>
    <row r="14" spans="1:13" ht="14.25" x14ac:dyDescent="0.2">
      <c r="A14" s="336"/>
      <c r="B14" s="337"/>
      <c r="C14" s="338"/>
      <c r="D14" s="338"/>
      <c r="E14" s="338"/>
      <c r="F14" s="338"/>
      <c r="G14" s="338"/>
      <c r="H14" s="338"/>
      <c r="I14" s="338"/>
      <c r="J14" s="338"/>
      <c r="K14" s="338"/>
      <c r="L14" s="338"/>
      <c r="M14" s="339"/>
    </row>
    <row r="15" spans="1:13" ht="15.75" x14ac:dyDescent="0.2">
      <c r="A15" s="332" t="s">
        <v>279</v>
      </c>
      <c r="B15" s="333"/>
      <c r="C15" s="333"/>
      <c r="D15" s="333"/>
      <c r="E15" s="333"/>
      <c r="F15" s="333"/>
      <c r="G15" s="333"/>
      <c r="H15" s="333"/>
      <c r="I15" s="333"/>
      <c r="J15" s="333"/>
      <c r="K15" s="333"/>
      <c r="L15" s="333"/>
      <c r="M15" s="334"/>
    </row>
    <row r="16" spans="1:13" ht="51" x14ac:dyDescent="0.2">
      <c r="A16" s="335">
        <v>3</v>
      </c>
      <c r="B16" s="342" t="s">
        <v>280</v>
      </c>
      <c r="C16" s="342" t="s">
        <v>281</v>
      </c>
      <c r="D16" s="16" t="s">
        <v>282</v>
      </c>
      <c r="E16" s="17">
        <v>100</v>
      </c>
      <c r="F16" s="18" t="s">
        <v>17</v>
      </c>
      <c r="G16" s="18" t="s">
        <v>17</v>
      </c>
      <c r="H16" s="18">
        <f>26200*117/100</f>
        <v>30654</v>
      </c>
      <c r="I16" s="18">
        <f>H16</f>
        <v>30654</v>
      </c>
      <c r="J16" s="16" t="s">
        <v>14</v>
      </c>
      <c r="K16" s="412" t="s">
        <v>20</v>
      </c>
      <c r="L16" s="442"/>
      <c r="M16" s="350"/>
    </row>
    <row r="17" spans="1:13" ht="14.25" x14ac:dyDescent="0.2">
      <c r="A17" s="340"/>
      <c r="B17" s="373"/>
      <c r="C17" s="373"/>
      <c r="D17" s="31" t="s">
        <v>283</v>
      </c>
      <c r="E17" s="7">
        <f>$H$16/H17*70+30</f>
        <v>80.274122807017534</v>
      </c>
      <c r="F17" s="8" t="s">
        <v>17</v>
      </c>
      <c r="G17" s="8" t="s">
        <v>17</v>
      </c>
      <c r="H17" s="8">
        <f>36480*117/100</f>
        <v>42681.599999999999</v>
      </c>
      <c r="I17" s="8">
        <f t="shared" ref="I17:I19" si="1">H17</f>
        <v>42681.599999999999</v>
      </c>
      <c r="J17" s="31"/>
      <c r="K17" s="413"/>
      <c r="L17" s="442"/>
      <c r="M17" s="378"/>
    </row>
    <row r="18" spans="1:13" ht="25.5" x14ac:dyDescent="0.2">
      <c r="A18" s="340"/>
      <c r="B18" s="373"/>
      <c r="C18" s="373"/>
      <c r="D18" s="31" t="s">
        <v>284</v>
      </c>
      <c r="E18" s="7">
        <f t="shared" ref="E18:E19" si="2">$H$16/H18*70+30</f>
        <v>68.610526315789471</v>
      </c>
      <c r="F18" s="8" t="s">
        <v>17</v>
      </c>
      <c r="G18" s="8" t="s">
        <v>17</v>
      </c>
      <c r="H18" s="8">
        <f>47500*117/100</f>
        <v>55575</v>
      </c>
      <c r="I18" s="8">
        <f t="shared" ref="I18" si="3">H18</f>
        <v>55575</v>
      </c>
      <c r="J18" s="31" t="s">
        <v>14</v>
      </c>
      <c r="K18" s="413"/>
      <c r="L18" s="442"/>
      <c r="M18" s="378"/>
    </row>
    <row r="19" spans="1:13" ht="14.25" x14ac:dyDescent="0.2">
      <c r="A19" s="340"/>
      <c r="B19" s="373"/>
      <c r="C19" s="373"/>
      <c r="D19" s="31" t="s">
        <v>285</v>
      </c>
      <c r="E19" s="7">
        <f t="shared" si="2"/>
        <v>83.159420289855063</v>
      </c>
      <c r="F19" s="8" t="s">
        <v>17</v>
      </c>
      <c r="G19" s="8" t="s">
        <v>17</v>
      </c>
      <c r="H19" s="8">
        <f>34500*117/100</f>
        <v>40365</v>
      </c>
      <c r="I19" s="8">
        <f t="shared" si="1"/>
        <v>40365</v>
      </c>
      <c r="J19" s="31"/>
      <c r="K19" s="413"/>
      <c r="L19" s="442"/>
      <c r="M19" s="378"/>
    </row>
    <row r="20" spans="1:13" ht="14.25" x14ac:dyDescent="0.2">
      <c r="A20" s="336"/>
      <c r="B20" s="337"/>
      <c r="C20" s="338"/>
      <c r="D20" s="338"/>
      <c r="E20" s="338"/>
      <c r="F20" s="338"/>
      <c r="G20" s="338"/>
      <c r="H20" s="338"/>
      <c r="I20" s="338"/>
      <c r="J20" s="338"/>
      <c r="K20" s="338"/>
      <c r="L20" s="338"/>
      <c r="M20" s="339"/>
    </row>
    <row r="21" spans="1:13" x14ac:dyDescent="0.2">
      <c r="B21" s="9" t="s">
        <v>234</v>
      </c>
    </row>
    <row r="22" spans="1:13" x14ac:dyDescent="0.2">
      <c r="B22" s="28"/>
    </row>
  </sheetData>
  <autoFilter ref="A1:M22" xr:uid="{E4D729DE-A3BE-4E4D-95B0-B7AA6FFF5C20}">
    <filterColumn colId="1" showButton="0"/>
    <filterColumn colId="2" showButton="0"/>
    <filterColumn colId="3" showButton="0"/>
    <filterColumn colId="4" showButton="0"/>
    <filterColumn colId="5" showButton="0"/>
    <filterColumn colId="6" showButton="0"/>
    <filterColumn colId="7" showButton="0"/>
    <filterColumn colId="8" showButton="0"/>
    <filterColumn colId="9" showButton="0"/>
    <filterColumn colId="10" showButton="0"/>
    <filterColumn colId="11" showButton="0"/>
  </autoFilter>
  <mergeCells count="25">
    <mergeCell ref="A7:M7"/>
    <mergeCell ref="A8:A9"/>
    <mergeCell ref="B9:M9"/>
    <mergeCell ref="A1:A6"/>
    <mergeCell ref="B1:M1"/>
    <mergeCell ref="B2:M2"/>
    <mergeCell ref="B3:M3"/>
    <mergeCell ref="B4:M4"/>
    <mergeCell ref="B5:M5"/>
    <mergeCell ref="A10:M10"/>
    <mergeCell ref="A11:A14"/>
    <mergeCell ref="B11:B13"/>
    <mergeCell ref="C11:C13"/>
    <mergeCell ref="K11:K13"/>
    <mergeCell ref="L11:L13"/>
    <mergeCell ref="M11:M13"/>
    <mergeCell ref="B14:M14"/>
    <mergeCell ref="A15:M15"/>
    <mergeCell ref="A16:A20"/>
    <mergeCell ref="B16:B19"/>
    <mergeCell ref="C16:C19"/>
    <mergeCell ref="K16:K19"/>
    <mergeCell ref="L16:L19"/>
    <mergeCell ref="M16:M19"/>
    <mergeCell ref="B20:M20"/>
  </mergeCells>
  <pageMargins left="0.7" right="0.7" top="0.75" bottom="0.75" header="0.3" footer="0.3"/>
  <pageSetup paperSize="9" scale="74"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606DF0-6B0E-410D-AFCB-B9472399CAB3}">
  <sheetPr>
    <pageSetUpPr fitToPage="1"/>
  </sheetPr>
  <dimension ref="A1:Q60"/>
  <sheetViews>
    <sheetView rightToLeft="1" zoomScale="85" zoomScaleNormal="85" workbookViewId="0">
      <selection activeCell="A60" sqref="A60:XFD60"/>
    </sheetView>
  </sheetViews>
  <sheetFormatPr defaultColWidth="8.75" defaultRowHeight="15" x14ac:dyDescent="0.2"/>
  <cols>
    <col min="1" max="1" width="4.25" customWidth="1"/>
    <col min="2" max="2" width="21.125" style="9" bestFit="1" customWidth="1"/>
    <col min="4" max="4" width="7.25" customWidth="1"/>
    <col min="5" max="5" width="7.75" customWidth="1"/>
    <col min="6" max="6" width="10.25" bestFit="1" customWidth="1"/>
    <col min="7" max="7" width="12.125" style="10" bestFit="1" customWidth="1"/>
    <col min="8" max="8" width="13.625" style="11" bestFit="1" customWidth="1"/>
    <col min="9" max="9" width="16" style="11" bestFit="1" customWidth="1"/>
    <col min="10" max="10" width="9" customWidth="1"/>
    <col min="11" max="11" width="12.875" style="12" customWidth="1"/>
    <col min="12" max="12" width="19.375" style="12" customWidth="1"/>
    <col min="13" max="13" width="15" style="12" customWidth="1"/>
    <col min="14" max="14" width="10.875" style="13" customWidth="1"/>
    <col min="15" max="15" width="13" style="14" customWidth="1"/>
  </cols>
  <sheetData>
    <row r="1" spans="1:17" ht="20.25" x14ac:dyDescent="0.2">
      <c r="A1" s="354"/>
      <c r="B1" s="355" t="s">
        <v>1116</v>
      </c>
      <c r="C1" s="355"/>
      <c r="D1" s="355"/>
      <c r="E1" s="355"/>
      <c r="F1" s="355"/>
      <c r="G1" s="355"/>
      <c r="H1" s="355"/>
      <c r="I1" s="355"/>
      <c r="J1" s="355"/>
      <c r="K1" s="355"/>
      <c r="L1" s="355"/>
      <c r="M1" s="355"/>
      <c r="N1" s="355"/>
      <c r="O1" s="355"/>
    </row>
    <row r="2" spans="1:17" ht="14.25" x14ac:dyDescent="0.2">
      <c r="A2" s="354"/>
      <c r="B2" s="356" t="s">
        <v>1005</v>
      </c>
      <c r="C2" s="356"/>
      <c r="D2" s="356"/>
      <c r="E2" s="356"/>
      <c r="F2" s="356"/>
      <c r="G2" s="356"/>
      <c r="H2" s="356"/>
      <c r="I2" s="356"/>
      <c r="J2" s="356"/>
      <c r="K2" s="356"/>
      <c r="L2" s="356"/>
      <c r="M2" s="356"/>
      <c r="N2" s="356"/>
      <c r="O2" s="356"/>
    </row>
    <row r="3" spans="1:17" ht="15.75" x14ac:dyDescent="0.2">
      <c r="A3" s="354"/>
      <c r="B3" s="357" t="s">
        <v>663</v>
      </c>
      <c r="C3" s="357"/>
      <c r="D3" s="357"/>
      <c r="E3" s="357"/>
      <c r="F3" s="357"/>
      <c r="G3" s="357"/>
      <c r="H3" s="357"/>
      <c r="I3" s="357"/>
      <c r="J3" s="357"/>
      <c r="K3" s="357"/>
      <c r="L3" s="357"/>
      <c r="M3" s="357"/>
      <c r="N3" s="357"/>
      <c r="O3" s="357"/>
    </row>
    <row r="4" spans="1:17" ht="14.25" x14ac:dyDescent="0.2">
      <c r="A4" s="354"/>
      <c r="B4" s="358" t="s">
        <v>71</v>
      </c>
      <c r="C4" s="358"/>
      <c r="D4" s="358"/>
      <c r="E4" s="358"/>
      <c r="F4" s="358"/>
      <c r="G4" s="358"/>
      <c r="H4" s="358"/>
      <c r="I4" s="358"/>
      <c r="J4" s="358"/>
      <c r="K4" s="358"/>
      <c r="L4" s="358"/>
      <c r="M4" s="358"/>
      <c r="N4" s="358"/>
      <c r="O4" s="358"/>
    </row>
    <row r="5" spans="1:17" ht="14.25" x14ac:dyDescent="0.2">
      <c r="A5" s="354"/>
      <c r="B5" s="358" t="s">
        <v>70</v>
      </c>
      <c r="C5" s="358"/>
      <c r="D5" s="358"/>
      <c r="E5" s="358"/>
      <c r="F5" s="358"/>
      <c r="G5" s="358"/>
      <c r="H5" s="358"/>
      <c r="I5" s="358"/>
      <c r="J5" s="358"/>
      <c r="K5" s="358"/>
      <c r="L5" s="358"/>
      <c r="M5" s="358"/>
      <c r="N5" s="358"/>
      <c r="O5" s="358"/>
    </row>
    <row r="6" spans="1:17" ht="46.5" customHeight="1" x14ac:dyDescent="0.2">
      <c r="A6" s="354"/>
      <c r="B6" s="300" t="s">
        <v>1</v>
      </c>
      <c r="C6" s="298" t="s">
        <v>2</v>
      </c>
      <c r="D6" s="3" t="s">
        <v>3</v>
      </c>
      <c r="E6" s="3" t="s">
        <v>4</v>
      </c>
      <c r="F6" s="3" t="s">
        <v>5</v>
      </c>
      <c r="G6" s="3" t="s">
        <v>6</v>
      </c>
      <c r="H6" s="4" t="s">
        <v>7</v>
      </c>
      <c r="I6" s="5" t="s">
        <v>8</v>
      </c>
      <c r="J6" s="3" t="s">
        <v>9</v>
      </c>
      <c r="K6" s="3" t="s">
        <v>10</v>
      </c>
      <c r="L6" s="3" t="s">
        <v>525</v>
      </c>
      <c r="M6" s="297" t="s">
        <v>526</v>
      </c>
      <c r="N6" s="175" t="s">
        <v>11</v>
      </c>
      <c r="O6" s="3" t="s">
        <v>12</v>
      </c>
    </row>
    <row r="7" spans="1:17" ht="15.75" x14ac:dyDescent="0.2">
      <c r="A7" s="332" t="s">
        <v>1066</v>
      </c>
      <c r="B7" s="333"/>
      <c r="C7" s="333"/>
      <c r="D7" s="333"/>
      <c r="E7" s="333"/>
      <c r="F7" s="333"/>
      <c r="G7" s="333"/>
      <c r="H7" s="333"/>
      <c r="I7" s="333"/>
      <c r="J7" s="333"/>
      <c r="K7" s="333"/>
      <c r="L7" s="333"/>
      <c r="M7" s="333"/>
      <c r="N7" s="333"/>
      <c r="O7" s="334"/>
    </row>
    <row r="8" spans="1:17" ht="25.5" x14ac:dyDescent="0.2">
      <c r="A8" s="359">
        <v>4</v>
      </c>
      <c r="B8" s="362" t="s">
        <v>1064</v>
      </c>
      <c r="C8" s="362" t="s">
        <v>287</v>
      </c>
      <c r="D8" s="16" t="s">
        <v>1065</v>
      </c>
      <c r="E8" s="17">
        <v>100</v>
      </c>
      <c r="F8" s="18" t="s">
        <v>13</v>
      </c>
      <c r="G8" s="21" t="s">
        <v>34</v>
      </c>
      <c r="H8" s="21">
        <f>195*117/100</f>
        <v>228.15</v>
      </c>
      <c r="I8" s="21">
        <f>H8*200</f>
        <v>45630</v>
      </c>
      <c r="J8" s="16" t="s">
        <v>14</v>
      </c>
      <c r="K8" s="344" t="s">
        <v>18</v>
      </c>
      <c r="L8" s="344" t="s">
        <v>529</v>
      </c>
      <c r="M8" s="366">
        <f>I8</f>
        <v>45630</v>
      </c>
      <c r="N8" s="348" t="s">
        <v>22</v>
      </c>
      <c r="O8" s="370" t="s">
        <v>1067</v>
      </c>
      <c r="P8" s="13"/>
      <c r="Q8" s="14"/>
    </row>
    <row r="9" spans="1:17" ht="25.5" x14ac:dyDescent="0.2">
      <c r="A9" s="360"/>
      <c r="B9" s="363"/>
      <c r="C9" s="363"/>
      <c r="D9" s="301" t="s">
        <v>1068</v>
      </c>
      <c r="E9" s="7">
        <v>85</v>
      </c>
      <c r="F9" s="8" t="s">
        <v>13</v>
      </c>
      <c r="G9" s="15" t="s">
        <v>34</v>
      </c>
      <c r="H9" s="15">
        <f>250*117/100</f>
        <v>292.5</v>
      </c>
      <c r="I9" s="15">
        <f t="shared" ref="I9:I10" si="0">H9*200</f>
        <v>58500</v>
      </c>
      <c r="J9" s="301" t="s">
        <v>14</v>
      </c>
      <c r="K9" s="365"/>
      <c r="L9" s="365"/>
      <c r="M9" s="367"/>
      <c r="N9" s="369"/>
      <c r="O9" s="371"/>
      <c r="P9" s="13"/>
      <c r="Q9" s="14"/>
    </row>
    <row r="10" spans="1:17" ht="25.5" x14ac:dyDescent="0.2">
      <c r="A10" s="360"/>
      <c r="B10" s="363"/>
      <c r="C10" s="363"/>
      <c r="D10" s="301" t="s">
        <v>28</v>
      </c>
      <c r="E10" s="7">
        <v>85</v>
      </c>
      <c r="F10" s="8" t="s">
        <v>13</v>
      </c>
      <c r="G10" s="15" t="s">
        <v>34</v>
      </c>
      <c r="H10" s="15">
        <f>250*117/100</f>
        <v>292.5</v>
      </c>
      <c r="I10" s="15">
        <f t="shared" si="0"/>
        <v>58500</v>
      </c>
      <c r="J10" s="301" t="s">
        <v>14</v>
      </c>
      <c r="K10" s="365"/>
      <c r="L10" s="365"/>
      <c r="M10" s="367"/>
      <c r="N10" s="369"/>
      <c r="O10" s="371"/>
      <c r="P10" s="13"/>
      <c r="Q10" s="14"/>
    </row>
    <row r="11" spans="1:17" x14ac:dyDescent="0.2">
      <c r="A11" s="360"/>
      <c r="B11" s="363"/>
      <c r="C11" s="363"/>
      <c r="D11" s="301" t="s">
        <v>1069</v>
      </c>
      <c r="E11" s="7">
        <v>85</v>
      </c>
      <c r="F11" s="8" t="s">
        <v>13</v>
      </c>
      <c r="G11" s="15" t="s">
        <v>34</v>
      </c>
      <c r="H11" s="15">
        <f>250*117/100</f>
        <v>292.5</v>
      </c>
      <c r="I11" s="15">
        <f>H11*200</f>
        <v>58500</v>
      </c>
      <c r="J11" s="301" t="s">
        <v>14</v>
      </c>
      <c r="K11" s="365"/>
      <c r="L11" s="365"/>
      <c r="M11" s="367"/>
      <c r="N11" s="369"/>
      <c r="O11" s="371"/>
      <c r="P11" s="13"/>
      <c r="Q11" s="14"/>
    </row>
    <row r="12" spans="1:17" ht="15" customHeight="1" x14ac:dyDescent="0.2">
      <c r="A12" s="361"/>
      <c r="B12" s="337" t="s">
        <v>803</v>
      </c>
      <c r="C12" s="338"/>
      <c r="D12" s="338"/>
      <c r="E12" s="338"/>
      <c r="F12" s="338"/>
      <c r="G12" s="338"/>
      <c r="H12" s="338"/>
      <c r="I12" s="338"/>
      <c r="J12" s="338"/>
      <c r="K12" s="338"/>
      <c r="L12" s="338"/>
      <c r="M12" s="338"/>
      <c r="N12" s="338"/>
      <c r="O12" s="339"/>
    </row>
    <row r="13" spans="1:17" ht="15.75" x14ac:dyDescent="0.2">
      <c r="A13" s="332" t="s">
        <v>1075</v>
      </c>
      <c r="B13" s="333"/>
      <c r="C13" s="333"/>
      <c r="D13" s="333"/>
      <c r="E13" s="333"/>
      <c r="F13" s="333"/>
      <c r="G13" s="333"/>
      <c r="H13" s="333"/>
      <c r="I13" s="333"/>
      <c r="J13" s="333"/>
      <c r="K13" s="333"/>
      <c r="L13" s="333"/>
      <c r="M13" s="333"/>
      <c r="N13" s="333"/>
      <c r="O13" s="334"/>
    </row>
    <row r="14" spans="1:17" ht="51" x14ac:dyDescent="0.2">
      <c r="A14" s="335">
        <v>5</v>
      </c>
      <c r="B14" s="342" t="s">
        <v>1070</v>
      </c>
      <c r="C14" s="342" t="s">
        <v>287</v>
      </c>
      <c r="D14" s="19" t="s">
        <v>1115</v>
      </c>
      <c r="E14" s="20">
        <v>100</v>
      </c>
      <c r="F14" s="21" t="s">
        <v>13</v>
      </c>
      <c r="G14" s="21" t="s">
        <v>916</v>
      </c>
      <c r="H14" s="21">
        <f>130*117/100</f>
        <v>152.1</v>
      </c>
      <c r="I14" s="21">
        <f>H14*300</f>
        <v>45630</v>
      </c>
      <c r="J14" s="19" t="s">
        <v>14</v>
      </c>
      <c r="K14" s="344" t="s">
        <v>18</v>
      </c>
      <c r="L14" s="344" t="s">
        <v>529</v>
      </c>
      <c r="M14" s="346">
        <f>I14</f>
        <v>45630</v>
      </c>
      <c r="N14" s="348" t="s">
        <v>22</v>
      </c>
      <c r="O14" s="350" t="s">
        <v>1071</v>
      </c>
      <c r="P14" s="13"/>
      <c r="Q14" s="14"/>
    </row>
    <row r="15" spans="1:17" x14ac:dyDescent="0.2">
      <c r="A15" s="340"/>
      <c r="B15" s="373"/>
      <c r="C15" s="373"/>
      <c r="D15" s="23" t="s">
        <v>1072</v>
      </c>
      <c r="E15" s="32">
        <v>87</v>
      </c>
      <c r="F15" s="15" t="s">
        <v>13</v>
      </c>
      <c r="G15" s="15" t="s">
        <v>916</v>
      </c>
      <c r="H15" s="153">
        <f>160*117/100</f>
        <v>187.2</v>
      </c>
      <c r="I15" s="15">
        <f>H15*300</f>
        <v>56160</v>
      </c>
      <c r="J15" s="23" t="s">
        <v>14</v>
      </c>
      <c r="K15" s="365"/>
      <c r="L15" s="365"/>
      <c r="M15" s="381"/>
      <c r="N15" s="369"/>
      <c r="O15" s="378"/>
      <c r="P15" s="13"/>
      <c r="Q15" s="14"/>
    </row>
    <row r="16" spans="1:17" ht="25.5" x14ac:dyDescent="0.2">
      <c r="A16" s="340"/>
      <c r="B16" s="373"/>
      <c r="C16" s="373"/>
      <c r="D16" s="23" t="s">
        <v>329</v>
      </c>
      <c r="E16" s="32">
        <v>69</v>
      </c>
      <c r="F16" s="15" t="s">
        <v>13</v>
      </c>
      <c r="G16" s="15" t="s">
        <v>916</v>
      </c>
      <c r="H16" s="153">
        <f>234*117/100</f>
        <v>273.77999999999997</v>
      </c>
      <c r="I16" s="15">
        <f>H16*300</f>
        <v>82133.999999999985</v>
      </c>
      <c r="J16" s="23" t="s">
        <v>14</v>
      </c>
      <c r="K16" s="365"/>
      <c r="L16" s="365"/>
      <c r="M16" s="381"/>
      <c r="N16" s="369"/>
      <c r="O16" s="378"/>
      <c r="P16" s="13"/>
      <c r="Q16" s="14"/>
    </row>
    <row r="17" spans="1:17" ht="25.5" x14ac:dyDescent="0.2">
      <c r="A17" s="340"/>
      <c r="B17" s="373"/>
      <c r="C17" s="373"/>
      <c r="D17" s="23" t="s">
        <v>720</v>
      </c>
      <c r="E17" s="32">
        <v>67</v>
      </c>
      <c r="F17" s="15" t="s">
        <v>13</v>
      </c>
      <c r="G17" s="15" t="s">
        <v>916</v>
      </c>
      <c r="H17" s="153">
        <f>247*117/100</f>
        <v>288.99</v>
      </c>
      <c r="I17" s="15">
        <f t="shared" ref="I17:I19" si="1">H17*300</f>
        <v>86697</v>
      </c>
      <c r="J17" s="23" t="s">
        <v>14</v>
      </c>
      <c r="K17" s="365"/>
      <c r="L17" s="365"/>
      <c r="M17" s="381"/>
      <c r="N17" s="369"/>
      <c r="O17" s="378"/>
      <c r="P17" s="13"/>
      <c r="Q17" s="14"/>
    </row>
    <row r="18" spans="1:17" x14ac:dyDescent="0.2">
      <c r="A18" s="340"/>
      <c r="B18" s="373"/>
      <c r="C18" s="373"/>
      <c r="D18" s="23" t="s">
        <v>39</v>
      </c>
      <c r="E18" s="32">
        <v>61</v>
      </c>
      <c r="F18" s="15" t="s">
        <v>13</v>
      </c>
      <c r="G18" s="15" t="s">
        <v>916</v>
      </c>
      <c r="H18" s="153">
        <f>294*117/100</f>
        <v>343.98</v>
      </c>
      <c r="I18" s="15">
        <f t="shared" si="1"/>
        <v>103194</v>
      </c>
      <c r="J18" s="23" t="s">
        <v>14</v>
      </c>
      <c r="K18" s="365"/>
      <c r="L18" s="365"/>
      <c r="M18" s="381"/>
      <c r="N18" s="369"/>
      <c r="O18" s="378"/>
      <c r="P18" s="13"/>
      <c r="Q18" s="14"/>
    </row>
    <row r="19" spans="1:17" x14ac:dyDescent="0.2">
      <c r="A19" s="340"/>
      <c r="B19" s="373"/>
      <c r="C19" s="373"/>
      <c r="D19" s="23" t="s">
        <v>886</v>
      </c>
      <c r="E19" s="32">
        <v>59</v>
      </c>
      <c r="F19" s="15" t="s">
        <v>13</v>
      </c>
      <c r="G19" s="15" t="s">
        <v>916</v>
      </c>
      <c r="H19" s="153">
        <f>315*117/100</f>
        <v>368.55</v>
      </c>
      <c r="I19" s="15">
        <f t="shared" si="1"/>
        <v>110565</v>
      </c>
      <c r="J19" s="23" t="s">
        <v>14</v>
      </c>
      <c r="K19" s="365"/>
      <c r="L19" s="365"/>
      <c r="M19" s="381"/>
      <c r="N19" s="369"/>
      <c r="O19" s="378"/>
      <c r="P19" s="13"/>
      <c r="Q19" s="14"/>
    </row>
    <row r="20" spans="1:17" x14ac:dyDescent="0.2">
      <c r="A20" s="340"/>
      <c r="B20" s="373"/>
      <c r="C20" s="373"/>
      <c r="D20" s="23" t="s">
        <v>1073</v>
      </c>
      <c r="E20" s="32">
        <v>53</v>
      </c>
      <c r="F20" s="15" t="s">
        <v>13</v>
      </c>
      <c r="G20" s="15" t="s">
        <v>916</v>
      </c>
      <c r="H20" s="153">
        <f>400*117/100</f>
        <v>468</v>
      </c>
      <c r="I20" s="15">
        <f>H20*300</f>
        <v>140400</v>
      </c>
      <c r="J20" s="23" t="s">
        <v>14</v>
      </c>
      <c r="K20" s="365"/>
      <c r="L20" s="365"/>
      <c r="M20" s="381"/>
      <c r="N20" s="369"/>
      <c r="O20" s="378"/>
      <c r="P20" s="13"/>
      <c r="Q20" s="14"/>
    </row>
    <row r="21" spans="1:17" ht="14.25" x14ac:dyDescent="0.2">
      <c r="A21" s="336"/>
      <c r="B21" s="337" t="s">
        <v>1074</v>
      </c>
      <c r="C21" s="338"/>
      <c r="D21" s="338"/>
      <c r="E21" s="338"/>
      <c r="F21" s="338"/>
      <c r="G21" s="338"/>
      <c r="H21" s="338"/>
      <c r="I21" s="338"/>
      <c r="J21" s="338"/>
      <c r="K21" s="338"/>
      <c r="L21" s="338"/>
      <c r="M21" s="338"/>
      <c r="N21" s="338"/>
      <c r="O21" s="339"/>
    </row>
    <row r="22" spans="1:17" ht="15.75" x14ac:dyDescent="0.2">
      <c r="A22" s="332" t="s">
        <v>1080</v>
      </c>
      <c r="B22" s="333"/>
      <c r="C22" s="333"/>
      <c r="D22" s="333"/>
      <c r="E22" s="333"/>
      <c r="F22" s="333"/>
      <c r="G22" s="333"/>
      <c r="H22" s="333"/>
      <c r="I22" s="333"/>
      <c r="J22" s="333"/>
      <c r="K22" s="333"/>
      <c r="L22" s="333"/>
      <c r="M22" s="333"/>
      <c r="N22" s="333"/>
      <c r="O22" s="334"/>
    </row>
    <row r="23" spans="1:17" ht="25.5" x14ac:dyDescent="0.2">
      <c r="A23" s="359">
        <v>8</v>
      </c>
      <c r="B23" s="362" t="s">
        <v>1077</v>
      </c>
      <c r="C23" s="362" t="s">
        <v>287</v>
      </c>
      <c r="D23" s="16" t="s">
        <v>320</v>
      </c>
      <c r="E23" s="17">
        <v>100</v>
      </c>
      <c r="F23" s="18" t="s">
        <v>15</v>
      </c>
      <c r="G23" s="18" t="s">
        <v>1078</v>
      </c>
      <c r="H23" s="242">
        <v>2.1999999999999999E-2</v>
      </c>
      <c r="I23" s="21">
        <f>H23*13500000*117/100</f>
        <v>347490</v>
      </c>
      <c r="J23" s="19" t="s">
        <v>14</v>
      </c>
      <c r="K23" s="344" t="s">
        <v>18</v>
      </c>
      <c r="L23" s="344" t="s">
        <v>529</v>
      </c>
      <c r="M23" s="366">
        <f>I23</f>
        <v>347490</v>
      </c>
      <c r="N23" s="348" t="s">
        <v>22</v>
      </c>
      <c r="O23" s="370" t="s">
        <v>1076</v>
      </c>
    </row>
    <row r="24" spans="1:17" ht="25.5" x14ac:dyDescent="0.2">
      <c r="A24" s="360"/>
      <c r="B24" s="363"/>
      <c r="C24" s="363"/>
      <c r="D24" s="23" t="s">
        <v>324</v>
      </c>
      <c r="E24" s="32">
        <v>89</v>
      </c>
      <c r="F24" s="220" t="s">
        <v>15</v>
      </c>
      <c r="G24" s="220" t="s">
        <v>1078</v>
      </c>
      <c r="H24" s="221">
        <v>2.5999999999999999E-2</v>
      </c>
      <c r="I24" s="222">
        <f>H24*13500000*117/100</f>
        <v>410670</v>
      </c>
      <c r="J24" s="23" t="s">
        <v>14</v>
      </c>
      <c r="K24" s="365"/>
      <c r="L24" s="365"/>
      <c r="M24" s="367"/>
      <c r="N24" s="369"/>
      <c r="O24" s="371"/>
    </row>
    <row r="25" spans="1:17" ht="25.5" x14ac:dyDescent="0.2">
      <c r="A25" s="360"/>
      <c r="B25" s="363"/>
      <c r="C25" s="363"/>
      <c r="D25" s="23" t="s">
        <v>316</v>
      </c>
      <c r="E25" s="32">
        <v>88</v>
      </c>
      <c r="F25" s="220" t="s">
        <v>15</v>
      </c>
      <c r="G25" s="220" t="s">
        <v>1078</v>
      </c>
      <c r="H25" s="221">
        <v>2.6599999999999999E-2</v>
      </c>
      <c r="I25" s="222">
        <f t="shared" ref="I25:I27" si="2">H25*13500000*117/100</f>
        <v>420147</v>
      </c>
      <c r="J25" s="23" t="s">
        <v>14</v>
      </c>
      <c r="K25" s="365"/>
      <c r="L25" s="365"/>
      <c r="M25" s="367"/>
      <c r="N25" s="369"/>
      <c r="O25" s="371"/>
    </row>
    <row r="26" spans="1:17" ht="25.5" x14ac:dyDescent="0.2">
      <c r="A26" s="360"/>
      <c r="B26" s="363"/>
      <c r="C26" s="363"/>
      <c r="D26" s="23" t="s">
        <v>911</v>
      </c>
      <c r="E26" s="32">
        <v>81</v>
      </c>
      <c r="F26" s="220" t="s">
        <v>15</v>
      </c>
      <c r="G26" s="220" t="s">
        <v>1078</v>
      </c>
      <c r="H26" s="221">
        <v>0.03</v>
      </c>
      <c r="I26" s="222">
        <f t="shared" si="2"/>
        <v>473850</v>
      </c>
      <c r="J26" s="23" t="s">
        <v>14</v>
      </c>
      <c r="K26" s="365"/>
      <c r="L26" s="365"/>
      <c r="M26" s="367"/>
      <c r="N26" s="369"/>
      <c r="O26" s="371"/>
    </row>
    <row r="27" spans="1:17" ht="25.5" x14ac:dyDescent="0.2">
      <c r="A27" s="360"/>
      <c r="B27" s="363"/>
      <c r="C27" s="363"/>
      <c r="D27" s="23" t="s">
        <v>1079</v>
      </c>
      <c r="E27" s="32">
        <v>58</v>
      </c>
      <c r="F27" s="220" t="s">
        <v>15</v>
      </c>
      <c r="G27" s="220" t="s">
        <v>1078</v>
      </c>
      <c r="H27" s="221">
        <v>5.5E-2</v>
      </c>
      <c r="I27" s="222">
        <f t="shared" si="2"/>
        <v>868725</v>
      </c>
      <c r="J27" s="23" t="s">
        <v>14</v>
      </c>
      <c r="K27" s="365"/>
      <c r="L27" s="365"/>
      <c r="M27" s="367"/>
      <c r="N27" s="369"/>
      <c r="O27" s="371"/>
    </row>
    <row r="28" spans="1:17" ht="14.25" customHeight="1" x14ac:dyDescent="0.2">
      <c r="A28" s="361"/>
      <c r="B28" s="337"/>
      <c r="C28" s="338"/>
      <c r="D28" s="338"/>
      <c r="E28" s="338"/>
      <c r="F28" s="338"/>
      <c r="G28" s="338"/>
      <c r="H28" s="338"/>
      <c r="I28" s="338"/>
      <c r="J28" s="338"/>
      <c r="K28" s="338"/>
      <c r="L28" s="338"/>
      <c r="M28" s="338"/>
      <c r="N28" s="338"/>
      <c r="O28" s="339"/>
    </row>
    <row r="29" spans="1:17" ht="15.75" x14ac:dyDescent="0.2">
      <c r="A29" s="332" t="s">
        <v>1096</v>
      </c>
      <c r="B29" s="333"/>
      <c r="C29" s="333"/>
      <c r="D29" s="333"/>
      <c r="E29" s="333"/>
      <c r="F29" s="333"/>
      <c r="G29" s="333"/>
      <c r="H29" s="333"/>
      <c r="I29" s="333"/>
      <c r="J29" s="333"/>
      <c r="K29" s="333"/>
      <c r="L29" s="333"/>
      <c r="M29" s="333"/>
      <c r="N29" s="333"/>
      <c r="O29" s="334"/>
    </row>
    <row r="30" spans="1:17" ht="51" x14ac:dyDescent="0.2">
      <c r="A30" s="335">
        <v>9</v>
      </c>
      <c r="B30" s="292" t="s">
        <v>1088</v>
      </c>
      <c r="C30" s="23" t="s">
        <v>286</v>
      </c>
      <c r="D30" s="20" t="s">
        <v>1089</v>
      </c>
      <c r="E30" s="288">
        <v>100</v>
      </c>
      <c r="F30" s="21" t="s">
        <v>17</v>
      </c>
      <c r="G30" s="21" t="s">
        <v>17</v>
      </c>
      <c r="H30" s="21">
        <f>3675*117/100</f>
        <v>4299.75</v>
      </c>
      <c r="I30" s="21">
        <f>H30</f>
        <v>4299.75</v>
      </c>
      <c r="J30" s="19" t="s">
        <v>14</v>
      </c>
      <c r="K30" s="293" t="s">
        <v>802</v>
      </c>
      <c r="L30" s="293" t="s">
        <v>529</v>
      </c>
      <c r="M30" s="295">
        <f>I30</f>
        <v>4299.75</v>
      </c>
      <c r="N30" s="294" t="s">
        <v>22</v>
      </c>
      <c r="O30" s="291" t="s">
        <v>1105</v>
      </c>
    </row>
    <row r="31" spans="1:17" x14ac:dyDescent="0.2">
      <c r="A31" s="336"/>
      <c r="B31" s="341" t="s">
        <v>1090</v>
      </c>
      <c r="C31" s="341"/>
      <c r="D31" s="341"/>
      <c r="E31" s="341"/>
      <c r="F31" s="341"/>
      <c r="G31" s="341"/>
      <c r="H31" s="341"/>
      <c r="I31" s="341"/>
      <c r="J31" s="341"/>
      <c r="K31" s="341"/>
      <c r="L31" s="341"/>
      <c r="M31" s="341"/>
      <c r="N31" s="341"/>
      <c r="O31" s="341"/>
      <c r="P31" s="13"/>
      <c r="Q31" s="14"/>
    </row>
    <row r="32" spans="1:17" ht="15.75" x14ac:dyDescent="0.2">
      <c r="A32" s="332" t="s">
        <v>1081</v>
      </c>
      <c r="B32" s="333"/>
      <c r="C32" s="333"/>
      <c r="D32" s="333"/>
      <c r="E32" s="333"/>
      <c r="F32" s="333"/>
      <c r="G32" s="333"/>
      <c r="H32" s="333"/>
      <c r="I32" s="333"/>
      <c r="J32" s="333"/>
      <c r="K32" s="333"/>
      <c r="L32" s="333"/>
      <c r="M32" s="333"/>
      <c r="N32" s="333"/>
      <c r="O32" s="334"/>
    </row>
    <row r="33" spans="1:15" ht="14.25" x14ac:dyDescent="0.2">
      <c r="A33" s="359">
        <v>10</v>
      </c>
      <c r="B33" s="362" t="s">
        <v>1082</v>
      </c>
      <c r="C33" s="362" t="s">
        <v>78</v>
      </c>
      <c r="D33" s="16" t="s">
        <v>1083</v>
      </c>
      <c r="E33" s="17">
        <v>95</v>
      </c>
      <c r="F33" s="18" t="s">
        <v>17</v>
      </c>
      <c r="G33" s="21" t="s">
        <v>17</v>
      </c>
      <c r="H33" s="21">
        <f>20000*117/100</f>
        <v>23400</v>
      </c>
      <c r="I33" s="21">
        <f>H33</f>
        <v>23400</v>
      </c>
      <c r="J33" s="16" t="s">
        <v>14</v>
      </c>
      <c r="K33" s="344" t="s">
        <v>18</v>
      </c>
      <c r="L33" s="344" t="s">
        <v>529</v>
      </c>
      <c r="M33" s="379">
        <f>I33</f>
        <v>23400</v>
      </c>
      <c r="N33" s="348" t="s">
        <v>22</v>
      </c>
      <c r="O33" s="370">
        <v>213018275</v>
      </c>
    </row>
    <row r="34" spans="1:15" ht="14.25" x14ac:dyDescent="0.2">
      <c r="A34" s="360"/>
      <c r="B34" s="363"/>
      <c r="C34" s="363"/>
      <c r="D34" s="23" t="s">
        <v>1084</v>
      </c>
      <c r="E34" s="32">
        <v>94</v>
      </c>
      <c r="F34" s="171" t="s">
        <v>17</v>
      </c>
      <c r="G34" s="15" t="s">
        <v>17</v>
      </c>
      <c r="H34" s="15">
        <f>18500*117/100</f>
        <v>21645</v>
      </c>
      <c r="I34" s="15">
        <f>H34</f>
        <v>21645</v>
      </c>
      <c r="J34" s="299" t="s">
        <v>14</v>
      </c>
      <c r="K34" s="365"/>
      <c r="L34" s="365"/>
      <c r="M34" s="380"/>
      <c r="N34" s="369"/>
      <c r="O34" s="371"/>
    </row>
    <row r="35" spans="1:15" ht="14.25" x14ac:dyDescent="0.2">
      <c r="A35" s="360"/>
      <c r="B35" s="363"/>
      <c r="C35" s="363"/>
      <c r="D35" s="301" t="s">
        <v>1085</v>
      </c>
      <c r="E35" s="7">
        <v>83</v>
      </c>
      <c r="F35" s="8" t="s">
        <v>17</v>
      </c>
      <c r="G35" s="15" t="s">
        <v>17</v>
      </c>
      <c r="H35" s="15">
        <f>26500*117/100</f>
        <v>31005</v>
      </c>
      <c r="I35" s="15">
        <f t="shared" ref="I35:I37" si="3">H35</f>
        <v>31005</v>
      </c>
      <c r="J35" s="301" t="s">
        <v>14</v>
      </c>
      <c r="K35" s="365"/>
      <c r="L35" s="365"/>
      <c r="M35" s="380"/>
      <c r="N35" s="369"/>
      <c r="O35" s="371"/>
    </row>
    <row r="36" spans="1:15" ht="25.5" x14ac:dyDescent="0.2">
      <c r="A36" s="360"/>
      <c r="B36" s="363"/>
      <c r="C36" s="363"/>
      <c r="D36" s="301" t="s">
        <v>329</v>
      </c>
      <c r="E36" s="7">
        <v>76</v>
      </c>
      <c r="F36" s="8" t="s">
        <v>17</v>
      </c>
      <c r="G36" s="15" t="s">
        <v>17</v>
      </c>
      <c r="H36" s="15">
        <f>27000*117/100</f>
        <v>31590</v>
      </c>
      <c r="I36" s="15">
        <f t="shared" si="3"/>
        <v>31590</v>
      </c>
      <c r="J36" s="301" t="s">
        <v>14</v>
      </c>
      <c r="K36" s="365"/>
      <c r="L36" s="365"/>
      <c r="M36" s="380"/>
      <c r="N36" s="369"/>
      <c r="O36" s="371"/>
    </row>
    <row r="37" spans="1:15" ht="25.5" x14ac:dyDescent="0.2">
      <c r="A37" s="360"/>
      <c r="B37" s="363"/>
      <c r="C37" s="363"/>
      <c r="D37" s="301" t="s">
        <v>1086</v>
      </c>
      <c r="E37" s="7">
        <v>62</v>
      </c>
      <c r="F37" s="8" t="s">
        <v>17</v>
      </c>
      <c r="G37" s="15" t="s">
        <v>17</v>
      </c>
      <c r="H37" s="15">
        <f>36400*117/100</f>
        <v>42588</v>
      </c>
      <c r="I37" s="15">
        <f t="shared" si="3"/>
        <v>42588</v>
      </c>
      <c r="J37" s="301" t="s">
        <v>14</v>
      </c>
      <c r="K37" s="365"/>
      <c r="L37" s="365"/>
      <c r="M37" s="380"/>
      <c r="N37" s="369"/>
      <c r="O37" s="371"/>
    </row>
    <row r="38" spans="1:15" ht="14.25" customHeight="1" x14ac:dyDescent="0.2">
      <c r="A38" s="361"/>
      <c r="B38" s="337"/>
      <c r="C38" s="338"/>
      <c r="D38" s="338"/>
      <c r="E38" s="338"/>
      <c r="F38" s="338"/>
      <c r="G38" s="338"/>
      <c r="H38" s="338"/>
      <c r="I38" s="338"/>
      <c r="J38" s="338"/>
      <c r="K38" s="338"/>
      <c r="L38" s="338"/>
      <c r="M38" s="338"/>
      <c r="N38" s="338"/>
      <c r="O38" s="339"/>
    </row>
    <row r="39" spans="1:15" ht="15.75" x14ac:dyDescent="0.2">
      <c r="A39" s="332" t="s">
        <v>1091</v>
      </c>
      <c r="B39" s="333"/>
      <c r="C39" s="333"/>
      <c r="D39" s="333"/>
      <c r="E39" s="333"/>
      <c r="F39" s="333"/>
      <c r="G39" s="333"/>
      <c r="H39" s="333"/>
      <c r="I39" s="333"/>
      <c r="J39" s="333"/>
      <c r="K39" s="333"/>
      <c r="L39" s="333"/>
      <c r="M39" s="333"/>
      <c r="N39" s="333"/>
      <c r="O39" s="334"/>
    </row>
    <row r="40" spans="1:15" ht="25.5" x14ac:dyDescent="0.2">
      <c r="A40" s="335">
        <v>11</v>
      </c>
      <c r="B40" s="342" t="s">
        <v>902</v>
      </c>
      <c r="C40" s="342" t="s">
        <v>287</v>
      </c>
      <c r="D40" s="86" t="s">
        <v>1092</v>
      </c>
      <c r="E40" s="83">
        <v>100</v>
      </c>
      <c r="F40" s="84" t="s">
        <v>17</v>
      </c>
      <c r="G40" s="84" t="s">
        <v>17</v>
      </c>
      <c r="H40" s="87">
        <f>50000*117/100</f>
        <v>58500</v>
      </c>
      <c r="I40" s="84">
        <f>H40</f>
        <v>58500</v>
      </c>
      <c r="J40" s="86" t="s">
        <v>14</v>
      </c>
      <c r="K40" s="374" t="s">
        <v>18</v>
      </c>
      <c r="L40" s="344" t="s">
        <v>1108</v>
      </c>
      <c r="M40" s="376">
        <f>I40</f>
        <v>58500</v>
      </c>
      <c r="N40" s="348" t="s">
        <v>22</v>
      </c>
      <c r="O40" s="350">
        <v>2830252950</v>
      </c>
    </row>
    <row r="41" spans="1:15" ht="14.25" x14ac:dyDescent="0.2">
      <c r="A41" s="340"/>
      <c r="B41" s="373"/>
      <c r="C41" s="373"/>
      <c r="D41" s="301" t="s">
        <v>1093</v>
      </c>
      <c r="E41" s="7">
        <v>79</v>
      </c>
      <c r="F41" s="8" t="s">
        <v>17</v>
      </c>
      <c r="G41" s="8" t="s">
        <v>17</v>
      </c>
      <c r="H41" s="8">
        <f>72000*117/100</f>
        <v>84240</v>
      </c>
      <c r="I41" s="8">
        <f t="shared" ref="I41" si="4">H41</f>
        <v>84240</v>
      </c>
      <c r="J41" s="301" t="s">
        <v>14</v>
      </c>
      <c r="K41" s="375"/>
      <c r="L41" s="365"/>
      <c r="M41" s="377"/>
      <c r="N41" s="369"/>
      <c r="O41" s="378"/>
    </row>
    <row r="42" spans="1:15" ht="14.25" x14ac:dyDescent="0.2">
      <c r="A42" s="340"/>
      <c r="B42" s="373"/>
      <c r="C42" s="373"/>
      <c r="D42" s="301" t="s">
        <v>1094</v>
      </c>
      <c r="E42" s="7">
        <v>58</v>
      </c>
      <c r="F42" s="8" t="s">
        <v>17</v>
      </c>
      <c r="G42" s="8" t="s">
        <v>17</v>
      </c>
      <c r="H42" s="8">
        <f>126000*117/100</f>
        <v>147420</v>
      </c>
      <c r="I42" s="8">
        <f>H42</f>
        <v>147420</v>
      </c>
      <c r="J42" s="301" t="s">
        <v>14</v>
      </c>
      <c r="K42" s="375"/>
      <c r="L42" s="365"/>
      <c r="M42" s="377"/>
      <c r="N42" s="369"/>
      <c r="O42" s="378"/>
    </row>
    <row r="43" spans="1:15" ht="14.25" x14ac:dyDescent="0.2">
      <c r="A43" s="336"/>
      <c r="B43" s="337" t="s">
        <v>1095</v>
      </c>
      <c r="C43" s="338"/>
      <c r="D43" s="338"/>
      <c r="E43" s="338"/>
      <c r="F43" s="338"/>
      <c r="G43" s="338"/>
      <c r="H43" s="338"/>
      <c r="I43" s="338"/>
      <c r="J43" s="338"/>
      <c r="K43" s="338"/>
      <c r="L43" s="338"/>
      <c r="M43" s="338"/>
      <c r="N43" s="338"/>
      <c r="O43" s="339"/>
    </row>
    <row r="44" spans="1:15" ht="15.75" x14ac:dyDescent="0.2">
      <c r="A44" s="332" t="s">
        <v>1097</v>
      </c>
      <c r="B44" s="333"/>
      <c r="C44" s="333"/>
      <c r="D44" s="333"/>
      <c r="E44" s="333"/>
      <c r="F44" s="333"/>
      <c r="G44" s="333"/>
      <c r="H44" s="333"/>
      <c r="I44" s="333"/>
      <c r="J44" s="333"/>
      <c r="K44" s="333"/>
      <c r="L44" s="333"/>
      <c r="M44" s="333"/>
      <c r="N44" s="333"/>
      <c r="O44" s="334"/>
    </row>
    <row r="45" spans="1:15" ht="14.25" x14ac:dyDescent="0.2">
      <c r="A45" s="335">
        <v>12</v>
      </c>
      <c r="B45" s="342" t="s">
        <v>1098</v>
      </c>
      <c r="C45" s="342" t="s">
        <v>287</v>
      </c>
      <c r="D45" s="86" t="s">
        <v>1099</v>
      </c>
      <c r="E45" s="83">
        <v>100</v>
      </c>
      <c r="F45" s="84" t="s">
        <v>17</v>
      </c>
      <c r="G45" s="84" t="s">
        <v>17</v>
      </c>
      <c r="H45" s="87">
        <f>25000*117/100</f>
        <v>29250</v>
      </c>
      <c r="I45" s="84">
        <f>H45</f>
        <v>29250</v>
      </c>
      <c r="J45" s="86" t="s">
        <v>14</v>
      </c>
      <c r="K45" s="374" t="s">
        <v>18</v>
      </c>
      <c r="L45" s="344" t="s">
        <v>1108</v>
      </c>
      <c r="M45" s="376">
        <f>I45</f>
        <v>29250</v>
      </c>
      <c r="N45" s="348" t="s">
        <v>22</v>
      </c>
      <c r="O45" s="350">
        <v>2830252950</v>
      </c>
    </row>
    <row r="46" spans="1:15" ht="25.5" x14ac:dyDescent="0.2">
      <c r="A46" s="340"/>
      <c r="B46" s="373"/>
      <c r="C46" s="373"/>
      <c r="D46" s="301" t="s">
        <v>1100</v>
      </c>
      <c r="E46" s="7">
        <v>88</v>
      </c>
      <c r="F46" s="8" t="s">
        <v>17</v>
      </c>
      <c r="G46" s="8" t="s">
        <v>17</v>
      </c>
      <c r="H46" s="8">
        <f>30000*117/100</f>
        <v>35100</v>
      </c>
      <c r="I46" s="8">
        <f t="shared" ref="I46:I47" si="5">H46</f>
        <v>35100</v>
      </c>
      <c r="J46" s="301" t="s">
        <v>14</v>
      </c>
      <c r="K46" s="375"/>
      <c r="L46" s="365"/>
      <c r="M46" s="377"/>
      <c r="N46" s="369"/>
      <c r="O46" s="378"/>
    </row>
    <row r="47" spans="1:15" ht="14.25" x14ac:dyDescent="0.2">
      <c r="A47" s="340"/>
      <c r="B47" s="373"/>
      <c r="C47" s="373"/>
      <c r="D47" s="301" t="s">
        <v>1101</v>
      </c>
      <c r="E47" s="7">
        <v>88</v>
      </c>
      <c r="F47" s="8" t="s">
        <v>17</v>
      </c>
      <c r="G47" s="8" t="s">
        <v>17</v>
      </c>
      <c r="H47" s="8">
        <f>30000*117/100</f>
        <v>35100</v>
      </c>
      <c r="I47" s="8">
        <f t="shared" si="5"/>
        <v>35100</v>
      </c>
      <c r="J47" s="301" t="s">
        <v>14</v>
      </c>
      <c r="K47" s="375"/>
      <c r="L47" s="365"/>
      <c r="M47" s="377"/>
      <c r="N47" s="369"/>
      <c r="O47" s="378"/>
    </row>
    <row r="48" spans="1:15" ht="25.5" x14ac:dyDescent="0.2">
      <c r="A48" s="340"/>
      <c r="B48" s="373"/>
      <c r="C48" s="373"/>
      <c r="D48" s="301" t="s">
        <v>1102</v>
      </c>
      <c r="E48" s="7">
        <v>69</v>
      </c>
      <c r="F48" s="8" t="s">
        <v>17</v>
      </c>
      <c r="G48" s="8" t="s">
        <v>17</v>
      </c>
      <c r="H48" s="8">
        <f>45000*117/100</f>
        <v>52650</v>
      </c>
      <c r="I48" s="8">
        <f>H48</f>
        <v>52650</v>
      </c>
      <c r="J48" s="301" t="s">
        <v>14</v>
      </c>
      <c r="K48" s="375"/>
      <c r="L48" s="365"/>
      <c r="M48" s="377"/>
      <c r="N48" s="369"/>
      <c r="O48" s="378"/>
    </row>
    <row r="49" spans="1:17" ht="14.25" x14ac:dyDescent="0.2">
      <c r="A49" s="336"/>
      <c r="B49" s="337"/>
      <c r="C49" s="338"/>
      <c r="D49" s="338"/>
      <c r="E49" s="338"/>
      <c r="F49" s="338"/>
      <c r="G49" s="338"/>
      <c r="H49" s="338"/>
      <c r="I49" s="338"/>
      <c r="J49" s="338"/>
      <c r="K49" s="338"/>
      <c r="L49" s="338"/>
      <c r="M49" s="338"/>
      <c r="N49" s="338"/>
      <c r="O49" s="339"/>
    </row>
    <row r="50" spans="1:17" ht="15.75" x14ac:dyDescent="0.2">
      <c r="A50" s="332" t="s">
        <v>1103</v>
      </c>
      <c r="B50" s="333"/>
      <c r="C50" s="333"/>
      <c r="D50" s="333"/>
      <c r="E50" s="333"/>
      <c r="F50" s="333"/>
      <c r="G50" s="333"/>
      <c r="H50" s="333"/>
      <c r="I50" s="333"/>
      <c r="J50" s="333"/>
      <c r="K50" s="333"/>
      <c r="L50" s="333"/>
      <c r="M50" s="333"/>
      <c r="N50" s="333"/>
      <c r="O50" s="334"/>
    </row>
    <row r="51" spans="1:17" ht="33" customHeight="1" x14ac:dyDescent="0.2">
      <c r="A51" s="335">
        <v>13</v>
      </c>
      <c r="B51" s="342" t="s">
        <v>1104</v>
      </c>
      <c r="C51" s="342" t="s">
        <v>954</v>
      </c>
      <c r="D51" s="86" t="s">
        <v>134</v>
      </c>
      <c r="E51" s="83">
        <v>100</v>
      </c>
      <c r="F51" s="84" t="s">
        <v>17</v>
      </c>
      <c r="G51" s="84" t="s">
        <v>17</v>
      </c>
      <c r="H51" s="87">
        <f>63180*117/100</f>
        <v>73920.600000000006</v>
      </c>
      <c r="I51" s="84">
        <f>H51</f>
        <v>73920.600000000006</v>
      </c>
      <c r="J51" s="86" t="s">
        <v>14</v>
      </c>
      <c r="K51" s="374" t="s">
        <v>18</v>
      </c>
      <c r="L51" s="344" t="s">
        <v>1109</v>
      </c>
      <c r="M51" s="376">
        <f>I51</f>
        <v>73920.600000000006</v>
      </c>
      <c r="N51" s="348" t="s">
        <v>22</v>
      </c>
      <c r="O51" s="350" t="s">
        <v>1106</v>
      </c>
    </row>
    <row r="52" spans="1:17" ht="14.25" x14ac:dyDescent="0.2">
      <c r="A52" s="340"/>
      <c r="B52" s="373"/>
      <c r="C52" s="373"/>
      <c r="D52" s="301" t="s">
        <v>1027</v>
      </c>
      <c r="E52" s="7">
        <v>80</v>
      </c>
      <c r="F52" s="8" t="s">
        <v>17</v>
      </c>
      <c r="G52" s="8" t="s">
        <v>17</v>
      </c>
      <c r="H52" s="8">
        <f>87750*117/100</f>
        <v>102667.5</v>
      </c>
      <c r="I52" s="8">
        <f t="shared" ref="I52:I53" si="6">H52</f>
        <v>102667.5</v>
      </c>
      <c r="J52" s="301" t="s">
        <v>14</v>
      </c>
      <c r="K52" s="375"/>
      <c r="L52" s="365"/>
      <c r="M52" s="377"/>
      <c r="N52" s="369"/>
      <c r="O52" s="378"/>
    </row>
    <row r="53" spans="1:17" ht="21.6" customHeight="1" x14ac:dyDescent="0.2">
      <c r="A53" s="340"/>
      <c r="B53" s="373"/>
      <c r="C53" s="373"/>
      <c r="D53" s="301" t="s">
        <v>617</v>
      </c>
      <c r="E53" s="7">
        <v>77</v>
      </c>
      <c r="F53" s="8" t="s">
        <v>17</v>
      </c>
      <c r="G53" s="8" t="s">
        <v>17</v>
      </c>
      <c r="H53" s="8">
        <f>936000*117/100</f>
        <v>1095120</v>
      </c>
      <c r="I53" s="8">
        <f t="shared" si="6"/>
        <v>1095120</v>
      </c>
      <c r="J53" s="301" t="s">
        <v>14</v>
      </c>
      <c r="K53" s="375"/>
      <c r="L53" s="365"/>
      <c r="M53" s="377"/>
      <c r="N53" s="369"/>
      <c r="O53" s="378"/>
    </row>
    <row r="54" spans="1:17" ht="14.25" x14ac:dyDescent="0.2">
      <c r="A54" s="336"/>
      <c r="B54" s="337"/>
      <c r="C54" s="338"/>
      <c r="D54" s="338"/>
      <c r="E54" s="338"/>
      <c r="F54" s="338"/>
      <c r="G54" s="338"/>
      <c r="H54" s="338"/>
      <c r="I54" s="338"/>
      <c r="J54" s="338"/>
      <c r="K54" s="338"/>
      <c r="L54" s="338"/>
      <c r="M54" s="338"/>
      <c r="N54" s="338"/>
      <c r="O54" s="339"/>
    </row>
    <row r="55" spans="1:17" ht="15.75" x14ac:dyDescent="0.2">
      <c r="A55" s="25"/>
      <c r="B55" s="237"/>
      <c r="C55" s="237"/>
      <c r="D55" s="237"/>
      <c r="E55" s="237"/>
      <c r="F55" s="237"/>
      <c r="G55" s="237"/>
      <c r="H55" s="237"/>
      <c r="I55" s="237"/>
      <c r="J55" s="237"/>
      <c r="K55" s="237"/>
      <c r="L55" s="237"/>
      <c r="M55" s="237"/>
      <c r="N55" s="237"/>
      <c r="O55" s="237"/>
    </row>
    <row r="56" spans="1:17" ht="15.75" x14ac:dyDescent="0.2">
      <c r="A56" s="332" t="s">
        <v>104</v>
      </c>
      <c r="B56" s="333"/>
      <c r="C56" s="333"/>
      <c r="D56" s="333"/>
      <c r="E56" s="333"/>
      <c r="F56" s="333"/>
      <c r="G56" s="333"/>
      <c r="H56" s="333"/>
      <c r="I56" s="333"/>
      <c r="J56" s="333"/>
      <c r="K56" s="333"/>
      <c r="L56" s="333"/>
      <c r="M56" s="334"/>
    </row>
    <row r="57" spans="1:17" s="13" customFormat="1" ht="204.75" x14ac:dyDescent="0.2">
      <c r="A57" s="335">
        <v>2</v>
      </c>
      <c r="B57" s="292" t="s">
        <v>1111</v>
      </c>
      <c r="C57" s="302" t="s">
        <v>16</v>
      </c>
      <c r="D57" s="19" t="s">
        <v>32</v>
      </c>
      <c r="E57" s="20">
        <v>100</v>
      </c>
      <c r="F57" s="21" t="s">
        <v>17</v>
      </c>
      <c r="G57" s="21" t="s">
        <v>17</v>
      </c>
      <c r="H57" s="21">
        <f>595000*117/100</f>
        <v>696150</v>
      </c>
      <c r="I57" s="21">
        <f>H57</f>
        <v>696150</v>
      </c>
      <c r="J57" s="19" t="s">
        <v>14</v>
      </c>
      <c r="K57" s="296" t="s">
        <v>1110</v>
      </c>
      <c r="L57" s="294" t="s">
        <v>22</v>
      </c>
      <c r="M57" s="291" t="s">
        <v>106</v>
      </c>
      <c r="O57" s="14"/>
      <c r="P57"/>
      <c r="Q57"/>
    </row>
    <row r="58" spans="1:17" s="13" customFormat="1" x14ac:dyDescent="0.2">
      <c r="A58" s="336"/>
      <c r="B58" s="337" t="s">
        <v>107</v>
      </c>
      <c r="C58" s="338"/>
      <c r="D58" s="338"/>
      <c r="E58" s="338"/>
      <c r="F58" s="338"/>
      <c r="G58" s="338"/>
      <c r="H58" s="338"/>
      <c r="I58" s="338"/>
      <c r="J58" s="338"/>
      <c r="K58" s="338"/>
      <c r="L58" s="338"/>
      <c r="M58" s="339"/>
      <c r="O58" s="14"/>
      <c r="P58"/>
      <c r="Q58"/>
    </row>
    <row r="59" spans="1:17" s="13" customFormat="1" ht="15.75" x14ac:dyDescent="0.2">
      <c r="A59" s="25"/>
      <c r="B59" s="237"/>
      <c r="C59" s="237"/>
      <c r="D59" s="237"/>
      <c r="E59" s="237"/>
      <c r="F59" s="237"/>
      <c r="G59" s="237"/>
      <c r="H59" s="237"/>
      <c r="I59" s="237"/>
      <c r="J59" s="237"/>
      <c r="K59" s="237"/>
      <c r="L59" s="237"/>
      <c r="M59" s="237"/>
      <c r="O59" s="14"/>
      <c r="P59"/>
      <c r="Q59"/>
    </row>
    <row r="60" spans="1:17" s="13" customFormat="1" x14ac:dyDescent="0.2">
      <c r="A60"/>
      <c r="B60" s="28"/>
      <c r="C60"/>
      <c r="D60"/>
      <c r="E60"/>
      <c r="F60"/>
      <c r="G60" s="10"/>
      <c r="H60" s="11"/>
      <c r="I60" s="11"/>
      <c r="J60"/>
      <c r="K60" s="12"/>
      <c r="L60" s="12"/>
      <c r="M60" s="12"/>
      <c r="O60" s="14"/>
      <c r="P60"/>
      <c r="Q60"/>
    </row>
  </sheetData>
  <mergeCells count="82">
    <mergeCell ref="A1:A6"/>
    <mergeCell ref="B1:O1"/>
    <mergeCell ref="B2:O2"/>
    <mergeCell ref="B3:O3"/>
    <mergeCell ref="B4:O4"/>
    <mergeCell ref="B5:O5"/>
    <mergeCell ref="A7:O7"/>
    <mergeCell ref="A8:A12"/>
    <mergeCell ref="B8:B11"/>
    <mergeCell ref="C8:C11"/>
    <mergeCell ref="K8:K11"/>
    <mergeCell ref="L8:L11"/>
    <mergeCell ref="M8:M11"/>
    <mergeCell ref="N14:N20"/>
    <mergeCell ref="O14:O20"/>
    <mergeCell ref="B21:O21"/>
    <mergeCell ref="N8:N11"/>
    <mergeCell ref="O8:O11"/>
    <mergeCell ref="B12:O12"/>
    <mergeCell ref="A13:O13"/>
    <mergeCell ref="A14:A21"/>
    <mergeCell ref="B14:B20"/>
    <mergeCell ref="C14:C20"/>
    <mergeCell ref="K14:K20"/>
    <mergeCell ref="L14:L20"/>
    <mergeCell ref="M14:M20"/>
    <mergeCell ref="A22:O22"/>
    <mergeCell ref="A23:A28"/>
    <mergeCell ref="B23:B27"/>
    <mergeCell ref="C23:C27"/>
    <mergeCell ref="K23:K27"/>
    <mergeCell ref="L23:L27"/>
    <mergeCell ref="M23:M27"/>
    <mergeCell ref="N23:N27"/>
    <mergeCell ref="O23:O27"/>
    <mergeCell ref="B28:O28"/>
    <mergeCell ref="A29:O29"/>
    <mergeCell ref="A30:A31"/>
    <mergeCell ref="B31:O31"/>
    <mergeCell ref="A32:O32"/>
    <mergeCell ref="A33:A38"/>
    <mergeCell ref="B33:B37"/>
    <mergeCell ref="C33:C37"/>
    <mergeCell ref="K33:K37"/>
    <mergeCell ref="L33:L37"/>
    <mergeCell ref="M33:M37"/>
    <mergeCell ref="N33:N37"/>
    <mergeCell ref="O33:O37"/>
    <mergeCell ref="B38:O38"/>
    <mergeCell ref="A39:O39"/>
    <mergeCell ref="A40:A43"/>
    <mergeCell ref="B40:B42"/>
    <mergeCell ref="C40:C42"/>
    <mergeCell ref="K40:K42"/>
    <mergeCell ref="L40:L42"/>
    <mergeCell ref="M40:M42"/>
    <mergeCell ref="N40:N42"/>
    <mergeCell ref="O40:O42"/>
    <mergeCell ref="B43:O43"/>
    <mergeCell ref="A44:O44"/>
    <mergeCell ref="A45:A49"/>
    <mergeCell ref="B45:B48"/>
    <mergeCell ref="C45:C48"/>
    <mergeCell ref="K45:K48"/>
    <mergeCell ref="L45:L48"/>
    <mergeCell ref="M45:M48"/>
    <mergeCell ref="N45:N48"/>
    <mergeCell ref="O45:O48"/>
    <mergeCell ref="B49:O49"/>
    <mergeCell ref="A56:M56"/>
    <mergeCell ref="A57:A58"/>
    <mergeCell ref="B58:M58"/>
    <mergeCell ref="A50:O50"/>
    <mergeCell ref="A51:A54"/>
    <mergeCell ref="B51:B53"/>
    <mergeCell ref="C51:C53"/>
    <mergeCell ref="K51:K53"/>
    <mergeCell ref="L51:L53"/>
    <mergeCell ref="M51:M53"/>
    <mergeCell ref="N51:N53"/>
    <mergeCell ref="O51:O53"/>
    <mergeCell ref="B54:O54"/>
  </mergeCells>
  <pageMargins left="0.25" right="0.25" top="0.75" bottom="0.75" header="0.3" footer="0.3"/>
  <pageSetup paperSize="9" scale="72" fitToHeight="0" orientation="landscape" r:id="rId1"/>
  <rowBreaks count="2" manualBreakCount="2">
    <brk id="28" max="16383" man="1"/>
    <brk id="55" max="16383"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M145"/>
  <sheetViews>
    <sheetView rightToLeft="1" tabSelected="1" zoomScaleNormal="100" workbookViewId="0">
      <selection activeCell="A145" sqref="A145:XFD145"/>
    </sheetView>
  </sheetViews>
  <sheetFormatPr defaultColWidth="8.75" defaultRowHeight="15" x14ac:dyDescent="0.2"/>
  <cols>
    <col min="1" max="1" width="4.25" customWidth="1"/>
    <col min="2" max="2" width="21.125" style="9" bestFit="1" customWidth="1"/>
    <col min="4" max="4" width="7.25" customWidth="1"/>
    <col min="5" max="5" width="7.75" customWidth="1"/>
    <col min="6" max="6" width="10.25" bestFit="1" customWidth="1"/>
    <col min="7" max="7" width="12.125" style="10" bestFit="1" customWidth="1"/>
    <col min="8" max="8" width="13.625" style="11" bestFit="1" customWidth="1"/>
    <col min="9" max="9" width="14.625" style="11" bestFit="1" customWidth="1"/>
    <col min="10" max="10" width="9" customWidth="1"/>
    <col min="11" max="11" width="23.625" style="12" customWidth="1"/>
    <col min="12" max="12" width="13.5" style="13" customWidth="1"/>
    <col min="13" max="13" width="16.5" style="14" customWidth="1"/>
  </cols>
  <sheetData>
    <row r="1" spans="1:13" ht="20.25" x14ac:dyDescent="0.2">
      <c r="A1" s="354"/>
      <c r="B1" s="355" t="s">
        <v>243</v>
      </c>
      <c r="C1" s="355"/>
      <c r="D1" s="355"/>
      <c r="E1" s="355"/>
      <c r="F1" s="355"/>
      <c r="G1" s="355"/>
      <c r="H1" s="355"/>
      <c r="I1" s="355"/>
      <c r="J1" s="355"/>
      <c r="K1" s="355"/>
      <c r="L1" s="355"/>
      <c r="M1" s="355"/>
    </row>
    <row r="2" spans="1:13" ht="14.25" x14ac:dyDescent="0.2">
      <c r="A2" s="354"/>
      <c r="B2" s="356" t="s">
        <v>198</v>
      </c>
      <c r="C2" s="356"/>
      <c r="D2" s="356"/>
      <c r="E2" s="356"/>
      <c r="F2" s="356"/>
      <c r="G2" s="356"/>
      <c r="H2" s="356"/>
      <c r="I2" s="356"/>
      <c r="J2" s="356"/>
      <c r="K2" s="356"/>
      <c r="L2" s="356"/>
      <c r="M2" s="356"/>
    </row>
    <row r="3" spans="1:13" ht="15.75" x14ac:dyDescent="0.2">
      <c r="A3" s="354"/>
      <c r="B3" s="357" t="s">
        <v>0</v>
      </c>
      <c r="C3" s="357"/>
      <c r="D3" s="357"/>
      <c r="E3" s="357"/>
      <c r="F3" s="357"/>
      <c r="G3" s="357"/>
      <c r="H3" s="357"/>
      <c r="I3" s="357"/>
      <c r="J3" s="357"/>
      <c r="K3" s="357"/>
      <c r="L3" s="357"/>
      <c r="M3" s="357"/>
    </row>
    <row r="4" spans="1:13" ht="14.25" x14ac:dyDescent="0.2">
      <c r="A4" s="354"/>
      <c r="B4" s="358" t="s">
        <v>71</v>
      </c>
      <c r="C4" s="358"/>
      <c r="D4" s="358"/>
      <c r="E4" s="358"/>
      <c r="F4" s="358"/>
      <c r="G4" s="358"/>
      <c r="H4" s="358"/>
      <c r="I4" s="358"/>
      <c r="J4" s="358"/>
      <c r="K4" s="358"/>
      <c r="L4" s="358"/>
      <c r="M4" s="358"/>
    </row>
    <row r="5" spans="1:13" ht="14.25" x14ac:dyDescent="0.2">
      <c r="A5" s="354"/>
      <c r="B5" s="358" t="s">
        <v>70</v>
      </c>
      <c r="C5" s="358"/>
      <c r="D5" s="358"/>
      <c r="E5" s="358"/>
      <c r="F5" s="358"/>
      <c r="G5" s="358"/>
      <c r="H5" s="358"/>
      <c r="I5" s="358"/>
      <c r="J5" s="358"/>
      <c r="K5" s="358"/>
      <c r="L5" s="358"/>
      <c r="M5" s="358"/>
    </row>
    <row r="6" spans="1:13" ht="47.25" x14ac:dyDescent="0.2">
      <c r="A6" s="354"/>
      <c r="B6" s="1" t="s">
        <v>1</v>
      </c>
      <c r="C6" s="2" t="s">
        <v>2</v>
      </c>
      <c r="D6" s="3" t="s">
        <v>3</v>
      </c>
      <c r="E6" s="3" t="s">
        <v>4</v>
      </c>
      <c r="F6" s="3" t="s">
        <v>5</v>
      </c>
      <c r="G6" s="3" t="s">
        <v>6</v>
      </c>
      <c r="H6" s="4" t="s">
        <v>7</v>
      </c>
      <c r="I6" s="5" t="s">
        <v>8</v>
      </c>
      <c r="J6" s="3" t="s">
        <v>9</v>
      </c>
      <c r="K6" s="3" t="s">
        <v>10</v>
      </c>
      <c r="L6" s="6" t="s">
        <v>11</v>
      </c>
      <c r="M6" s="3" t="s">
        <v>12</v>
      </c>
    </row>
    <row r="7" spans="1:13" ht="15.75" x14ac:dyDescent="0.2">
      <c r="A7" s="332" t="s">
        <v>103</v>
      </c>
      <c r="B7" s="333"/>
      <c r="C7" s="333"/>
      <c r="D7" s="333"/>
      <c r="E7" s="333"/>
      <c r="F7" s="333"/>
      <c r="G7" s="333"/>
      <c r="H7" s="333"/>
      <c r="I7" s="333"/>
      <c r="J7" s="333"/>
      <c r="K7" s="333"/>
      <c r="L7" s="333"/>
      <c r="M7" s="334"/>
    </row>
    <row r="8" spans="1:13" ht="38.25" x14ac:dyDescent="0.2">
      <c r="A8" s="335">
        <v>1</v>
      </c>
      <c r="B8" s="342" t="s">
        <v>94</v>
      </c>
      <c r="C8" s="342" t="s">
        <v>95</v>
      </c>
      <c r="D8" s="16" t="s">
        <v>96</v>
      </c>
      <c r="E8" s="17">
        <v>94</v>
      </c>
      <c r="F8" s="18" t="s">
        <v>97</v>
      </c>
      <c r="G8" s="18" t="s">
        <v>98</v>
      </c>
      <c r="H8" s="18">
        <f>400</f>
        <v>400</v>
      </c>
      <c r="I8" s="18">
        <f>H8*30*24</f>
        <v>288000</v>
      </c>
      <c r="J8" s="16" t="s">
        <v>14</v>
      </c>
      <c r="K8" s="412" t="s">
        <v>261</v>
      </c>
      <c r="L8" s="442" t="s">
        <v>22</v>
      </c>
      <c r="M8" s="350">
        <v>2440122750</v>
      </c>
    </row>
    <row r="9" spans="1:13" ht="38.25" x14ac:dyDescent="0.2">
      <c r="A9" s="340"/>
      <c r="B9" s="373"/>
      <c r="C9" s="373"/>
      <c r="D9" s="31" t="s">
        <v>99</v>
      </c>
      <c r="E9" s="7">
        <v>85</v>
      </c>
      <c r="F9" s="8" t="s">
        <v>97</v>
      </c>
      <c r="G9" s="8" t="s">
        <v>98</v>
      </c>
      <c r="H9" s="8">
        <f>400</f>
        <v>400</v>
      </c>
      <c r="I9" s="8">
        <f t="shared" ref="I9:I12" si="0">H9*30*24</f>
        <v>288000</v>
      </c>
      <c r="J9" s="31" t="s">
        <v>14</v>
      </c>
      <c r="K9" s="413"/>
      <c r="L9" s="442"/>
      <c r="M9" s="378"/>
    </row>
    <row r="10" spans="1:13" ht="38.25" x14ac:dyDescent="0.2">
      <c r="A10" s="340"/>
      <c r="B10" s="373"/>
      <c r="C10" s="373"/>
      <c r="D10" s="31" t="s">
        <v>100</v>
      </c>
      <c r="E10" s="7">
        <v>71</v>
      </c>
      <c r="F10" s="8" t="s">
        <v>97</v>
      </c>
      <c r="G10" s="8" t="s">
        <v>98</v>
      </c>
      <c r="H10" s="8">
        <f>480</f>
        <v>480</v>
      </c>
      <c r="I10" s="8">
        <f t="shared" si="0"/>
        <v>345600</v>
      </c>
      <c r="J10" s="31" t="s">
        <v>14</v>
      </c>
      <c r="K10" s="413"/>
      <c r="L10" s="442"/>
      <c r="M10" s="378"/>
    </row>
    <row r="11" spans="1:13" ht="38.25" x14ac:dyDescent="0.2">
      <c r="A11" s="340"/>
      <c r="B11" s="373"/>
      <c r="C11" s="373"/>
      <c r="D11" s="31" t="s">
        <v>101</v>
      </c>
      <c r="E11" s="7">
        <v>70</v>
      </c>
      <c r="F11" s="8" t="s">
        <v>97</v>
      </c>
      <c r="G11" s="8" t="s">
        <v>98</v>
      </c>
      <c r="H11" s="8">
        <f>453</f>
        <v>453</v>
      </c>
      <c r="I11" s="8">
        <f t="shared" si="0"/>
        <v>326160</v>
      </c>
      <c r="J11" s="31" t="s">
        <v>14</v>
      </c>
      <c r="K11" s="413"/>
      <c r="L11" s="442"/>
      <c r="M11" s="378"/>
    </row>
    <row r="12" spans="1:13" ht="38.25" x14ac:dyDescent="0.2">
      <c r="A12" s="340"/>
      <c r="B12" s="373"/>
      <c r="C12" s="373"/>
      <c r="D12" s="31" t="s">
        <v>102</v>
      </c>
      <c r="E12" s="7">
        <v>63.5</v>
      </c>
      <c r="F12" s="8" t="s">
        <v>97</v>
      </c>
      <c r="G12" s="8" t="s">
        <v>98</v>
      </c>
      <c r="H12" s="8">
        <f>500</f>
        <v>500</v>
      </c>
      <c r="I12" s="8">
        <f t="shared" si="0"/>
        <v>360000</v>
      </c>
      <c r="J12" s="31" t="s">
        <v>14</v>
      </c>
      <c r="K12" s="413"/>
      <c r="L12" s="442"/>
      <c r="M12" s="378"/>
    </row>
    <row r="13" spans="1:13" ht="14.25" x14ac:dyDescent="0.2">
      <c r="A13" s="336"/>
      <c r="B13" s="337"/>
      <c r="C13" s="338"/>
      <c r="D13" s="338"/>
      <c r="E13" s="338"/>
      <c r="F13" s="338"/>
      <c r="G13" s="338"/>
      <c r="H13" s="338"/>
      <c r="I13" s="338"/>
      <c r="J13" s="338"/>
      <c r="K13" s="338"/>
      <c r="L13" s="338"/>
      <c r="M13" s="339"/>
    </row>
    <row r="14" spans="1:13" ht="15.75" x14ac:dyDescent="0.2">
      <c r="A14" s="332" t="s">
        <v>104</v>
      </c>
      <c r="B14" s="333"/>
      <c r="C14" s="333"/>
      <c r="D14" s="333"/>
      <c r="E14" s="333"/>
      <c r="F14" s="333"/>
      <c r="G14" s="333"/>
      <c r="H14" s="333"/>
      <c r="I14" s="333"/>
      <c r="J14" s="333"/>
      <c r="K14" s="333"/>
      <c r="L14" s="333"/>
      <c r="M14" s="334"/>
    </row>
    <row r="15" spans="1:13" ht="78.75" x14ac:dyDescent="0.2">
      <c r="A15" s="335">
        <v>2</v>
      </c>
      <c r="B15" s="50" t="s">
        <v>105</v>
      </c>
      <c r="C15" s="30" t="s">
        <v>16</v>
      </c>
      <c r="D15" s="19" t="s">
        <v>32</v>
      </c>
      <c r="E15" s="20">
        <v>100</v>
      </c>
      <c r="F15" s="21" t="s">
        <v>17</v>
      </c>
      <c r="G15" s="21" t="s">
        <v>17</v>
      </c>
      <c r="H15" s="21">
        <f>595000*117/100</f>
        <v>696150</v>
      </c>
      <c r="I15" s="21">
        <f>H15</f>
        <v>696150</v>
      </c>
      <c r="J15" s="19" t="s">
        <v>14</v>
      </c>
      <c r="K15" s="51" t="s">
        <v>244</v>
      </c>
      <c r="L15" s="54" t="s">
        <v>22</v>
      </c>
      <c r="M15" s="53" t="s">
        <v>106</v>
      </c>
    </row>
    <row r="16" spans="1:13" ht="14.25" x14ac:dyDescent="0.2">
      <c r="A16" s="336"/>
      <c r="B16" s="337" t="s">
        <v>107</v>
      </c>
      <c r="C16" s="338"/>
      <c r="D16" s="338"/>
      <c r="E16" s="338"/>
      <c r="F16" s="338"/>
      <c r="G16" s="338"/>
      <c r="H16" s="338"/>
      <c r="I16" s="338"/>
      <c r="J16" s="338"/>
      <c r="K16" s="338"/>
      <c r="L16" s="338"/>
      <c r="M16" s="339"/>
    </row>
    <row r="17" spans="1:13" ht="15.75" x14ac:dyDescent="0.2">
      <c r="A17" s="332" t="s">
        <v>109</v>
      </c>
      <c r="B17" s="333"/>
      <c r="C17" s="333"/>
      <c r="D17" s="333"/>
      <c r="E17" s="333"/>
      <c r="F17" s="333"/>
      <c r="G17" s="333"/>
      <c r="H17" s="333"/>
      <c r="I17" s="333"/>
      <c r="J17" s="333"/>
      <c r="K17" s="333"/>
      <c r="L17" s="333"/>
      <c r="M17" s="334"/>
    </row>
    <row r="18" spans="1:13" ht="51" x14ac:dyDescent="0.2">
      <c r="A18" s="335">
        <v>3</v>
      </c>
      <c r="B18" s="50" t="s">
        <v>75</v>
      </c>
      <c r="C18" s="50" t="s">
        <v>76</v>
      </c>
      <c r="D18" s="19" t="s">
        <v>55</v>
      </c>
      <c r="E18" s="20">
        <v>100</v>
      </c>
      <c r="F18" s="18" t="s">
        <v>13</v>
      </c>
      <c r="G18" s="18" t="s">
        <v>246</v>
      </c>
      <c r="H18" s="18">
        <f>180*117/100</f>
        <v>210.6</v>
      </c>
      <c r="I18" s="21">
        <f>H18*100*6</f>
        <v>126360</v>
      </c>
      <c r="J18" s="16" t="s">
        <v>14</v>
      </c>
      <c r="K18" s="51" t="s">
        <v>245</v>
      </c>
      <c r="L18" s="52" t="s">
        <v>22</v>
      </c>
      <c r="M18" s="53">
        <v>2440052960</v>
      </c>
    </row>
    <row r="19" spans="1:13" ht="24" customHeight="1" x14ac:dyDescent="0.2">
      <c r="A19" s="336"/>
      <c r="B19" s="337" t="s">
        <v>108</v>
      </c>
      <c r="C19" s="338"/>
      <c r="D19" s="338"/>
      <c r="E19" s="338"/>
      <c r="F19" s="338"/>
      <c r="G19" s="338"/>
      <c r="H19" s="338"/>
      <c r="I19" s="338"/>
      <c r="J19" s="338"/>
      <c r="K19" s="338"/>
      <c r="L19" s="338"/>
      <c r="M19" s="339"/>
    </row>
    <row r="20" spans="1:13" ht="15.75" x14ac:dyDescent="0.2">
      <c r="A20" s="332" t="s">
        <v>110</v>
      </c>
      <c r="B20" s="333"/>
      <c r="C20" s="333"/>
      <c r="D20" s="333"/>
      <c r="E20" s="333"/>
      <c r="F20" s="333"/>
      <c r="G20" s="333"/>
      <c r="H20" s="333"/>
      <c r="I20" s="333"/>
      <c r="J20" s="333"/>
      <c r="K20" s="333"/>
      <c r="L20" s="333"/>
      <c r="M20" s="334"/>
    </row>
    <row r="21" spans="1:13" ht="25.5" x14ac:dyDescent="0.2">
      <c r="A21" s="340">
        <v>4</v>
      </c>
      <c r="B21" s="373" t="s">
        <v>111</v>
      </c>
      <c r="C21" s="373" t="s">
        <v>72</v>
      </c>
      <c r="D21" s="19" t="s">
        <v>113</v>
      </c>
      <c r="E21" s="20">
        <v>100</v>
      </c>
      <c r="F21" s="21" t="s">
        <v>15</v>
      </c>
      <c r="G21" s="21" t="s">
        <v>112</v>
      </c>
      <c r="H21" s="22">
        <v>3.3000000000000002E-2</v>
      </c>
      <c r="I21" s="21">
        <f>H21*900000*117/100</f>
        <v>34749</v>
      </c>
      <c r="J21" s="19" t="s">
        <v>14</v>
      </c>
      <c r="K21" s="413" t="s">
        <v>262</v>
      </c>
      <c r="L21" s="369" t="s">
        <v>22</v>
      </c>
      <c r="M21" s="378"/>
    </row>
    <row r="22" spans="1:13" ht="25.5" x14ac:dyDescent="0.2">
      <c r="A22" s="340"/>
      <c r="B22" s="373"/>
      <c r="C22" s="373"/>
      <c r="D22" s="23" t="s">
        <v>114</v>
      </c>
      <c r="E22" s="32">
        <v>88</v>
      </c>
      <c r="F22" s="8" t="s">
        <v>15</v>
      </c>
      <c r="G22" s="8" t="s">
        <v>112</v>
      </c>
      <c r="H22" s="33">
        <v>0.04</v>
      </c>
      <c r="I22" s="15">
        <f t="shared" ref="I22:I23" si="1">H22*900000*117/100</f>
        <v>42120</v>
      </c>
      <c r="J22" s="23" t="s">
        <v>14</v>
      </c>
      <c r="K22" s="413"/>
      <c r="L22" s="369"/>
      <c r="M22" s="378"/>
    </row>
    <row r="23" spans="1:13" ht="25.5" x14ac:dyDescent="0.2">
      <c r="A23" s="340"/>
      <c r="B23" s="373"/>
      <c r="C23" s="373"/>
      <c r="D23" s="23" t="s">
        <v>115</v>
      </c>
      <c r="E23" s="32">
        <v>69</v>
      </c>
      <c r="F23" s="8" t="s">
        <v>15</v>
      </c>
      <c r="G23" s="8" t="s">
        <v>112</v>
      </c>
      <c r="H23" s="33">
        <v>0.06</v>
      </c>
      <c r="I23" s="15">
        <f t="shared" si="1"/>
        <v>63180</v>
      </c>
      <c r="J23" s="23" t="s">
        <v>14</v>
      </c>
      <c r="K23" s="413"/>
      <c r="L23" s="369"/>
      <c r="M23" s="378"/>
    </row>
    <row r="24" spans="1:13" ht="14.25" x14ac:dyDescent="0.2">
      <c r="A24" s="336"/>
      <c r="B24" s="337" t="s">
        <v>181</v>
      </c>
      <c r="C24" s="338"/>
      <c r="D24" s="338"/>
      <c r="E24" s="338"/>
      <c r="F24" s="338"/>
      <c r="G24" s="338"/>
      <c r="H24" s="338"/>
      <c r="I24" s="338"/>
      <c r="J24" s="338"/>
      <c r="K24" s="338"/>
      <c r="L24" s="338"/>
      <c r="M24" s="339"/>
    </row>
    <row r="25" spans="1:13" ht="15.75" x14ac:dyDescent="0.2">
      <c r="A25" s="332" t="s">
        <v>117</v>
      </c>
      <c r="B25" s="333"/>
      <c r="C25" s="333"/>
      <c r="D25" s="333"/>
      <c r="E25" s="333"/>
      <c r="F25" s="333"/>
      <c r="G25" s="333"/>
      <c r="H25" s="333"/>
      <c r="I25" s="333"/>
      <c r="J25" s="333"/>
      <c r="K25" s="333"/>
      <c r="L25" s="333"/>
      <c r="M25" s="334"/>
    </row>
    <row r="26" spans="1:13" ht="38.25" x14ac:dyDescent="0.2">
      <c r="A26" s="335">
        <v>5</v>
      </c>
      <c r="B26" s="342" t="s">
        <v>118</v>
      </c>
      <c r="C26" s="342" t="s">
        <v>52</v>
      </c>
      <c r="D26" s="16" t="s">
        <v>119</v>
      </c>
      <c r="E26" s="17">
        <v>100</v>
      </c>
      <c r="F26" s="18" t="s">
        <v>17</v>
      </c>
      <c r="G26" s="18" t="s">
        <v>17</v>
      </c>
      <c r="H26" s="18">
        <f>385922*117/100</f>
        <v>451528.74</v>
      </c>
      <c r="I26" s="18">
        <f>H26</f>
        <v>451528.74</v>
      </c>
      <c r="J26" s="16" t="s">
        <v>14</v>
      </c>
      <c r="K26" s="412" t="s">
        <v>20</v>
      </c>
      <c r="L26" s="442" t="s">
        <v>22</v>
      </c>
      <c r="M26" s="350"/>
    </row>
    <row r="27" spans="1:13" ht="25.5" x14ac:dyDescent="0.2">
      <c r="A27" s="340"/>
      <c r="B27" s="373"/>
      <c r="C27" s="373"/>
      <c r="D27" s="31" t="s">
        <v>41</v>
      </c>
      <c r="E27" s="7">
        <v>94</v>
      </c>
      <c r="F27" s="8" t="s">
        <v>17</v>
      </c>
      <c r="G27" s="8" t="s">
        <v>17</v>
      </c>
      <c r="H27" s="8">
        <f>425000*117/100</f>
        <v>497250</v>
      </c>
      <c r="I27" s="8">
        <f t="shared" ref="I27:I30" si="2">H27</f>
        <v>497250</v>
      </c>
      <c r="J27" s="31" t="s">
        <v>14</v>
      </c>
      <c r="K27" s="413"/>
      <c r="L27" s="442"/>
      <c r="M27" s="378"/>
    </row>
    <row r="28" spans="1:13" ht="25.5" x14ac:dyDescent="0.2">
      <c r="A28" s="340"/>
      <c r="B28" s="373"/>
      <c r="C28" s="373"/>
      <c r="D28" s="31" t="s">
        <v>120</v>
      </c>
      <c r="E28" s="7">
        <v>80</v>
      </c>
      <c r="F28" s="8" t="s">
        <v>17</v>
      </c>
      <c r="G28" s="8" t="s">
        <v>17</v>
      </c>
      <c r="H28" s="8">
        <f>550000*117/100</f>
        <v>643500</v>
      </c>
      <c r="I28" s="8">
        <f t="shared" si="2"/>
        <v>643500</v>
      </c>
      <c r="J28" s="31" t="s">
        <v>14</v>
      </c>
      <c r="K28" s="413"/>
      <c r="L28" s="442"/>
      <c r="M28" s="378"/>
    </row>
    <row r="29" spans="1:13" ht="38.25" x14ac:dyDescent="0.2">
      <c r="A29" s="340"/>
      <c r="B29" s="373"/>
      <c r="C29" s="373"/>
      <c r="D29" s="31" t="s">
        <v>121</v>
      </c>
      <c r="E29" s="7">
        <v>80</v>
      </c>
      <c r="F29" s="8" t="s">
        <v>17</v>
      </c>
      <c r="G29" s="8" t="s">
        <v>17</v>
      </c>
      <c r="H29" s="8">
        <f>550000*117/100</f>
        <v>643500</v>
      </c>
      <c r="I29" s="8">
        <f t="shared" si="2"/>
        <v>643500</v>
      </c>
      <c r="J29" s="31"/>
      <c r="K29" s="413"/>
      <c r="L29" s="442"/>
      <c r="M29" s="378"/>
    </row>
    <row r="30" spans="1:13" ht="25.5" x14ac:dyDescent="0.2">
      <c r="A30" s="340"/>
      <c r="B30" s="373"/>
      <c r="C30" s="373"/>
      <c r="D30" s="31" t="s">
        <v>122</v>
      </c>
      <c r="E30" s="7">
        <v>70</v>
      </c>
      <c r="F30" s="8" t="s">
        <v>17</v>
      </c>
      <c r="G30" s="8" t="s">
        <v>17</v>
      </c>
      <c r="H30" s="8">
        <f>690000*117/100</f>
        <v>807300</v>
      </c>
      <c r="I30" s="8">
        <f t="shared" si="2"/>
        <v>807300</v>
      </c>
      <c r="J30" s="31" t="s">
        <v>14</v>
      </c>
      <c r="K30" s="413"/>
      <c r="L30" s="442"/>
      <c r="M30" s="378"/>
    </row>
    <row r="31" spans="1:13" ht="14.25" x14ac:dyDescent="0.2">
      <c r="A31" s="336"/>
      <c r="B31" s="337"/>
      <c r="C31" s="338"/>
      <c r="D31" s="338"/>
      <c r="E31" s="338"/>
      <c r="F31" s="338"/>
      <c r="G31" s="338"/>
      <c r="H31" s="338"/>
      <c r="I31" s="338"/>
      <c r="J31" s="338"/>
      <c r="K31" s="338"/>
      <c r="L31" s="338"/>
      <c r="M31" s="339"/>
    </row>
    <row r="32" spans="1:13" ht="15.75" x14ac:dyDescent="0.2">
      <c r="A32" s="332" t="s">
        <v>123</v>
      </c>
      <c r="B32" s="333"/>
      <c r="C32" s="333"/>
      <c r="D32" s="333"/>
      <c r="E32" s="333"/>
      <c r="F32" s="333"/>
      <c r="G32" s="333"/>
      <c r="H32" s="333"/>
      <c r="I32" s="333"/>
      <c r="J32" s="333"/>
      <c r="K32" s="333"/>
      <c r="L32" s="333"/>
      <c r="M32" s="334"/>
    </row>
    <row r="33" spans="1:13" ht="38.25" x14ac:dyDescent="0.2">
      <c r="A33" s="335">
        <v>6</v>
      </c>
      <c r="B33" s="342" t="s">
        <v>124</v>
      </c>
      <c r="C33" s="342" t="s">
        <v>52</v>
      </c>
      <c r="D33" s="16" t="s">
        <v>119</v>
      </c>
      <c r="E33" s="17">
        <v>100</v>
      </c>
      <c r="F33" s="18" t="s">
        <v>17</v>
      </c>
      <c r="G33" s="18" t="s">
        <v>17</v>
      </c>
      <c r="H33" s="18">
        <f>193969*117/100</f>
        <v>226943.73</v>
      </c>
      <c r="I33" s="18">
        <f>H33</f>
        <v>226943.73</v>
      </c>
      <c r="J33" s="16" t="s">
        <v>14</v>
      </c>
      <c r="K33" s="412" t="s">
        <v>20</v>
      </c>
      <c r="L33" s="442" t="s">
        <v>22</v>
      </c>
      <c r="M33" s="350"/>
    </row>
    <row r="34" spans="1:13" ht="25.5" x14ac:dyDescent="0.2">
      <c r="A34" s="340"/>
      <c r="B34" s="373"/>
      <c r="C34" s="373"/>
      <c r="D34" s="31" t="s">
        <v>41</v>
      </c>
      <c r="E34" s="7">
        <v>70</v>
      </c>
      <c r="F34" s="8" t="s">
        <v>17</v>
      </c>
      <c r="G34" s="8" t="s">
        <v>17</v>
      </c>
      <c r="H34" s="8">
        <f>340000*117/100</f>
        <v>397800</v>
      </c>
      <c r="I34" s="8">
        <f t="shared" ref="I34:I37" si="3">H34</f>
        <v>397800</v>
      </c>
      <c r="J34" s="31" t="s">
        <v>14</v>
      </c>
      <c r="K34" s="413"/>
      <c r="L34" s="442"/>
      <c r="M34" s="378"/>
    </row>
    <row r="35" spans="1:13" ht="38.25" x14ac:dyDescent="0.2">
      <c r="A35" s="340"/>
      <c r="B35" s="373"/>
      <c r="C35" s="373"/>
      <c r="D35" s="31" t="s">
        <v>121</v>
      </c>
      <c r="E35" s="7">
        <v>69</v>
      </c>
      <c r="F35" s="8" t="s">
        <v>17</v>
      </c>
      <c r="G35" s="8" t="s">
        <v>17</v>
      </c>
      <c r="H35" s="8">
        <f>350000*117/100</f>
        <v>409500</v>
      </c>
      <c r="I35" s="8">
        <f>H35</f>
        <v>409500</v>
      </c>
      <c r="J35" s="31"/>
      <c r="K35" s="413"/>
      <c r="L35" s="442"/>
      <c r="M35" s="378"/>
    </row>
    <row r="36" spans="1:13" ht="25.5" x14ac:dyDescent="0.2">
      <c r="A36" s="340"/>
      <c r="B36" s="373"/>
      <c r="C36" s="373"/>
      <c r="D36" s="31" t="s">
        <v>120</v>
      </c>
      <c r="E36" s="7">
        <v>64</v>
      </c>
      <c r="F36" s="8" t="s">
        <v>17</v>
      </c>
      <c r="G36" s="8" t="s">
        <v>17</v>
      </c>
      <c r="H36" s="8">
        <f>400000*117/100</f>
        <v>468000</v>
      </c>
      <c r="I36" s="8">
        <f t="shared" si="3"/>
        <v>468000</v>
      </c>
      <c r="J36" s="31" t="s">
        <v>14</v>
      </c>
      <c r="K36" s="413"/>
      <c r="L36" s="442"/>
      <c r="M36" s="378"/>
    </row>
    <row r="37" spans="1:13" ht="25.5" x14ac:dyDescent="0.2">
      <c r="A37" s="340"/>
      <c r="B37" s="373"/>
      <c r="C37" s="373"/>
      <c r="D37" s="31" t="s">
        <v>122</v>
      </c>
      <c r="E37" s="7">
        <v>54</v>
      </c>
      <c r="F37" s="8" t="s">
        <v>17</v>
      </c>
      <c r="G37" s="8" t="s">
        <v>17</v>
      </c>
      <c r="H37" s="8">
        <f>580000*117/100</f>
        <v>678600</v>
      </c>
      <c r="I37" s="8">
        <f t="shared" si="3"/>
        <v>678600</v>
      </c>
      <c r="J37" s="31" t="s">
        <v>14</v>
      </c>
      <c r="K37" s="413"/>
      <c r="L37" s="442"/>
      <c r="M37" s="378"/>
    </row>
    <row r="38" spans="1:13" ht="14.25" x14ac:dyDescent="0.2">
      <c r="A38" s="336"/>
      <c r="B38" s="337"/>
      <c r="C38" s="338"/>
      <c r="D38" s="338"/>
      <c r="E38" s="338"/>
      <c r="F38" s="338"/>
      <c r="G38" s="338"/>
      <c r="H38" s="338"/>
      <c r="I38" s="338"/>
      <c r="J38" s="338"/>
      <c r="K38" s="338"/>
      <c r="L38" s="338"/>
      <c r="M38" s="339"/>
    </row>
    <row r="39" spans="1:13" ht="15.75" x14ac:dyDescent="0.2">
      <c r="A39" s="332" t="s">
        <v>125</v>
      </c>
      <c r="B39" s="333"/>
      <c r="C39" s="333"/>
      <c r="D39" s="333"/>
      <c r="E39" s="333"/>
      <c r="F39" s="333"/>
      <c r="G39" s="333"/>
      <c r="H39" s="333"/>
      <c r="I39" s="333"/>
      <c r="J39" s="333"/>
      <c r="K39" s="333"/>
      <c r="L39" s="333"/>
      <c r="M39" s="334"/>
    </row>
    <row r="40" spans="1:13" ht="141.75" x14ac:dyDescent="0.2">
      <c r="A40" s="335">
        <v>7</v>
      </c>
      <c r="B40" s="50" t="s">
        <v>221</v>
      </c>
      <c r="C40" s="50" t="s">
        <v>52</v>
      </c>
      <c r="D40" s="55" t="s">
        <v>222</v>
      </c>
      <c r="E40" s="56">
        <v>100</v>
      </c>
      <c r="F40" s="57" t="s">
        <v>17</v>
      </c>
      <c r="G40" s="57" t="s">
        <v>17</v>
      </c>
      <c r="H40" s="58">
        <f>445000*1.17</f>
        <v>520649.99999999994</v>
      </c>
      <c r="I40" s="57">
        <f>439082*1.17</f>
        <v>513725.93999999994</v>
      </c>
      <c r="J40" s="55" t="s">
        <v>14</v>
      </c>
      <c r="K40" s="51" t="s">
        <v>263</v>
      </c>
      <c r="L40" s="52" t="s">
        <v>22</v>
      </c>
      <c r="M40" s="53" t="s">
        <v>223</v>
      </c>
    </row>
    <row r="41" spans="1:13" ht="30" customHeight="1" x14ac:dyDescent="0.2">
      <c r="A41" s="336"/>
      <c r="B41" s="337" t="s">
        <v>224</v>
      </c>
      <c r="C41" s="338"/>
      <c r="D41" s="338"/>
      <c r="E41" s="338"/>
      <c r="F41" s="338"/>
      <c r="G41" s="338"/>
      <c r="H41" s="338"/>
      <c r="I41" s="338"/>
      <c r="J41" s="338"/>
      <c r="K41" s="338"/>
      <c r="L41" s="338"/>
      <c r="M41" s="339"/>
    </row>
    <row r="42" spans="1:13" ht="15.75" x14ac:dyDescent="0.2">
      <c r="A42" s="332" t="s">
        <v>131</v>
      </c>
      <c r="B42" s="333"/>
      <c r="C42" s="333"/>
      <c r="D42" s="333"/>
      <c r="E42" s="333"/>
      <c r="F42" s="333"/>
      <c r="G42" s="333"/>
      <c r="H42" s="333"/>
      <c r="I42" s="333"/>
      <c r="J42" s="333"/>
      <c r="K42" s="333"/>
      <c r="L42" s="333"/>
      <c r="M42" s="334"/>
    </row>
    <row r="43" spans="1:13" ht="14.25" x14ac:dyDescent="0.2">
      <c r="A43" s="335">
        <v>8</v>
      </c>
      <c r="B43" s="342" t="s">
        <v>126</v>
      </c>
      <c r="C43" s="342" t="s">
        <v>16</v>
      </c>
      <c r="D43" s="16" t="s">
        <v>127</v>
      </c>
      <c r="E43" s="17">
        <v>100</v>
      </c>
      <c r="F43" s="18" t="s">
        <v>247</v>
      </c>
      <c r="G43" s="18" t="s">
        <v>248</v>
      </c>
      <c r="H43" s="18">
        <f>15000*117/100</f>
        <v>17550</v>
      </c>
      <c r="I43" s="18">
        <f>H43*10</f>
        <v>175500</v>
      </c>
      <c r="J43" s="16" t="s">
        <v>14</v>
      </c>
      <c r="K43" s="412" t="s">
        <v>264</v>
      </c>
      <c r="L43" s="442" t="s">
        <v>22</v>
      </c>
      <c r="M43" s="350">
        <v>253012</v>
      </c>
    </row>
    <row r="44" spans="1:13" ht="25.5" x14ac:dyDescent="0.2">
      <c r="A44" s="340"/>
      <c r="B44" s="373"/>
      <c r="C44" s="373"/>
      <c r="D44" s="31" t="s">
        <v>84</v>
      </c>
      <c r="E44" s="7">
        <v>88</v>
      </c>
      <c r="F44" s="8" t="s">
        <v>247</v>
      </c>
      <c r="G44" s="8" t="s">
        <v>248</v>
      </c>
      <c r="H44" s="8">
        <f>18000*117/100</f>
        <v>21060</v>
      </c>
      <c r="I44" s="8">
        <f>H44*10</f>
        <v>210600</v>
      </c>
      <c r="J44" s="31" t="s">
        <v>14</v>
      </c>
      <c r="K44" s="413"/>
      <c r="L44" s="442"/>
      <c r="M44" s="378"/>
    </row>
    <row r="45" spans="1:13" ht="25.5" x14ac:dyDescent="0.2">
      <c r="A45" s="340"/>
      <c r="B45" s="373"/>
      <c r="C45" s="373"/>
      <c r="D45" s="31" t="s">
        <v>128</v>
      </c>
      <c r="E45" s="7">
        <v>80</v>
      </c>
      <c r="F45" s="8" t="s">
        <v>247</v>
      </c>
      <c r="G45" s="8" t="s">
        <v>248</v>
      </c>
      <c r="H45" s="8">
        <f>21200*117/100</f>
        <v>24804</v>
      </c>
      <c r="I45" s="8">
        <f t="shared" ref="I45:I48" si="4">H45*10</f>
        <v>248040</v>
      </c>
      <c r="J45" s="31" t="s">
        <v>14</v>
      </c>
      <c r="K45" s="413"/>
      <c r="L45" s="442"/>
      <c r="M45" s="378"/>
    </row>
    <row r="46" spans="1:13" ht="25.5" x14ac:dyDescent="0.2">
      <c r="A46" s="340"/>
      <c r="B46" s="373"/>
      <c r="C46" s="373"/>
      <c r="D46" s="31" t="s">
        <v>74</v>
      </c>
      <c r="E46" s="7">
        <v>75</v>
      </c>
      <c r="F46" s="8" t="s">
        <v>247</v>
      </c>
      <c r="G46" s="8" t="s">
        <v>248</v>
      </c>
      <c r="H46" s="8">
        <f>20400*117/100</f>
        <v>23868</v>
      </c>
      <c r="I46" s="8">
        <f t="shared" si="4"/>
        <v>238680</v>
      </c>
      <c r="J46" s="31" t="s">
        <v>14</v>
      </c>
      <c r="K46" s="413"/>
      <c r="L46" s="442"/>
      <c r="M46" s="378"/>
    </row>
    <row r="47" spans="1:13" ht="25.5" x14ac:dyDescent="0.2">
      <c r="A47" s="340"/>
      <c r="B47" s="373"/>
      <c r="C47" s="373"/>
      <c r="D47" s="31" t="s">
        <v>129</v>
      </c>
      <c r="E47" s="7">
        <v>51</v>
      </c>
      <c r="F47" s="8" t="s">
        <v>247</v>
      </c>
      <c r="G47" s="8" t="s">
        <v>248</v>
      </c>
      <c r="H47" s="8">
        <f>50000*117/100</f>
        <v>58500</v>
      </c>
      <c r="I47" s="8">
        <f t="shared" si="4"/>
        <v>585000</v>
      </c>
      <c r="J47" s="31" t="s">
        <v>14</v>
      </c>
      <c r="K47" s="413"/>
      <c r="L47" s="442"/>
      <c r="M47" s="378"/>
    </row>
    <row r="48" spans="1:13" ht="25.5" x14ac:dyDescent="0.2">
      <c r="A48" s="340"/>
      <c r="B48" s="373"/>
      <c r="C48" s="373"/>
      <c r="D48" s="31" t="s">
        <v>69</v>
      </c>
      <c r="E48" s="7">
        <v>51</v>
      </c>
      <c r="F48" s="8" t="s">
        <v>247</v>
      </c>
      <c r="G48" s="8" t="s">
        <v>248</v>
      </c>
      <c r="H48" s="8">
        <f>50600*117/100</f>
        <v>59202</v>
      </c>
      <c r="I48" s="8">
        <f t="shared" si="4"/>
        <v>592020</v>
      </c>
      <c r="J48" s="31" t="s">
        <v>14</v>
      </c>
      <c r="K48" s="413"/>
      <c r="L48" s="442"/>
      <c r="M48" s="378"/>
    </row>
    <row r="49" spans="1:13" ht="14.25" x14ac:dyDescent="0.2">
      <c r="A49" s="336"/>
      <c r="B49" s="337" t="s">
        <v>130</v>
      </c>
      <c r="C49" s="338"/>
      <c r="D49" s="338"/>
      <c r="E49" s="338"/>
      <c r="F49" s="338"/>
      <c r="G49" s="338"/>
      <c r="H49" s="338"/>
      <c r="I49" s="338"/>
      <c r="J49" s="338"/>
      <c r="K49" s="338"/>
      <c r="L49" s="338"/>
      <c r="M49" s="339"/>
    </row>
    <row r="50" spans="1:13" ht="15.75" x14ac:dyDescent="0.2">
      <c r="A50" s="332" t="s">
        <v>141</v>
      </c>
      <c r="B50" s="333"/>
      <c r="C50" s="333"/>
      <c r="D50" s="333"/>
      <c r="E50" s="333"/>
      <c r="F50" s="333"/>
      <c r="G50" s="333"/>
      <c r="H50" s="333"/>
      <c r="I50" s="333"/>
      <c r="J50" s="333"/>
      <c r="K50" s="333"/>
      <c r="L50" s="333"/>
      <c r="M50" s="334"/>
    </row>
    <row r="51" spans="1:13" ht="14.25" x14ac:dyDescent="0.2">
      <c r="A51" s="335">
        <v>9</v>
      </c>
      <c r="B51" s="342" t="s">
        <v>144</v>
      </c>
      <c r="C51" s="342" t="s">
        <v>16</v>
      </c>
      <c r="D51" s="16" t="s">
        <v>132</v>
      </c>
      <c r="E51" s="17">
        <v>90</v>
      </c>
      <c r="F51" s="18" t="s">
        <v>247</v>
      </c>
      <c r="G51" s="18" t="s">
        <v>248</v>
      </c>
      <c r="H51" s="18">
        <f>9300*117/100</f>
        <v>10881</v>
      </c>
      <c r="I51" s="18">
        <f>H51*10</f>
        <v>108810</v>
      </c>
      <c r="J51" s="16" t="s">
        <v>14</v>
      </c>
      <c r="K51" s="412" t="str">
        <f>K43</f>
        <v>אושרה ההצעה עם הציון המשוקלל הגבוה ביותר אך לא לכמות הגנים שצויינה אלא פר גן כאשר ההתקשרות בפועל תתבצע במסגרת להיקף תכנית העבודה שתאושר.</v>
      </c>
      <c r="L51" s="442" t="s">
        <v>22</v>
      </c>
      <c r="M51" s="350">
        <v>253012</v>
      </c>
    </row>
    <row r="52" spans="1:13" ht="25.5" x14ac:dyDescent="0.2">
      <c r="A52" s="340"/>
      <c r="B52" s="373"/>
      <c r="C52" s="373"/>
      <c r="D52" s="31" t="s">
        <v>133</v>
      </c>
      <c r="E52" s="7">
        <v>88</v>
      </c>
      <c r="F52" s="8" t="s">
        <v>247</v>
      </c>
      <c r="G52" s="8" t="s">
        <v>248</v>
      </c>
      <c r="H52" s="8">
        <f>8000*117/100</f>
        <v>9360</v>
      </c>
      <c r="I52" s="8">
        <f>H52*10</f>
        <v>93600</v>
      </c>
      <c r="J52" s="31" t="s">
        <v>14</v>
      </c>
      <c r="K52" s="413"/>
      <c r="L52" s="442"/>
      <c r="M52" s="378"/>
    </row>
    <row r="53" spans="1:13" ht="14.25" x14ac:dyDescent="0.2">
      <c r="A53" s="340"/>
      <c r="B53" s="373"/>
      <c r="C53" s="373"/>
      <c r="D53" s="31" t="s">
        <v>134</v>
      </c>
      <c r="E53" s="7">
        <v>86</v>
      </c>
      <c r="F53" s="8" t="s">
        <v>247</v>
      </c>
      <c r="G53" s="8" t="s">
        <v>248</v>
      </c>
      <c r="H53" s="8">
        <f>10000*117/100</f>
        <v>11700</v>
      </c>
      <c r="I53" s="8">
        <f t="shared" ref="I53:I59" si="5">H53*10</f>
        <v>117000</v>
      </c>
      <c r="J53" s="31" t="s">
        <v>14</v>
      </c>
      <c r="K53" s="413"/>
      <c r="L53" s="442"/>
      <c r="M53" s="378"/>
    </row>
    <row r="54" spans="1:13" ht="25.5" x14ac:dyDescent="0.2">
      <c r="A54" s="340"/>
      <c r="B54" s="373"/>
      <c r="C54" s="373"/>
      <c r="D54" s="31" t="s">
        <v>135</v>
      </c>
      <c r="E54" s="7">
        <v>78</v>
      </c>
      <c r="F54" s="8" t="s">
        <v>247</v>
      </c>
      <c r="G54" s="8" t="s">
        <v>248</v>
      </c>
      <c r="H54" s="8">
        <f>10300*117/100</f>
        <v>12051</v>
      </c>
      <c r="I54" s="8">
        <f t="shared" si="5"/>
        <v>120510</v>
      </c>
      <c r="J54" s="31" t="s">
        <v>14</v>
      </c>
      <c r="K54" s="413"/>
      <c r="L54" s="442"/>
      <c r="M54" s="378"/>
    </row>
    <row r="55" spans="1:13" ht="25.5" x14ac:dyDescent="0.2">
      <c r="A55" s="340"/>
      <c r="B55" s="373"/>
      <c r="C55" s="373"/>
      <c r="D55" s="31" t="s">
        <v>136</v>
      </c>
      <c r="E55" s="7">
        <v>65</v>
      </c>
      <c r="F55" s="8" t="s">
        <v>247</v>
      </c>
      <c r="G55" s="8" t="s">
        <v>248</v>
      </c>
      <c r="H55" s="8">
        <f>16000*117/100</f>
        <v>18720</v>
      </c>
      <c r="I55" s="8">
        <f t="shared" si="5"/>
        <v>187200</v>
      </c>
      <c r="J55" s="31" t="s">
        <v>14</v>
      </c>
      <c r="K55" s="413"/>
      <c r="L55" s="442"/>
      <c r="M55" s="378"/>
    </row>
    <row r="56" spans="1:13" ht="14.25" x14ac:dyDescent="0.2">
      <c r="A56" s="340"/>
      <c r="B56" s="373"/>
      <c r="C56" s="373"/>
      <c r="D56" s="31" t="s">
        <v>137</v>
      </c>
      <c r="E56" s="7">
        <v>63</v>
      </c>
      <c r="F56" s="8" t="s">
        <v>247</v>
      </c>
      <c r="G56" s="8" t="s">
        <v>248</v>
      </c>
      <c r="H56" s="8">
        <f>17000*117/100</f>
        <v>19890</v>
      </c>
      <c r="I56" s="8">
        <f t="shared" si="5"/>
        <v>198900</v>
      </c>
      <c r="J56" s="31" t="s">
        <v>14</v>
      </c>
      <c r="K56" s="413"/>
      <c r="L56" s="442"/>
      <c r="M56" s="378"/>
    </row>
    <row r="57" spans="1:13" ht="25.5" x14ac:dyDescent="0.2">
      <c r="A57" s="340"/>
      <c r="B57" s="373"/>
      <c r="C57" s="373"/>
      <c r="D57" s="31" t="s">
        <v>138</v>
      </c>
      <c r="E57" s="7">
        <v>55</v>
      </c>
      <c r="F57" s="8" t="s">
        <v>247</v>
      </c>
      <c r="G57" s="8" t="s">
        <v>248</v>
      </c>
      <c r="H57" s="8">
        <f>18000*117/100</f>
        <v>21060</v>
      </c>
      <c r="I57" s="8">
        <f t="shared" si="5"/>
        <v>210600</v>
      </c>
      <c r="J57" s="31" t="s">
        <v>14</v>
      </c>
      <c r="K57" s="413"/>
      <c r="L57" s="442"/>
      <c r="M57" s="378"/>
    </row>
    <row r="58" spans="1:13" ht="14.25" x14ac:dyDescent="0.2">
      <c r="A58" s="340"/>
      <c r="B58" s="373"/>
      <c r="C58" s="373"/>
      <c r="D58" s="31" t="s">
        <v>139</v>
      </c>
      <c r="E58" s="7">
        <v>45</v>
      </c>
      <c r="F58" s="8" t="s">
        <v>247</v>
      </c>
      <c r="G58" s="8" t="s">
        <v>248</v>
      </c>
      <c r="H58" s="8">
        <f>36000*117/100</f>
        <v>42120</v>
      </c>
      <c r="I58" s="8">
        <f t="shared" si="5"/>
        <v>421200</v>
      </c>
      <c r="J58" s="31" t="s">
        <v>14</v>
      </c>
      <c r="K58" s="413"/>
      <c r="L58" s="442"/>
      <c r="M58" s="378"/>
    </row>
    <row r="59" spans="1:13" ht="25.5" x14ac:dyDescent="0.2">
      <c r="A59" s="340"/>
      <c r="B59" s="373"/>
      <c r="C59" s="373"/>
      <c r="D59" s="31" t="s">
        <v>140</v>
      </c>
      <c r="E59" s="7">
        <v>45</v>
      </c>
      <c r="F59" s="8" t="s">
        <v>247</v>
      </c>
      <c r="G59" s="8" t="s">
        <v>248</v>
      </c>
      <c r="H59" s="8">
        <f>36000*117/100</f>
        <v>42120</v>
      </c>
      <c r="I59" s="8">
        <f t="shared" si="5"/>
        <v>421200</v>
      </c>
      <c r="J59" s="31" t="s">
        <v>14</v>
      </c>
      <c r="K59" s="413"/>
      <c r="L59" s="442"/>
      <c r="M59" s="378"/>
    </row>
    <row r="60" spans="1:13" ht="14.25" x14ac:dyDescent="0.2">
      <c r="A60" s="336"/>
      <c r="B60" s="337"/>
      <c r="C60" s="338"/>
      <c r="D60" s="338"/>
      <c r="E60" s="338"/>
      <c r="F60" s="338"/>
      <c r="G60" s="338"/>
      <c r="H60" s="338"/>
      <c r="I60" s="338"/>
      <c r="J60" s="338"/>
      <c r="K60" s="338"/>
      <c r="L60" s="338"/>
      <c r="M60" s="339"/>
    </row>
    <row r="61" spans="1:13" ht="15.75" x14ac:dyDescent="0.2">
      <c r="A61" s="332" t="s">
        <v>146</v>
      </c>
      <c r="B61" s="333"/>
      <c r="C61" s="333"/>
      <c r="D61" s="333"/>
      <c r="E61" s="333"/>
      <c r="F61" s="333"/>
      <c r="G61" s="333"/>
      <c r="H61" s="333"/>
      <c r="I61" s="333"/>
      <c r="J61" s="333"/>
      <c r="K61" s="333"/>
      <c r="L61" s="333"/>
      <c r="M61" s="334"/>
    </row>
    <row r="62" spans="1:13" ht="51" x14ac:dyDescent="0.2">
      <c r="A62" s="335">
        <v>10</v>
      </c>
      <c r="B62" s="342" t="s">
        <v>209</v>
      </c>
      <c r="C62" s="342" t="s">
        <v>16</v>
      </c>
      <c r="D62" s="16" t="s">
        <v>210</v>
      </c>
      <c r="E62" s="17">
        <v>100</v>
      </c>
      <c r="F62" s="18" t="s">
        <v>17</v>
      </c>
      <c r="G62" s="18" t="s">
        <v>17</v>
      </c>
      <c r="H62" s="18">
        <f>18000*117/100</f>
        <v>21060</v>
      </c>
      <c r="I62" s="18">
        <f>H62</f>
        <v>21060</v>
      </c>
      <c r="J62" s="16"/>
      <c r="K62" s="412" t="s">
        <v>88</v>
      </c>
      <c r="L62" s="442" t="s">
        <v>22</v>
      </c>
      <c r="M62" s="350">
        <v>295001</v>
      </c>
    </row>
    <row r="63" spans="1:13" ht="38.25" x14ac:dyDescent="0.2">
      <c r="A63" s="340"/>
      <c r="B63" s="373"/>
      <c r="C63" s="373"/>
      <c r="D63" s="31" t="s">
        <v>211</v>
      </c>
      <c r="E63" s="7">
        <v>81</v>
      </c>
      <c r="F63" s="8" t="s">
        <v>17</v>
      </c>
      <c r="G63" s="8" t="s">
        <v>17</v>
      </c>
      <c r="H63" s="8">
        <f>246001*117/100</f>
        <v>287821.17</v>
      </c>
      <c r="I63" s="8">
        <f t="shared" ref="I63" si="6">H63</f>
        <v>287821.17</v>
      </c>
      <c r="J63" s="31"/>
      <c r="K63" s="413"/>
      <c r="L63" s="442"/>
      <c r="M63" s="378"/>
    </row>
    <row r="64" spans="1:13" ht="25.5" x14ac:dyDescent="0.2">
      <c r="A64" s="340"/>
      <c r="B64" s="373"/>
      <c r="C64" s="373"/>
      <c r="D64" s="31" t="s">
        <v>212</v>
      </c>
      <c r="E64" s="7">
        <v>59</v>
      </c>
      <c r="F64" s="8" t="s">
        <v>17</v>
      </c>
      <c r="G64" s="8" t="s">
        <v>17</v>
      </c>
      <c r="H64" s="8">
        <f>43300*117/100</f>
        <v>50661</v>
      </c>
      <c r="I64" s="8">
        <f>H64</f>
        <v>50661</v>
      </c>
      <c r="J64" s="31"/>
      <c r="K64" s="413"/>
      <c r="L64" s="442"/>
      <c r="M64" s="378"/>
    </row>
    <row r="65" spans="1:13" ht="14.25" x14ac:dyDescent="0.2">
      <c r="A65" s="336"/>
      <c r="B65" s="337" t="s">
        <v>213</v>
      </c>
      <c r="C65" s="338"/>
      <c r="D65" s="338"/>
      <c r="E65" s="338"/>
      <c r="F65" s="338"/>
      <c r="G65" s="338"/>
      <c r="H65" s="338"/>
      <c r="I65" s="338"/>
      <c r="J65" s="338"/>
      <c r="K65" s="338"/>
      <c r="L65" s="338"/>
      <c r="M65" s="339"/>
    </row>
    <row r="66" spans="1:13" ht="15.75" x14ac:dyDescent="0.2">
      <c r="A66" s="332" t="s">
        <v>154</v>
      </c>
      <c r="B66" s="333"/>
      <c r="C66" s="333"/>
      <c r="D66" s="333"/>
      <c r="E66" s="333"/>
      <c r="F66" s="333"/>
      <c r="G66" s="333"/>
      <c r="H66" s="333"/>
      <c r="I66" s="333"/>
      <c r="J66" s="333"/>
      <c r="K66" s="333"/>
      <c r="L66" s="333"/>
      <c r="M66" s="334"/>
    </row>
    <row r="67" spans="1:13" ht="25.5" x14ac:dyDescent="0.2">
      <c r="A67" s="340">
        <v>11</v>
      </c>
      <c r="B67" s="373" t="s">
        <v>145</v>
      </c>
      <c r="C67" s="373" t="s">
        <v>72</v>
      </c>
      <c r="D67" s="19" t="s">
        <v>142</v>
      </c>
      <c r="E67" s="20">
        <v>96</v>
      </c>
      <c r="F67" s="21" t="s">
        <v>15</v>
      </c>
      <c r="G67" s="21" t="s">
        <v>143</v>
      </c>
      <c r="H67" s="22">
        <v>3.5000000000000003E-2</v>
      </c>
      <c r="I67" s="21">
        <f>H67*5000000*117/100</f>
        <v>204750.00000000003</v>
      </c>
      <c r="J67" s="19" t="s">
        <v>14</v>
      </c>
      <c r="K67" s="413" t="s">
        <v>249</v>
      </c>
      <c r="L67" s="369" t="s">
        <v>22</v>
      </c>
      <c r="M67" s="378"/>
    </row>
    <row r="68" spans="1:13" ht="25.5" x14ac:dyDescent="0.2">
      <c r="A68" s="340"/>
      <c r="B68" s="373"/>
      <c r="C68" s="373"/>
      <c r="D68" s="23" t="s">
        <v>113</v>
      </c>
      <c r="E68" s="32">
        <v>94</v>
      </c>
      <c r="F68" s="8" t="s">
        <v>15</v>
      </c>
      <c r="G68" s="8" t="s">
        <v>143</v>
      </c>
      <c r="H68" s="33">
        <v>3.3000000000000002E-2</v>
      </c>
      <c r="I68" s="15">
        <f>H68*5000000*117/100</f>
        <v>193050</v>
      </c>
      <c r="J68" s="23" t="s">
        <v>14</v>
      </c>
      <c r="K68" s="413"/>
      <c r="L68" s="369"/>
      <c r="M68" s="378"/>
    </row>
    <row r="69" spans="1:13" ht="25.5" x14ac:dyDescent="0.2">
      <c r="A69" s="340"/>
      <c r="B69" s="373"/>
      <c r="C69" s="373"/>
      <c r="D69" s="23" t="s">
        <v>115</v>
      </c>
      <c r="E69" s="32">
        <v>69</v>
      </c>
      <c r="F69" s="8" t="s">
        <v>15</v>
      </c>
      <c r="G69" s="8" t="s">
        <v>143</v>
      </c>
      <c r="H69" s="33">
        <v>0.06</v>
      </c>
      <c r="I69" s="15">
        <f>H69*5000000*117/100</f>
        <v>351000</v>
      </c>
      <c r="J69" s="23" t="s">
        <v>14</v>
      </c>
      <c r="K69" s="413"/>
      <c r="L69" s="369"/>
      <c r="M69" s="378"/>
    </row>
    <row r="70" spans="1:13" ht="14.25" x14ac:dyDescent="0.2">
      <c r="A70" s="336"/>
      <c r="B70" s="337" t="s">
        <v>241</v>
      </c>
      <c r="C70" s="338"/>
      <c r="D70" s="338"/>
      <c r="E70" s="338"/>
      <c r="F70" s="338"/>
      <c r="G70" s="338"/>
      <c r="H70" s="338"/>
      <c r="I70" s="338"/>
      <c r="J70" s="338"/>
      <c r="K70" s="338"/>
      <c r="L70" s="338"/>
      <c r="M70" s="339"/>
    </row>
    <row r="71" spans="1:13" ht="15.75" x14ac:dyDescent="0.2">
      <c r="A71" s="332" t="s">
        <v>155</v>
      </c>
      <c r="B71" s="333"/>
      <c r="C71" s="333"/>
      <c r="D71" s="333"/>
      <c r="E71" s="333"/>
      <c r="F71" s="333"/>
      <c r="G71" s="333"/>
      <c r="H71" s="333"/>
      <c r="I71" s="333"/>
      <c r="J71" s="333"/>
      <c r="K71" s="333"/>
      <c r="L71" s="333"/>
      <c r="M71" s="334"/>
    </row>
    <row r="72" spans="1:13" ht="14.25" x14ac:dyDescent="0.2">
      <c r="A72" s="335">
        <v>12</v>
      </c>
      <c r="B72" s="342" t="s">
        <v>147</v>
      </c>
      <c r="C72" s="342" t="s">
        <v>72</v>
      </c>
      <c r="D72" s="16" t="s">
        <v>148</v>
      </c>
      <c r="E72" s="17">
        <v>100</v>
      </c>
      <c r="F72" s="18" t="s">
        <v>97</v>
      </c>
      <c r="G72" s="18" t="s">
        <v>149</v>
      </c>
      <c r="H72" s="18">
        <f>185*117/100</f>
        <v>216.45</v>
      </c>
      <c r="I72" s="18">
        <f>H72*500</f>
        <v>108225</v>
      </c>
      <c r="J72" s="16" t="s">
        <v>14</v>
      </c>
      <c r="K72" s="412" t="s">
        <v>20</v>
      </c>
      <c r="L72" s="442" t="s">
        <v>22</v>
      </c>
      <c r="M72" s="350" t="s">
        <v>152</v>
      </c>
    </row>
    <row r="73" spans="1:13" ht="14.25" x14ac:dyDescent="0.2">
      <c r="A73" s="340"/>
      <c r="B73" s="373"/>
      <c r="C73" s="373"/>
      <c r="D73" s="31" t="s">
        <v>151</v>
      </c>
      <c r="E73" s="7">
        <v>87</v>
      </c>
      <c r="F73" s="8" t="s">
        <v>97</v>
      </c>
      <c r="G73" s="8" t="s">
        <v>149</v>
      </c>
      <c r="H73" s="8">
        <f>225*117/100</f>
        <v>263.25</v>
      </c>
      <c r="I73" s="8">
        <f t="shared" ref="I73:I75" si="7">H73*500</f>
        <v>131625</v>
      </c>
      <c r="J73" s="31" t="s">
        <v>14</v>
      </c>
      <c r="K73" s="413"/>
      <c r="L73" s="442"/>
      <c r="M73" s="378"/>
    </row>
    <row r="74" spans="1:13" ht="38.25" x14ac:dyDescent="0.2">
      <c r="A74" s="340"/>
      <c r="B74" s="373"/>
      <c r="C74" s="373"/>
      <c r="D74" s="31" t="s">
        <v>150</v>
      </c>
      <c r="E74" s="7">
        <v>86</v>
      </c>
      <c r="F74" s="8" t="s">
        <v>97</v>
      </c>
      <c r="G74" s="8" t="s">
        <v>149</v>
      </c>
      <c r="H74" s="8">
        <f>230*117/100</f>
        <v>269.10000000000002</v>
      </c>
      <c r="I74" s="8">
        <f t="shared" si="7"/>
        <v>134550</v>
      </c>
      <c r="J74" s="31" t="s">
        <v>14</v>
      </c>
      <c r="K74" s="413"/>
      <c r="L74" s="442"/>
      <c r="M74" s="378"/>
    </row>
    <row r="75" spans="1:13" ht="25.5" x14ac:dyDescent="0.2">
      <c r="A75" s="340"/>
      <c r="B75" s="373"/>
      <c r="C75" s="373"/>
      <c r="D75" s="31" t="s">
        <v>50</v>
      </c>
      <c r="E75" s="7">
        <v>85</v>
      </c>
      <c r="F75" s="8" t="s">
        <v>97</v>
      </c>
      <c r="G75" s="8" t="s">
        <v>149</v>
      </c>
      <c r="H75" s="8">
        <f>235*117/100</f>
        <v>274.95</v>
      </c>
      <c r="I75" s="8">
        <f t="shared" si="7"/>
        <v>137475</v>
      </c>
      <c r="J75" s="31" t="s">
        <v>14</v>
      </c>
      <c r="K75" s="413"/>
      <c r="L75" s="442"/>
      <c r="M75" s="378"/>
    </row>
    <row r="76" spans="1:13" ht="14.25" x14ac:dyDescent="0.2">
      <c r="A76" s="336"/>
      <c r="B76" s="337"/>
      <c r="C76" s="338"/>
      <c r="D76" s="338"/>
      <c r="E76" s="338"/>
      <c r="F76" s="338"/>
      <c r="G76" s="338"/>
      <c r="H76" s="338"/>
      <c r="I76" s="338"/>
      <c r="J76" s="338"/>
      <c r="K76" s="338"/>
      <c r="L76" s="338"/>
      <c r="M76" s="339"/>
    </row>
    <row r="77" spans="1:13" ht="15.75" x14ac:dyDescent="0.2">
      <c r="A77" s="332" t="s">
        <v>160</v>
      </c>
      <c r="B77" s="333"/>
      <c r="C77" s="333"/>
      <c r="D77" s="333"/>
      <c r="E77" s="333"/>
      <c r="F77" s="333"/>
      <c r="G77" s="333"/>
      <c r="H77" s="333"/>
      <c r="I77" s="333"/>
      <c r="J77" s="333"/>
      <c r="K77" s="333"/>
      <c r="L77" s="333"/>
      <c r="M77" s="334"/>
    </row>
    <row r="78" spans="1:13" ht="38.25" x14ac:dyDescent="0.2">
      <c r="A78" s="335">
        <v>13</v>
      </c>
      <c r="B78" s="342" t="s">
        <v>205</v>
      </c>
      <c r="C78" s="342" t="s">
        <v>72</v>
      </c>
      <c r="D78" s="31" t="s">
        <v>206</v>
      </c>
      <c r="E78" s="7">
        <v>94</v>
      </c>
      <c r="F78" s="15" t="s">
        <v>17</v>
      </c>
      <c r="G78" s="15" t="s">
        <v>17</v>
      </c>
      <c r="H78" s="15">
        <f>7400*117/100</f>
        <v>8658</v>
      </c>
      <c r="I78" s="15">
        <f>H78</f>
        <v>8658</v>
      </c>
      <c r="J78" s="23" t="s">
        <v>14</v>
      </c>
      <c r="K78" s="412" t="s">
        <v>250</v>
      </c>
      <c r="L78" s="442" t="s">
        <v>22</v>
      </c>
      <c r="M78" s="350"/>
    </row>
    <row r="79" spans="1:13" ht="38.25" x14ac:dyDescent="0.2">
      <c r="A79" s="340"/>
      <c r="B79" s="373"/>
      <c r="C79" s="373"/>
      <c r="D79" s="16" t="s">
        <v>207</v>
      </c>
      <c r="E79" s="17">
        <v>99</v>
      </c>
      <c r="F79" s="21" t="s">
        <v>17</v>
      </c>
      <c r="G79" s="21" t="s">
        <v>17</v>
      </c>
      <c r="H79" s="21">
        <f>7500*117/100</f>
        <v>8775</v>
      </c>
      <c r="I79" s="21">
        <f>H79</f>
        <v>8775</v>
      </c>
      <c r="J79" s="19" t="s">
        <v>14</v>
      </c>
      <c r="K79" s="413"/>
      <c r="L79" s="442"/>
      <c r="M79" s="378"/>
    </row>
    <row r="80" spans="1:13" ht="38.25" x14ac:dyDescent="0.2">
      <c r="A80" s="340"/>
      <c r="B80" s="373"/>
      <c r="C80" s="373"/>
      <c r="D80" s="31" t="s">
        <v>208</v>
      </c>
      <c r="E80" s="7">
        <v>73</v>
      </c>
      <c r="F80" s="15" t="s">
        <v>17</v>
      </c>
      <c r="G80" s="15" t="s">
        <v>17</v>
      </c>
      <c r="H80" s="15">
        <f>12000*117/100</f>
        <v>14040</v>
      </c>
      <c r="I80" s="15">
        <f>H80</f>
        <v>14040</v>
      </c>
      <c r="J80" s="23" t="s">
        <v>14</v>
      </c>
      <c r="K80" s="413"/>
      <c r="L80" s="442"/>
      <c r="M80" s="378"/>
    </row>
    <row r="81" spans="1:13" ht="14.25" x14ac:dyDescent="0.2">
      <c r="A81" s="336"/>
      <c r="B81" s="337"/>
      <c r="C81" s="338"/>
      <c r="D81" s="338"/>
      <c r="E81" s="338"/>
      <c r="F81" s="338"/>
      <c r="G81" s="338"/>
      <c r="H81" s="338"/>
      <c r="I81" s="338"/>
      <c r="J81" s="338"/>
      <c r="K81" s="338"/>
      <c r="L81" s="338"/>
      <c r="M81" s="339"/>
    </row>
    <row r="82" spans="1:13" ht="15.75" x14ac:dyDescent="0.2">
      <c r="A82" s="332" t="s">
        <v>167</v>
      </c>
      <c r="B82" s="333"/>
      <c r="C82" s="333"/>
      <c r="D82" s="333"/>
      <c r="E82" s="333"/>
      <c r="F82" s="333"/>
      <c r="G82" s="333"/>
      <c r="H82" s="333"/>
      <c r="I82" s="333"/>
      <c r="J82" s="333"/>
      <c r="K82" s="333"/>
      <c r="L82" s="333"/>
      <c r="M82" s="334"/>
    </row>
    <row r="83" spans="1:13" ht="51" x14ac:dyDescent="0.2">
      <c r="A83" s="335">
        <v>14</v>
      </c>
      <c r="B83" s="50" t="s">
        <v>156</v>
      </c>
      <c r="C83" s="30" t="s">
        <v>157</v>
      </c>
      <c r="D83" s="42" t="s">
        <v>159</v>
      </c>
      <c r="E83" s="43">
        <v>100</v>
      </c>
      <c r="F83" s="44" t="s">
        <v>17</v>
      </c>
      <c r="G83" s="44" t="s">
        <v>17</v>
      </c>
      <c r="H83" s="45">
        <f>(8348+10170)*117/100</f>
        <v>21666.06</v>
      </c>
      <c r="I83" s="44">
        <f>H83</f>
        <v>21666.06</v>
      </c>
      <c r="J83" s="42" t="s">
        <v>14</v>
      </c>
      <c r="K83" s="51" t="s">
        <v>258</v>
      </c>
      <c r="L83" s="54" t="s">
        <v>22</v>
      </c>
      <c r="M83" s="53" t="s">
        <v>106</v>
      </c>
    </row>
    <row r="84" spans="1:13" ht="14.25" x14ac:dyDescent="0.2">
      <c r="A84" s="336"/>
      <c r="B84" s="337" t="s">
        <v>158</v>
      </c>
      <c r="C84" s="338"/>
      <c r="D84" s="338"/>
      <c r="E84" s="338"/>
      <c r="F84" s="338"/>
      <c r="G84" s="338"/>
      <c r="H84" s="338"/>
      <c r="I84" s="338"/>
      <c r="J84" s="338"/>
      <c r="K84" s="338"/>
      <c r="L84" s="338"/>
      <c r="M84" s="339"/>
    </row>
    <row r="85" spans="1:13" ht="15.75" x14ac:dyDescent="0.2">
      <c r="A85" s="332" t="s">
        <v>170</v>
      </c>
      <c r="B85" s="333"/>
      <c r="C85" s="333"/>
      <c r="D85" s="333"/>
      <c r="E85" s="333"/>
      <c r="F85" s="333"/>
      <c r="G85" s="333"/>
      <c r="H85" s="333"/>
      <c r="I85" s="333"/>
      <c r="J85" s="333"/>
      <c r="K85" s="333"/>
      <c r="L85" s="333"/>
      <c r="M85" s="334"/>
    </row>
    <row r="86" spans="1:13" ht="25.5" x14ac:dyDescent="0.2">
      <c r="A86" s="335">
        <v>15</v>
      </c>
      <c r="B86" s="342" t="s">
        <v>153</v>
      </c>
      <c r="C86" s="342" t="s">
        <v>157</v>
      </c>
      <c r="D86" s="42" t="s">
        <v>163</v>
      </c>
      <c r="E86" s="43">
        <v>100</v>
      </c>
      <c r="F86" s="44" t="s">
        <v>17</v>
      </c>
      <c r="G86" s="44" t="s">
        <v>17</v>
      </c>
      <c r="H86" s="45">
        <f>35000*117/100</f>
        <v>40950</v>
      </c>
      <c r="I86" s="44">
        <f>H86</f>
        <v>40950</v>
      </c>
      <c r="J86" s="42" t="s">
        <v>14</v>
      </c>
      <c r="K86" s="412" t="s">
        <v>258</v>
      </c>
      <c r="L86" s="442" t="s">
        <v>22</v>
      </c>
      <c r="M86" s="350"/>
    </row>
    <row r="87" spans="1:13" ht="14.25" x14ac:dyDescent="0.2">
      <c r="A87" s="340"/>
      <c r="B87" s="373"/>
      <c r="C87" s="373"/>
      <c r="D87" s="31" t="s">
        <v>164</v>
      </c>
      <c r="E87" s="7">
        <v>66</v>
      </c>
      <c r="F87" s="8" t="s">
        <v>17</v>
      </c>
      <c r="G87" s="8" t="s">
        <v>17</v>
      </c>
      <c r="H87" s="8">
        <f>51500*117/100</f>
        <v>60255</v>
      </c>
      <c r="I87" s="8">
        <f t="shared" ref="I87:I89" si="8">H87</f>
        <v>60255</v>
      </c>
      <c r="J87" s="31" t="s">
        <v>14</v>
      </c>
      <c r="K87" s="413"/>
      <c r="L87" s="442"/>
      <c r="M87" s="378"/>
    </row>
    <row r="88" spans="1:13" ht="14.25" x14ac:dyDescent="0.2">
      <c r="A88" s="340"/>
      <c r="B88" s="373"/>
      <c r="C88" s="373"/>
      <c r="D88" s="31" t="s">
        <v>165</v>
      </c>
      <c r="E88" s="7">
        <v>54</v>
      </c>
      <c r="F88" s="8" t="s">
        <v>17</v>
      </c>
      <c r="G88" s="8" t="s">
        <v>17</v>
      </c>
      <c r="H88" s="8">
        <f>68838*117/100</f>
        <v>80540.460000000006</v>
      </c>
      <c r="I88" s="8">
        <f t="shared" si="8"/>
        <v>80540.460000000006</v>
      </c>
      <c r="J88" s="31" t="s">
        <v>14</v>
      </c>
      <c r="K88" s="413"/>
      <c r="L88" s="442"/>
      <c r="M88" s="378"/>
    </row>
    <row r="89" spans="1:13" ht="14.25" x14ac:dyDescent="0.2">
      <c r="A89" s="340"/>
      <c r="B89" s="373"/>
      <c r="C89" s="373"/>
      <c r="D89" s="31" t="s">
        <v>166</v>
      </c>
      <c r="E89" s="7">
        <v>53</v>
      </c>
      <c r="F89" s="8" t="s">
        <v>17</v>
      </c>
      <c r="G89" s="8" t="s">
        <v>17</v>
      </c>
      <c r="H89" s="8">
        <f>69000*117/100</f>
        <v>80730</v>
      </c>
      <c r="I89" s="8">
        <f t="shared" si="8"/>
        <v>80730</v>
      </c>
      <c r="J89" s="31" t="s">
        <v>14</v>
      </c>
      <c r="K89" s="413"/>
      <c r="L89" s="442"/>
      <c r="M89" s="378"/>
    </row>
    <row r="90" spans="1:13" ht="14.25" x14ac:dyDescent="0.2">
      <c r="A90" s="336"/>
      <c r="B90" s="337"/>
      <c r="C90" s="338"/>
      <c r="D90" s="338"/>
      <c r="E90" s="338"/>
      <c r="F90" s="338"/>
      <c r="G90" s="338"/>
      <c r="H90" s="338"/>
      <c r="I90" s="338"/>
      <c r="J90" s="338"/>
      <c r="K90" s="338"/>
      <c r="L90" s="338"/>
      <c r="M90" s="339"/>
    </row>
    <row r="91" spans="1:13" ht="15.75" x14ac:dyDescent="0.2">
      <c r="A91" s="332" t="s">
        <v>177</v>
      </c>
      <c r="B91" s="333"/>
      <c r="C91" s="333"/>
      <c r="D91" s="333"/>
      <c r="E91" s="333"/>
      <c r="F91" s="333"/>
      <c r="G91" s="333"/>
      <c r="H91" s="333"/>
      <c r="I91" s="333"/>
      <c r="J91" s="333"/>
      <c r="K91" s="333"/>
      <c r="L91" s="333"/>
      <c r="M91" s="334"/>
    </row>
    <row r="92" spans="1:13" ht="25.5" x14ac:dyDescent="0.2">
      <c r="A92" s="335">
        <v>16</v>
      </c>
      <c r="B92" s="342" t="s">
        <v>161</v>
      </c>
      <c r="C92" s="342" t="s">
        <v>157</v>
      </c>
      <c r="D92" s="16" t="s">
        <v>43</v>
      </c>
      <c r="E92" s="17">
        <v>100</v>
      </c>
      <c r="F92" s="18" t="s">
        <v>17</v>
      </c>
      <c r="G92" s="18" t="s">
        <v>17</v>
      </c>
      <c r="H92" s="18">
        <f>94050*117/100</f>
        <v>110038.5</v>
      </c>
      <c r="I92" s="18">
        <f>H92</f>
        <v>110038.5</v>
      </c>
      <c r="J92" s="16" t="s">
        <v>14</v>
      </c>
      <c r="K92" s="412" t="s">
        <v>251</v>
      </c>
      <c r="L92" s="442" t="s">
        <v>22</v>
      </c>
      <c r="M92" s="350"/>
    </row>
    <row r="93" spans="1:13" ht="14.25" x14ac:dyDescent="0.2">
      <c r="A93" s="340"/>
      <c r="B93" s="373"/>
      <c r="C93" s="373"/>
      <c r="D93" s="31" t="s">
        <v>162</v>
      </c>
      <c r="E93" s="7">
        <v>93</v>
      </c>
      <c r="F93" s="8" t="s">
        <v>17</v>
      </c>
      <c r="G93" s="8" t="s">
        <v>17</v>
      </c>
      <c r="H93" s="8">
        <f>105000*117/100</f>
        <v>122850</v>
      </c>
      <c r="I93" s="8">
        <f t="shared" ref="I93:I94" si="9">H93</f>
        <v>122850</v>
      </c>
      <c r="J93" s="31" t="s">
        <v>14</v>
      </c>
      <c r="K93" s="413"/>
      <c r="L93" s="442"/>
      <c r="M93" s="378"/>
    </row>
    <row r="94" spans="1:13" ht="38.25" x14ac:dyDescent="0.2">
      <c r="A94" s="340"/>
      <c r="B94" s="373"/>
      <c r="C94" s="373"/>
      <c r="D94" s="31" t="s">
        <v>150</v>
      </c>
      <c r="E94" s="7">
        <v>73</v>
      </c>
      <c r="F94" s="8" t="s">
        <v>17</v>
      </c>
      <c r="G94" s="8" t="s">
        <v>17</v>
      </c>
      <c r="H94" s="8">
        <f>113500*117/100</f>
        <v>132795</v>
      </c>
      <c r="I94" s="8">
        <f t="shared" si="9"/>
        <v>132795</v>
      </c>
      <c r="J94" s="31" t="s">
        <v>14</v>
      </c>
      <c r="K94" s="413"/>
      <c r="L94" s="442"/>
      <c r="M94" s="378"/>
    </row>
    <row r="95" spans="1:13" ht="14.25" x14ac:dyDescent="0.2">
      <c r="A95" s="336"/>
      <c r="B95" s="337" t="s">
        <v>116</v>
      </c>
      <c r="C95" s="338"/>
      <c r="D95" s="338"/>
      <c r="E95" s="338"/>
      <c r="F95" s="338"/>
      <c r="G95" s="338"/>
      <c r="H95" s="338"/>
      <c r="I95" s="338"/>
      <c r="J95" s="338"/>
      <c r="K95" s="338"/>
      <c r="L95" s="338"/>
      <c r="M95" s="339"/>
    </row>
    <row r="96" spans="1:13" ht="15.75" x14ac:dyDescent="0.2">
      <c r="A96" s="332" t="s">
        <v>180</v>
      </c>
      <c r="B96" s="333"/>
      <c r="C96" s="333"/>
      <c r="D96" s="333"/>
      <c r="E96" s="333"/>
      <c r="F96" s="333"/>
      <c r="G96" s="333"/>
      <c r="H96" s="333"/>
      <c r="I96" s="333"/>
      <c r="J96" s="333"/>
      <c r="K96" s="333"/>
      <c r="L96" s="333"/>
      <c r="M96" s="334"/>
    </row>
    <row r="97" spans="1:13" ht="38.25" x14ac:dyDescent="0.2">
      <c r="A97" s="335">
        <v>17</v>
      </c>
      <c r="B97" s="342" t="s">
        <v>199</v>
      </c>
      <c r="C97" s="342" t="s">
        <v>157</v>
      </c>
      <c r="D97" s="42" t="s">
        <v>200</v>
      </c>
      <c r="E97" s="43">
        <v>100</v>
      </c>
      <c r="F97" s="44" t="s">
        <v>97</v>
      </c>
      <c r="G97" s="44" t="s">
        <v>203</v>
      </c>
      <c r="H97" s="45">
        <f>260*117/100</f>
        <v>304.2</v>
      </c>
      <c r="I97" s="44">
        <f>H97*40*12</f>
        <v>146016</v>
      </c>
      <c r="J97" s="42" t="s">
        <v>14</v>
      </c>
      <c r="K97" s="412" t="s">
        <v>258</v>
      </c>
      <c r="L97" s="442" t="s">
        <v>22</v>
      </c>
      <c r="M97" s="350"/>
    </row>
    <row r="98" spans="1:13" ht="38.25" x14ac:dyDescent="0.2">
      <c r="A98" s="340"/>
      <c r="B98" s="373"/>
      <c r="C98" s="373"/>
      <c r="D98" s="31" t="s">
        <v>201</v>
      </c>
      <c r="E98" s="7">
        <v>98</v>
      </c>
      <c r="F98" s="8" t="s">
        <v>97</v>
      </c>
      <c r="G98" s="8" t="s">
        <v>203</v>
      </c>
      <c r="H98" s="8">
        <f>267*117/100</f>
        <v>312.39</v>
      </c>
      <c r="I98" s="8">
        <f t="shared" ref="I98:I99" si="10">H98*500</f>
        <v>156195</v>
      </c>
      <c r="J98" s="31" t="s">
        <v>14</v>
      </c>
      <c r="K98" s="413"/>
      <c r="L98" s="442"/>
      <c r="M98" s="378"/>
    </row>
    <row r="99" spans="1:13" ht="51" x14ac:dyDescent="0.2">
      <c r="A99" s="340"/>
      <c r="B99" s="373"/>
      <c r="C99" s="373"/>
      <c r="D99" s="31" t="s">
        <v>202</v>
      </c>
      <c r="E99" s="7">
        <v>90</v>
      </c>
      <c r="F99" s="8" t="s">
        <v>97</v>
      </c>
      <c r="G99" s="8" t="s">
        <v>203</v>
      </c>
      <c r="H99" s="8">
        <f>301*117/100</f>
        <v>352.17</v>
      </c>
      <c r="I99" s="8">
        <f t="shared" si="10"/>
        <v>176085</v>
      </c>
      <c r="J99" s="31" t="s">
        <v>14</v>
      </c>
      <c r="K99" s="413"/>
      <c r="L99" s="442"/>
      <c r="M99" s="378"/>
    </row>
    <row r="100" spans="1:13" ht="14.25" x14ac:dyDescent="0.2">
      <c r="A100" s="336"/>
      <c r="B100" s="337" t="s">
        <v>204</v>
      </c>
      <c r="C100" s="338"/>
      <c r="D100" s="338"/>
      <c r="E100" s="338"/>
      <c r="F100" s="338"/>
      <c r="G100" s="338"/>
      <c r="H100" s="338"/>
      <c r="I100" s="338"/>
      <c r="J100" s="338"/>
      <c r="K100" s="338"/>
      <c r="L100" s="338"/>
      <c r="M100" s="339"/>
    </row>
    <row r="101" spans="1:13" ht="15.75" x14ac:dyDescent="0.2">
      <c r="A101" s="332" t="s">
        <v>188</v>
      </c>
      <c r="B101" s="333"/>
      <c r="C101" s="333"/>
      <c r="D101" s="333"/>
      <c r="E101" s="333"/>
      <c r="F101" s="333"/>
      <c r="G101" s="333"/>
      <c r="H101" s="333"/>
      <c r="I101" s="333"/>
      <c r="J101" s="333"/>
      <c r="K101" s="333"/>
      <c r="L101" s="333"/>
      <c r="M101" s="334"/>
    </row>
    <row r="102" spans="1:13" ht="48" x14ac:dyDescent="0.2">
      <c r="A102" s="335">
        <v>18</v>
      </c>
      <c r="B102" s="50" t="s">
        <v>35</v>
      </c>
      <c r="C102" s="30" t="s">
        <v>36</v>
      </c>
      <c r="D102" s="42" t="s">
        <v>37</v>
      </c>
      <c r="E102" s="43">
        <v>100</v>
      </c>
      <c r="F102" s="44" t="s">
        <v>38</v>
      </c>
      <c r="G102" s="44" t="s">
        <v>169</v>
      </c>
      <c r="H102" s="45">
        <f>1500*117/100</f>
        <v>1755</v>
      </c>
      <c r="I102" s="44">
        <f>H102*36</f>
        <v>63180</v>
      </c>
      <c r="J102" s="42" t="s">
        <v>14</v>
      </c>
      <c r="K102" s="51" t="s">
        <v>259</v>
      </c>
      <c r="L102" s="54" t="s">
        <v>22</v>
      </c>
      <c r="M102" s="53">
        <v>1746100750</v>
      </c>
    </row>
    <row r="103" spans="1:13" ht="14.25" customHeight="1" x14ac:dyDescent="0.2">
      <c r="A103" s="336"/>
      <c r="B103" s="337" t="s">
        <v>168</v>
      </c>
      <c r="C103" s="338"/>
      <c r="D103" s="338"/>
      <c r="E103" s="338"/>
      <c r="F103" s="338"/>
      <c r="G103" s="338"/>
      <c r="H103" s="338"/>
      <c r="I103" s="338"/>
      <c r="J103" s="338"/>
      <c r="K103" s="338"/>
      <c r="L103" s="338"/>
      <c r="M103" s="339"/>
    </row>
    <row r="104" spans="1:13" ht="15.75" x14ac:dyDescent="0.2">
      <c r="A104" s="332" t="s">
        <v>194</v>
      </c>
      <c r="B104" s="333"/>
      <c r="C104" s="333"/>
      <c r="D104" s="333"/>
      <c r="E104" s="333"/>
      <c r="F104" s="333"/>
      <c r="G104" s="333"/>
      <c r="H104" s="333"/>
      <c r="I104" s="333"/>
      <c r="J104" s="333"/>
      <c r="K104" s="333"/>
      <c r="L104" s="333"/>
      <c r="M104" s="334"/>
    </row>
    <row r="105" spans="1:13" ht="51" x14ac:dyDescent="0.2">
      <c r="A105" s="335">
        <v>19</v>
      </c>
      <c r="B105" s="50" t="s">
        <v>254</v>
      </c>
      <c r="C105" s="30" t="s">
        <v>171</v>
      </c>
      <c r="D105" s="19" t="s">
        <v>172</v>
      </c>
      <c r="E105" s="20">
        <v>100</v>
      </c>
      <c r="F105" s="18" t="s">
        <v>13</v>
      </c>
      <c r="G105" s="18" t="s">
        <v>51</v>
      </c>
      <c r="H105" s="18">
        <f>450*117/100</f>
        <v>526.5</v>
      </c>
      <c r="I105" s="21">
        <f>H105*50</f>
        <v>26325</v>
      </c>
      <c r="J105" s="16" t="s">
        <v>14</v>
      </c>
      <c r="K105" s="51" t="s">
        <v>45</v>
      </c>
      <c r="L105" s="54" t="s">
        <v>22</v>
      </c>
      <c r="M105" s="53">
        <v>1617000581</v>
      </c>
    </row>
    <row r="106" spans="1:13" ht="14.25" customHeight="1" x14ac:dyDescent="0.2">
      <c r="A106" s="336"/>
      <c r="B106" s="337" t="s">
        <v>173</v>
      </c>
      <c r="C106" s="338"/>
      <c r="D106" s="338"/>
      <c r="E106" s="338"/>
      <c r="F106" s="338"/>
      <c r="G106" s="338"/>
      <c r="H106" s="338"/>
      <c r="I106" s="338"/>
      <c r="J106" s="338"/>
      <c r="K106" s="338"/>
      <c r="L106" s="338"/>
      <c r="M106" s="339"/>
    </row>
    <row r="107" spans="1:13" ht="15.75" x14ac:dyDescent="0.2">
      <c r="A107" s="332" t="s">
        <v>214</v>
      </c>
      <c r="B107" s="333"/>
      <c r="C107" s="333"/>
      <c r="D107" s="333"/>
      <c r="E107" s="333"/>
      <c r="F107" s="333"/>
      <c r="G107" s="333"/>
      <c r="H107" s="333"/>
      <c r="I107" s="333"/>
      <c r="J107" s="333"/>
      <c r="K107" s="333"/>
      <c r="L107" s="333"/>
      <c r="M107" s="334"/>
    </row>
    <row r="108" spans="1:13" ht="63" x14ac:dyDescent="0.2">
      <c r="A108" s="335">
        <v>20</v>
      </c>
      <c r="B108" s="50" t="s">
        <v>174</v>
      </c>
      <c r="C108" s="30" t="s">
        <v>238</v>
      </c>
      <c r="D108" s="19" t="s">
        <v>175</v>
      </c>
      <c r="E108" s="20">
        <v>100</v>
      </c>
      <c r="F108" s="18" t="s">
        <v>17</v>
      </c>
      <c r="G108" s="18" t="s">
        <v>17</v>
      </c>
      <c r="H108" s="18">
        <f>180000*117/100</f>
        <v>210600</v>
      </c>
      <c r="I108" s="21">
        <f>H108</f>
        <v>210600</v>
      </c>
      <c r="J108" s="16" t="s">
        <v>14</v>
      </c>
      <c r="K108" s="51" t="s">
        <v>252</v>
      </c>
      <c r="L108" s="54" t="s">
        <v>22</v>
      </c>
      <c r="M108" s="53">
        <v>1617000581</v>
      </c>
    </row>
    <row r="109" spans="1:13" ht="14.25" customHeight="1" x14ac:dyDescent="0.2">
      <c r="A109" s="336"/>
      <c r="B109" s="337" t="s">
        <v>176</v>
      </c>
      <c r="C109" s="338"/>
      <c r="D109" s="338"/>
      <c r="E109" s="338"/>
      <c r="F109" s="338"/>
      <c r="G109" s="338"/>
      <c r="H109" s="338"/>
      <c r="I109" s="338"/>
      <c r="J109" s="338"/>
      <c r="K109" s="338"/>
      <c r="L109" s="338"/>
      <c r="M109" s="339"/>
    </row>
    <row r="110" spans="1:13" ht="15.75" x14ac:dyDescent="0.2">
      <c r="A110" s="332" t="s">
        <v>215</v>
      </c>
      <c r="B110" s="333"/>
      <c r="C110" s="333"/>
      <c r="D110" s="333"/>
      <c r="E110" s="333"/>
      <c r="F110" s="333"/>
      <c r="G110" s="333"/>
      <c r="H110" s="333"/>
      <c r="I110" s="333"/>
      <c r="J110" s="333"/>
      <c r="K110" s="333"/>
      <c r="L110" s="333"/>
      <c r="M110" s="334"/>
    </row>
    <row r="111" spans="1:13" ht="76.5" x14ac:dyDescent="0.2">
      <c r="A111" s="335">
        <v>21</v>
      </c>
      <c r="B111" s="50" t="s">
        <v>174</v>
      </c>
      <c r="C111" s="30" t="s">
        <v>238</v>
      </c>
      <c r="D111" s="19" t="s">
        <v>178</v>
      </c>
      <c r="E111" s="20">
        <v>100</v>
      </c>
      <c r="F111" s="18" t="s">
        <v>17</v>
      </c>
      <c r="G111" s="18" t="s">
        <v>17</v>
      </c>
      <c r="H111" s="18">
        <f>180000*117/100</f>
        <v>210600</v>
      </c>
      <c r="I111" s="21">
        <f>H111</f>
        <v>210600</v>
      </c>
      <c r="J111" s="16" t="s">
        <v>14</v>
      </c>
      <c r="K111" s="51" t="s">
        <v>252</v>
      </c>
      <c r="L111" s="54" t="s">
        <v>22</v>
      </c>
      <c r="M111" s="53">
        <v>1617000581</v>
      </c>
    </row>
    <row r="112" spans="1:13" ht="14.25" customHeight="1" x14ac:dyDescent="0.2">
      <c r="A112" s="336"/>
      <c r="B112" s="337" t="s">
        <v>179</v>
      </c>
      <c r="C112" s="338"/>
      <c r="D112" s="338"/>
      <c r="E112" s="338"/>
      <c r="F112" s="338"/>
      <c r="G112" s="338"/>
      <c r="H112" s="338"/>
      <c r="I112" s="338"/>
      <c r="J112" s="338"/>
      <c r="K112" s="338"/>
      <c r="L112" s="338"/>
      <c r="M112" s="339"/>
    </row>
    <row r="113" spans="1:13" ht="15.75" x14ac:dyDescent="0.2">
      <c r="A113" s="332" t="s">
        <v>216</v>
      </c>
      <c r="B113" s="333"/>
      <c r="C113" s="333"/>
      <c r="D113" s="333"/>
      <c r="E113" s="333"/>
      <c r="F113" s="333"/>
      <c r="G113" s="333"/>
      <c r="H113" s="333"/>
      <c r="I113" s="333"/>
      <c r="J113" s="333"/>
      <c r="K113" s="333"/>
      <c r="L113" s="333"/>
      <c r="M113" s="334"/>
    </row>
    <row r="114" spans="1:13" ht="126" x14ac:dyDescent="0.2">
      <c r="A114" s="335">
        <v>22</v>
      </c>
      <c r="B114" s="50" t="s">
        <v>218</v>
      </c>
      <c r="C114" s="30" t="s">
        <v>238</v>
      </c>
      <c r="D114" s="19" t="s">
        <v>219</v>
      </c>
      <c r="E114" s="20">
        <v>100</v>
      </c>
      <c r="F114" s="18" t="s">
        <v>17</v>
      </c>
      <c r="G114" s="18" t="s">
        <v>17</v>
      </c>
      <c r="H114" s="18">
        <f>25000*117/100</f>
        <v>29250</v>
      </c>
      <c r="I114" s="21">
        <f>H114</f>
        <v>29250</v>
      </c>
      <c r="J114" s="16" t="s">
        <v>14</v>
      </c>
      <c r="K114" s="51" t="s">
        <v>257</v>
      </c>
      <c r="L114" s="54" t="s">
        <v>22</v>
      </c>
      <c r="M114" s="53"/>
    </row>
    <row r="115" spans="1:13" ht="14.25" customHeight="1" x14ac:dyDescent="0.2">
      <c r="A115" s="336"/>
      <c r="B115" s="337" t="s">
        <v>220</v>
      </c>
      <c r="C115" s="338"/>
      <c r="D115" s="338"/>
      <c r="E115" s="338"/>
      <c r="F115" s="338"/>
      <c r="G115" s="338"/>
      <c r="H115" s="338"/>
      <c r="I115" s="338"/>
      <c r="J115" s="338"/>
      <c r="K115" s="338"/>
      <c r="L115" s="338"/>
      <c r="M115" s="339"/>
    </row>
    <row r="116" spans="1:13" ht="15.75" x14ac:dyDescent="0.2">
      <c r="A116" s="332" t="s">
        <v>217</v>
      </c>
      <c r="B116" s="333"/>
      <c r="C116" s="333"/>
      <c r="D116" s="333"/>
      <c r="E116" s="333"/>
      <c r="F116" s="333"/>
      <c r="G116" s="333"/>
      <c r="H116" s="333"/>
      <c r="I116" s="333"/>
      <c r="J116" s="333"/>
      <c r="K116" s="333"/>
      <c r="L116" s="333"/>
      <c r="M116" s="334"/>
    </row>
    <row r="117" spans="1:13" ht="63.75" x14ac:dyDescent="0.2">
      <c r="A117" s="335">
        <v>23</v>
      </c>
      <c r="B117" s="342" t="s">
        <v>265</v>
      </c>
      <c r="C117" s="342" t="s">
        <v>238</v>
      </c>
      <c r="D117" s="16" t="s">
        <v>183</v>
      </c>
      <c r="E117" s="17">
        <v>100</v>
      </c>
      <c r="F117" s="18" t="s">
        <v>13</v>
      </c>
      <c r="G117" s="18" t="s">
        <v>182</v>
      </c>
      <c r="H117" s="18">
        <f>267*117/100</f>
        <v>312.39</v>
      </c>
      <c r="I117" s="21">
        <f>H117*337</f>
        <v>105275.43</v>
      </c>
      <c r="J117" s="16" t="s">
        <v>14</v>
      </c>
      <c r="K117" s="412" t="s">
        <v>253</v>
      </c>
      <c r="L117" s="442" t="s">
        <v>22</v>
      </c>
      <c r="M117" s="350"/>
    </row>
    <row r="118" spans="1:13" ht="14.25" x14ac:dyDescent="0.2">
      <c r="A118" s="340"/>
      <c r="B118" s="373"/>
      <c r="C118" s="373"/>
      <c r="D118" s="31" t="s">
        <v>184</v>
      </c>
      <c r="E118" s="7">
        <v>90</v>
      </c>
      <c r="F118" s="8" t="s">
        <v>13</v>
      </c>
      <c r="G118" s="8" t="s">
        <v>182</v>
      </c>
      <c r="H118" s="8">
        <f>283*117/100</f>
        <v>331.11</v>
      </c>
      <c r="I118" s="15">
        <f t="shared" ref="I118:I119" si="11">H118*337</f>
        <v>111584.07</v>
      </c>
      <c r="J118" s="31" t="s">
        <v>14</v>
      </c>
      <c r="K118" s="413"/>
      <c r="L118" s="442"/>
      <c r="M118" s="378"/>
    </row>
    <row r="119" spans="1:13" ht="25.5" x14ac:dyDescent="0.2">
      <c r="A119" s="340"/>
      <c r="B119" s="373"/>
      <c r="C119" s="373"/>
      <c r="D119" s="31" t="s">
        <v>185</v>
      </c>
      <c r="E119" s="7">
        <v>87</v>
      </c>
      <c r="F119" s="8" t="s">
        <v>13</v>
      </c>
      <c r="G119" s="8" t="s">
        <v>182</v>
      </c>
      <c r="H119" s="8">
        <f>298*117/100</f>
        <v>348.66</v>
      </c>
      <c r="I119" s="15">
        <f t="shared" si="11"/>
        <v>117498.42000000001</v>
      </c>
      <c r="J119" s="31" t="s">
        <v>14</v>
      </c>
      <c r="K119" s="413"/>
      <c r="L119" s="442"/>
      <c r="M119" s="378"/>
    </row>
    <row r="120" spans="1:13" ht="14.25" x14ac:dyDescent="0.2">
      <c r="A120" s="336"/>
      <c r="B120" s="337" t="s">
        <v>181</v>
      </c>
      <c r="C120" s="338"/>
      <c r="D120" s="338"/>
      <c r="E120" s="338"/>
      <c r="F120" s="338"/>
      <c r="G120" s="338"/>
      <c r="H120" s="338"/>
      <c r="I120" s="338"/>
      <c r="J120" s="338"/>
      <c r="K120" s="338"/>
      <c r="L120" s="338"/>
      <c r="M120" s="339"/>
    </row>
    <row r="121" spans="1:13" ht="15.75" x14ac:dyDescent="0.2">
      <c r="A121" s="332" t="s">
        <v>225</v>
      </c>
      <c r="B121" s="333"/>
      <c r="C121" s="333"/>
      <c r="D121" s="333"/>
      <c r="E121" s="333"/>
      <c r="F121" s="333"/>
      <c r="G121" s="333"/>
      <c r="H121" s="333"/>
      <c r="I121" s="333"/>
      <c r="J121" s="333"/>
      <c r="K121" s="333"/>
      <c r="L121" s="333"/>
      <c r="M121" s="334"/>
    </row>
    <row r="122" spans="1:13" ht="25.5" x14ac:dyDescent="0.2">
      <c r="A122" s="340">
        <v>24</v>
      </c>
      <c r="B122" s="373" t="s">
        <v>189</v>
      </c>
      <c r="C122" s="373" t="s">
        <v>190</v>
      </c>
      <c r="D122" s="19" t="s">
        <v>186</v>
      </c>
      <c r="E122" s="20">
        <v>100</v>
      </c>
      <c r="F122" s="21" t="s">
        <v>187</v>
      </c>
      <c r="G122" s="21"/>
      <c r="H122" s="46">
        <v>0.13</v>
      </c>
      <c r="I122" s="21"/>
      <c r="J122" s="19" t="s">
        <v>14</v>
      </c>
      <c r="K122" s="413" t="s">
        <v>255</v>
      </c>
      <c r="L122" s="369" t="s">
        <v>22</v>
      </c>
      <c r="M122" s="378"/>
    </row>
    <row r="123" spans="1:13" ht="38.25" x14ac:dyDescent="0.2">
      <c r="A123" s="340"/>
      <c r="B123" s="373"/>
      <c r="C123" s="373"/>
      <c r="D123" s="16" t="s">
        <v>191</v>
      </c>
      <c r="E123" s="17">
        <v>95</v>
      </c>
      <c r="F123" s="21" t="s">
        <v>187</v>
      </c>
      <c r="G123" s="18"/>
      <c r="H123" s="46">
        <v>0.13</v>
      </c>
      <c r="I123" s="18"/>
      <c r="J123" s="16"/>
      <c r="K123" s="413"/>
      <c r="L123" s="369"/>
      <c r="M123" s="378"/>
    </row>
    <row r="124" spans="1:13" ht="38.25" x14ac:dyDescent="0.2">
      <c r="A124" s="340"/>
      <c r="B124" s="373"/>
      <c r="C124" s="373"/>
      <c r="D124" s="16" t="s">
        <v>192</v>
      </c>
      <c r="E124" s="17">
        <v>95</v>
      </c>
      <c r="F124" s="21" t="s">
        <v>187</v>
      </c>
      <c r="G124" s="18"/>
      <c r="H124" s="46">
        <v>0.13</v>
      </c>
      <c r="I124" s="18"/>
      <c r="J124" s="16"/>
      <c r="K124" s="413"/>
      <c r="L124" s="369"/>
      <c r="M124" s="378"/>
    </row>
    <row r="125" spans="1:13" ht="25.5" x14ac:dyDescent="0.2">
      <c r="A125" s="340"/>
      <c r="B125" s="373"/>
      <c r="C125" s="373"/>
      <c r="D125" s="16" t="s">
        <v>193</v>
      </c>
      <c r="E125" s="17">
        <v>95</v>
      </c>
      <c r="F125" s="21" t="s">
        <v>187</v>
      </c>
      <c r="G125" s="18"/>
      <c r="H125" s="46">
        <v>0.13</v>
      </c>
      <c r="I125" s="18"/>
      <c r="J125" s="16"/>
      <c r="K125" s="413"/>
      <c r="L125" s="369"/>
      <c r="M125" s="378"/>
    </row>
    <row r="126" spans="1:13" ht="14.25" x14ac:dyDescent="0.2">
      <c r="A126" s="336"/>
      <c r="B126" s="337" t="s">
        <v>242</v>
      </c>
      <c r="C126" s="338"/>
      <c r="D126" s="338"/>
      <c r="E126" s="338"/>
      <c r="F126" s="338"/>
      <c r="G126" s="338"/>
      <c r="H126" s="338"/>
      <c r="I126" s="338"/>
      <c r="J126" s="338"/>
      <c r="K126" s="338"/>
      <c r="L126" s="338"/>
      <c r="M126" s="339"/>
    </row>
    <row r="127" spans="1:13" ht="15.75" x14ac:dyDescent="0.2">
      <c r="A127" s="332" t="s">
        <v>226</v>
      </c>
      <c r="B127" s="333"/>
      <c r="C127" s="333"/>
      <c r="D127" s="333"/>
      <c r="E127" s="333"/>
      <c r="F127" s="333"/>
      <c r="G127" s="333"/>
      <c r="H127" s="333"/>
      <c r="I127" s="333"/>
      <c r="J127" s="333"/>
      <c r="K127" s="333"/>
      <c r="L127" s="333"/>
      <c r="M127" s="334"/>
    </row>
    <row r="128" spans="1:13" ht="51" x14ac:dyDescent="0.2">
      <c r="A128" s="335">
        <v>25</v>
      </c>
      <c r="B128" s="342" t="s">
        <v>256</v>
      </c>
      <c r="C128" s="342" t="s">
        <v>92</v>
      </c>
      <c r="D128" s="16" t="s">
        <v>195</v>
      </c>
      <c r="E128" s="17">
        <v>100</v>
      </c>
      <c r="F128" s="18" t="s">
        <v>13</v>
      </c>
      <c r="G128" s="18" t="s">
        <v>51</v>
      </c>
      <c r="H128" s="18">
        <f>650*117/100</f>
        <v>760.5</v>
      </c>
      <c r="I128" s="21">
        <f>H128*50</f>
        <v>38025</v>
      </c>
      <c r="J128" s="16" t="s">
        <v>14</v>
      </c>
      <c r="K128" s="412" t="s">
        <v>253</v>
      </c>
      <c r="L128" s="442" t="s">
        <v>22</v>
      </c>
      <c r="M128" s="350">
        <v>1621000750</v>
      </c>
    </row>
    <row r="129" spans="1:13" ht="25.5" x14ac:dyDescent="0.2">
      <c r="A129" s="340"/>
      <c r="B129" s="373"/>
      <c r="C129" s="373"/>
      <c r="D129" s="31" t="s">
        <v>197</v>
      </c>
      <c r="E129" s="7">
        <f>$H$128/H129*70+30</f>
        <v>83.529411764705884</v>
      </c>
      <c r="F129" s="8" t="s">
        <v>13</v>
      </c>
      <c r="G129" s="8" t="s">
        <v>51</v>
      </c>
      <c r="H129" s="8">
        <f>850*117/100</f>
        <v>994.5</v>
      </c>
      <c r="I129" s="15">
        <f>H129*50</f>
        <v>49725</v>
      </c>
      <c r="J129" s="31" t="s">
        <v>14</v>
      </c>
      <c r="K129" s="413"/>
      <c r="L129" s="442"/>
      <c r="M129" s="378"/>
    </row>
    <row r="130" spans="1:13" ht="38.25" x14ac:dyDescent="0.2">
      <c r="A130" s="340"/>
      <c r="B130" s="373"/>
      <c r="C130" s="373"/>
      <c r="D130" s="31" t="s">
        <v>196</v>
      </c>
      <c r="E130" s="7">
        <f>$H$128/H130*70+30</f>
        <v>82</v>
      </c>
      <c r="F130" s="8" t="s">
        <v>13</v>
      </c>
      <c r="G130" s="8" t="s">
        <v>51</v>
      </c>
      <c r="H130" s="8">
        <f>250*3.5*117/100</f>
        <v>1023.75</v>
      </c>
      <c r="I130" s="15">
        <f>H130*50</f>
        <v>51187.5</v>
      </c>
      <c r="J130" s="31" t="s">
        <v>14</v>
      </c>
      <c r="K130" s="413"/>
      <c r="L130" s="442"/>
      <c r="M130" s="378"/>
    </row>
    <row r="131" spans="1:13" ht="14.25" x14ac:dyDescent="0.2">
      <c r="A131" s="336"/>
      <c r="B131" s="337"/>
      <c r="C131" s="338"/>
      <c r="D131" s="338"/>
      <c r="E131" s="338"/>
      <c r="F131" s="338"/>
      <c r="G131" s="338"/>
      <c r="H131" s="338"/>
      <c r="I131" s="338"/>
      <c r="J131" s="338"/>
      <c r="K131" s="338"/>
      <c r="L131" s="338"/>
      <c r="M131" s="339"/>
    </row>
    <row r="132" spans="1:13" ht="15.75" x14ac:dyDescent="0.2">
      <c r="A132" s="332" t="s">
        <v>235</v>
      </c>
      <c r="B132" s="333"/>
      <c r="C132" s="333"/>
      <c r="D132" s="333"/>
      <c r="E132" s="333"/>
      <c r="F132" s="333"/>
      <c r="G132" s="333"/>
      <c r="H132" s="333"/>
      <c r="I132" s="333"/>
      <c r="J132" s="333"/>
      <c r="K132" s="333"/>
      <c r="L132" s="333"/>
      <c r="M132" s="334"/>
    </row>
    <row r="133" spans="1:13" ht="38.25" x14ac:dyDescent="0.2">
      <c r="A133" s="335">
        <v>26</v>
      </c>
      <c r="B133" s="50" t="s">
        <v>237</v>
      </c>
      <c r="C133" s="30" t="s">
        <v>239</v>
      </c>
      <c r="D133" s="42" t="s">
        <v>240</v>
      </c>
      <c r="E133" s="43">
        <v>100</v>
      </c>
      <c r="F133" s="44" t="s">
        <v>13</v>
      </c>
      <c r="G133" s="44" t="s">
        <v>51</v>
      </c>
      <c r="H133" s="45">
        <f>200*117/100</f>
        <v>234</v>
      </c>
      <c r="I133" s="44">
        <f>H133*50</f>
        <v>11700</v>
      </c>
      <c r="J133" s="42" t="s">
        <v>14</v>
      </c>
      <c r="K133" s="51" t="s">
        <v>260</v>
      </c>
      <c r="L133" s="54" t="s">
        <v>22</v>
      </c>
      <c r="M133" s="53"/>
    </row>
    <row r="134" spans="1:13" ht="14.25" customHeight="1" x14ac:dyDescent="0.2">
      <c r="A134" s="336"/>
      <c r="B134" s="337" t="s">
        <v>236</v>
      </c>
      <c r="C134" s="338"/>
      <c r="D134" s="338"/>
      <c r="E134" s="338"/>
      <c r="F134" s="338"/>
      <c r="G134" s="338"/>
      <c r="H134" s="338"/>
      <c r="I134" s="338"/>
      <c r="J134" s="338"/>
      <c r="K134" s="338"/>
      <c r="L134" s="338"/>
      <c r="M134" s="339"/>
    </row>
    <row r="135" spans="1:13" ht="15.75" x14ac:dyDescent="0.2">
      <c r="A135" s="37"/>
      <c r="B135" s="38"/>
      <c r="C135" s="38"/>
      <c r="D135" s="38"/>
      <c r="E135" s="38"/>
      <c r="F135" s="38"/>
      <c r="G135" s="38"/>
      <c r="H135" s="38"/>
      <c r="I135" s="38"/>
      <c r="J135" s="38"/>
      <c r="K135" s="38"/>
      <c r="L135" s="38"/>
      <c r="M135" s="39"/>
    </row>
    <row r="136" spans="1:13" ht="15.75" x14ac:dyDescent="0.2">
      <c r="A136" s="34"/>
      <c r="B136" s="40"/>
      <c r="C136" s="40"/>
      <c r="D136" s="40"/>
      <c r="E136" s="40"/>
      <c r="F136" s="40"/>
      <c r="G136" s="40"/>
      <c r="H136" s="40"/>
      <c r="I136" s="40"/>
      <c r="J136" s="40"/>
      <c r="K136" s="40"/>
      <c r="L136" s="40"/>
      <c r="M136" s="41"/>
    </row>
    <row r="137" spans="1:13" ht="15.75" x14ac:dyDescent="0.2">
      <c r="A137" s="332" t="s">
        <v>227</v>
      </c>
      <c r="B137" s="333"/>
      <c r="C137" s="333"/>
      <c r="D137" s="333"/>
      <c r="E137" s="333"/>
      <c r="F137" s="333"/>
      <c r="G137" s="333"/>
      <c r="H137" s="333"/>
      <c r="I137" s="333"/>
      <c r="J137" s="333"/>
      <c r="K137" s="333"/>
      <c r="L137" s="333"/>
      <c r="M137" s="334"/>
    </row>
    <row r="138" spans="1:13" ht="38.25" x14ac:dyDescent="0.2">
      <c r="A138" s="335">
        <v>7</v>
      </c>
      <c r="B138" s="342" t="s">
        <v>232</v>
      </c>
      <c r="C138" s="342" t="s">
        <v>72</v>
      </c>
      <c r="D138" s="19" t="s">
        <v>82</v>
      </c>
      <c r="E138" s="47">
        <v>100</v>
      </c>
      <c r="F138" s="48" t="s">
        <v>17</v>
      </c>
      <c r="G138" s="21" t="s">
        <v>17</v>
      </c>
      <c r="H138" s="21">
        <f>(12000+8000+4500+4500)*117/100</f>
        <v>33930</v>
      </c>
      <c r="I138" s="21">
        <f>H138</f>
        <v>33930</v>
      </c>
      <c r="J138" s="49" t="s">
        <v>14</v>
      </c>
      <c r="K138" s="412" t="s">
        <v>253</v>
      </c>
      <c r="L138" s="348" t="s">
        <v>22</v>
      </c>
      <c r="M138" s="350" t="s">
        <v>83</v>
      </c>
    </row>
    <row r="139" spans="1:13" ht="14.25" x14ac:dyDescent="0.2">
      <c r="A139" s="340"/>
      <c r="B139" s="373"/>
      <c r="C139" s="373"/>
      <c r="D139" s="23" t="s">
        <v>228</v>
      </c>
      <c r="E139" s="32">
        <v>95</v>
      </c>
      <c r="F139" s="15" t="s">
        <v>17</v>
      </c>
      <c r="G139" s="15" t="s">
        <v>17</v>
      </c>
      <c r="H139" s="15">
        <f>31000*117/100</f>
        <v>36270</v>
      </c>
      <c r="I139" s="15">
        <f>H139</f>
        <v>36270</v>
      </c>
      <c r="J139" s="23" t="s">
        <v>14</v>
      </c>
      <c r="K139" s="413"/>
      <c r="L139" s="369"/>
      <c r="M139" s="378"/>
    </row>
    <row r="140" spans="1:13" ht="25.5" x14ac:dyDescent="0.2">
      <c r="A140" s="340"/>
      <c r="B140" s="373"/>
      <c r="C140" s="373"/>
      <c r="D140" s="35" t="s">
        <v>229</v>
      </c>
      <c r="E140" s="36">
        <v>91</v>
      </c>
      <c r="F140" s="15" t="s">
        <v>17</v>
      </c>
      <c r="G140" s="15" t="s">
        <v>17</v>
      </c>
      <c r="H140" s="15">
        <f>(6400+14400+6400+5700)*117/100</f>
        <v>38493</v>
      </c>
      <c r="I140" s="15">
        <f t="shared" ref="I140:I142" si="12">H140</f>
        <v>38493</v>
      </c>
      <c r="J140" s="31" t="s">
        <v>14</v>
      </c>
      <c r="K140" s="413"/>
      <c r="L140" s="369"/>
      <c r="M140" s="378"/>
    </row>
    <row r="141" spans="1:13" ht="14.25" x14ac:dyDescent="0.2">
      <c r="A141" s="340"/>
      <c r="B141" s="373"/>
      <c r="C141" s="373"/>
      <c r="D141" s="35" t="s">
        <v>230</v>
      </c>
      <c r="E141" s="36">
        <v>74</v>
      </c>
      <c r="F141" s="15" t="s">
        <v>17</v>
      </c>
      <c r="G141" s="15" t="s">
        <v>17</v>
      </c>
      <c r="H141" s="15">
        <f>(15925+9800+9800+9800)*117/100</f>
        <v>53030.25</v>
      </c>
      <c r="I141" s="15">
        <f t="shared" si="12"/>
        <v>53030.25</v>
      </c>
      <c r="J141" s="31" t="s">
        <v>14</v>
      </c>
      <c r="K141" s="413"/>
      <c r="L141" s="369"/>
      <c r="M141" s="378"/>
    </row>
    <row r="142" spans="1:13" ht="14.25" customHeight="1" x14ac:dyDescent="0.2">
      <c r="A142" s="340"/>
      <c r="B142" s="343"/>
      <c r="C142" s="343"/>
      <c r="D142" s="35" t="s">
        <v>231</v>
      </c>
      <c r="E142" s="36">
        <v>63</v>
      </c>
      <c r="F142" s="15" t="s">
        <v>17</v>
      </c>
      <c r="G142" s="15" t="s">
        <v>17</v>
      </c>
      <c r="H142" s="15">
        <f>(14500+22500+9900+13750)*117/100</f>
        <v>70960.5</v>
      </c>
      <c r="I142" s="15">
        <f t="shared" si="12"/>
        <v>70960.5</v>
      </c>
      <c r="J142" s="31" t="s">
        <v>14</v>
      </c>
      <c r="K142" s="428"/>
      <c r="L142" s="349"/>
      <c r="M142" s="351"/>
    </row>
    <row r="143" spans="1:13" ht="14.25" customHeight="1" x14ac:dyDescent="0.2">
      <c r="A143" s="336"/>
      <c r="B143" s="337" t="s">
        <v>233</v>
      </c>
      <c r="C143" s="338"/>
      <c r="D143" s="338"/>
      <c r="E143" s="338"/>
      <c r="F143" s="338"/>
      <c r="G143" s="338"/>
      <c r="H143" s="338"/>
      <c r="I143" s="338"/>
      <c r="J143" s="338"/>
      <c r="K143" s="338"/>
      <c r="L143" s="338"/>
      <c r="M143" s="339"/>
    </row>
    <row r="144" spans="1:13" x14ac:dyDescent="0.2">
      <c r="B144" s="9" t="s">
        <v>234</v>
      </c>
    </row>
    <row r="145" spans="2:2" x14ac:dyDescent="0.2">
      <c r="B145" s="28"/>
    </row>
  </sheetData>
  <mergeCells count="172">
    <mergeCell ref="A39:M39"/>
    <mergeCell ref="A40:A41"/>
    <mergeCell ref="B41:M41"/>
    <mergeCell ref="A137:M137"/>
    <mergeCell ref="A138:A143"/>
    <mergeCell ref="B138:B142"/>
    <mergeCell ref="C138:C142"/>
    <mergeCell ref="K138:K142"/>
    <mergeCell ref="L138:L142"/>
    <mergeCell ref="M138:M142"/>
    <mergeCell ref="B143:M143"/>
    <mergeCell ref="A128:A131"/>
    <mergeCell ref="B128:B130"/>
    <mergeCell ref="C128:C130"/>
    <mergeCell ref="K128:K130"/>
    <mergeCell ref="L128:L130"/>
    <mergeCell ref="M128:M130"/>
    <mergeCell ref="B131:M131"/>
    <mergeCell ref="A121:M121"/>
    <mergeCell ref="A122:A126"/>
    <mergeCell ref="B122:B125"/>
    <mergeCell ref="C122:C125"/>
    <mergeCell ref="K122:K125"/>
    <mergeCell ref="L122:L125"/>
    <mergeCell ref="M122:M125"/>
    <mergeCell ref="B126:M126"/>
    <mergeCell ref="A127:M127"/>
    <mergeCell ref="A116:M116"/>
    <mergeCell ref="A117:A120"/>
    <mergeCell ref="B117:B119"/>
    <mergeCell ref="C117:C119"/>
    <mergeCell ref="K117:K119"/>
    <mergeCell ref="L117:L119"/>
    <mergeCell ref="M117:M119"/>
    <mergeCell ref="B120:M120"/>
    <mergeCell ref="A107:M107"/>
    <mergeCell ref="A108:A109"/>
    <mergeCell ref="B109:M109"/>
    <mergeCell ref="A110:M110"/>
    <mergeCell ref="A111:A112"/>
    <mergeCell ref="B112:M112"/>
    <mergeCell ref="A113:M113"/>
    <mergeCell ref="A114:A115"/>
    <mergeCell ref="B115:M115"/>
    <mergeCell ref="A102:A103"/>
    <mergeCell ref="B103:M103"/>
    <mergeCell ref="A104:M104"/>
    <mergeCell ref="A105:A106"/>
    <mergeCell ref="B106:M106"/>
    <mergeCell ref="A82:M82"/>
    <mergeCell ref="A83:A84"/>
    <mergeCell ref="B84:M84"/>
    <mergeCell ref="A91:M91"/>
    <mergeCell ref="A92:A95"/>
    <mergeCell ref="B92:B94"/>
    <mergeCell ref="C92:C94"/>
    <mergeCell ref="K92:K94"/>
    <mergeCell ref="L92:L94"/>
    <mergeCell ref="M92:M94"/>
    <mergeCell ref="B95:M95"/>
    <mergeCell ref="A85:M85"/>
    <mergeCell ref="A86:A90"/>
    <mergeCell ref="B86:B89"/>
    <mergeCell ref="C86:C89"/>
    <mergeCell ref="K86:K89"/>
    <mergeCell ref="L86:L89"/>
    <mergeCell ref="M86:M89"/>
    <mergeCell ref="A71:M71"/>
    <mergeCell ref="A72:A76"/>
    <mergeCell ref="B72:B75"/>
    <mergeCell ref="C72:C75"/>
    <mergeCell ref="K72:K75"/>
    <mergeCell ref="L72:L75"/>
    <mergeCell ref="M72:M75"/>
    <mergeCell ref="B76:M76"/>
    <mergeCell ref="A101:M101"/>
    <mergeCell ref="A96:M96"/>
    <mergeCell ref="A97:A100"/>
    <mergeCell ref="B97:B99"/>
    <mergeCell ref="C97:C99"/>
    <mergeCell ref="K97:K99"/>
    <mergeCell ref="L97:L99"/>
    <mergeCell ref="M97:M99"/>
    <mergeCell ref="B100:M100"/>
    <mergeCell ref="A77:M77"/>
    <mergeCell ref="A78:A81"/>
    <mergeCell ref="B78:B80"/>
    <mergeCell ref="C78:C80"/>
    <mergeCell ref="K78:K80"/>
    <mergeCell ref="L78:L80"/>
    <mergeCell ref="M78:M80"/>
    <mergeCell ref="A32:M32"/>
    <mergeCell ref="A33:A38"/>
    <mergeCell ref="B33:B37"/>
    <mergeCell ref="C33:C37"/>
    <mergeCell ref="K33:K37"/>
    <mergeCell ref="L33:L37"/>
    <mergeCell ref="M33:M37"/>
    <mergeCell ref="B38:M38"/>
    <mergeCell ref="A25:M25"/>
    <mergeCell ref="A26:A31"/>
    <mergeCell ref="B26:B30"/>
    <mergeCell ref="C26:C30"/>
    <mergeCell ref="K26:K30"/>
    <mergeCell ref="L26:L30"/>
    <mergeCell ref="M26:M30"/>
    <mergeCell ref="B31:M31"/>
    <mergeCell ref="A7:M7"/>
    <mergeCell ref="A8:A13"/>
    <mergeCell ref="B8:B12"/>
    <mergeCell ref="C8:C12"/>
    <mergeCell ref="K8:K12"/>
    <mergeCell ref="L8:L12"/>
    <mergeCell ref="M8:M12"/>
    <mergeCell ref="B13:M13"/>
    <mergeCell ref="A1:A6"/>
    <mergeCell ref="B1:M1"/>
    <mergeCell ref="B2:M2"/>
    <mergeCell ref="B3:M3"/>
    <mergeCell ref="B4:M4"/>
    <mergeCell ref="B5:M5"/>
    <mergeCell ref="A17:M17"/>
    <mergeCell ref="A18:A19"/>
    <mergeCell ref="B19:M19"/>
    <mergeCell ref="A20:M20"/>
    <mergeCell ref="A14:M14"/>
    <mergeCell ref="A15:A16"/>
    <mergeCell ref="B16:M16"/>
    <mergeCell ref="M21:M23"/>
    <mergeCell ref="B24:M24"/>
    <mergeCell ref="A21:A24"/>
    <mergeCell ref="B21:B23"/>
    <mergeCell ref="C21:C23"/>
    <mergeCell ref="K21:K23"/>
    <mergeCell ref="L21:L23"/>
    <mergeCell ref="K62:K64"/>
    <mergeCell ref="L62:L64"/>
    <mergeCell ref="M62:M64"/>
    <mergeCell ref="B65:M65"/>
    <mergeCell ref="A42:M42"/>
    <mergeCell ref="A43:A49"/>
    <mergeCell ref="B43:B48"/>
    <mergeCell ref="C43:C48"/>
    <mergeCell ref="K43:K48"/>
    <mergeCell ref="L43:L48"/>
    <mergeCell ref="M43:M48"/>
    <mergeCell ref="B49:M49"/>
    <mergeCell ref="A50:M50"/>
    <mergeCell ref="B81:M81"/>
    <mergeCell ref="B90:M90"/>
    <mergeCell ref="A132:M132"/>
    <mergeCell ref="A133:A134"/>
    <mergeCell ref="B134:M134"/>
    <mergeCell ref="A51:A60"/>
    <mergeCell ref="B51:B59"/>
    <mergeCell ref="C51:C59"/>
    <mergeCell ref="K51:K59"/>
    <mergeCell ref="L51:L59"/>
    <mergeCell ref="M51:M59"/>
    <mergeCell ref="B60:M60"/>
    <mergeCell ref="A66:M66"/>
    <mergeCell ref="A67:A70"/>
    <mergeCell ref="B67:B69"/>
    <mergeCell ref="C67:C69"/>
    <mergeCell ref="K67:K69"/>
    <mergeCell ref="L67:L69"/>
    <mergeCell ref="M67:M69"/>
    <mergeCell ref="B70:M70"/>
    <mergeCell ref="A61:M61"/>
    <mergeCell ref="A62:A65"/>
    <mergeCell ref="B62:B64"/>
    <mergeCell ref="C62:C64"/>
  </mergeCells>
  <pageMargins left="0.7" right="0.7" top="0.75" bottom="0.75" header="0.3" footer="0.3"/>
  <pageSetup paperSize="9" scale="74" fitToHeight="0" orientation="landscape" r:id="rId1"/>
  <rowBreaks count="5" manualBreakCount="5">
    <brk id="24" max="16383" man="1"/>
    <brk id="49" max="16383" man="1"/>
    <brk id="76" max="16383" man="1"/>
    <brk id="103" max="16383" man="1"/>
    <brk id="126"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4D7974-6718-43C3-8E32-095CCD2909D1}">
  <sheetPr>
    <pageSetUpPr fitToPage="1"/>
  </sheetPr>
  <dimension ref="A1:Q34"/>
  <sheetViews>
    <sheetView rightToLeft="1" zoomScaleNormal="100" workbookViewId="0">
      <selection activeCell="A34" sqref="A34:XFD34"/>
    </sheetView>
  </sheetViews>
  <sheetFormatPr defaultColWidth="8.75" defaultRowHeight="15" x14ac:dyDescent="0.2"/>
  <cols>
    <col min="1" max="1" width="4.25" customWidth="1"/>
    <col min="2" max="2" width="21.125" style="9" bestFit="1" customWidth="1"/>
    <col min="4" max="4" width="7.25" customWidth="1"/>
    <col min="5" max="5" width="7.75" customWidth="1"/>
    <col min="6" max="6" width="10.25" bestFit="1" customWidth="1"/>
    <col min="7" max="7" width="12.125" style="10" bestFit="1" customWidth="1"/>
    <col min="8" max="8" width="13.625" style="11" bestFit="1" customWidth="1"/>
    <col min="9" max="9" width="16" style="11" bestFit="1" customWidth="1"/>
    <col min="10" max="10" width="9" customWidth="1"/>
    <col min="11" max="11" width="12.875" style="12" customWidth="1"/>
    <col min="12" max="12" width="19.375" style="12" customWidth="1"/>
    <col min="13" max="13" width="15" style="12" customWidth="1"/>
    <col min="14" max="14" width="10.875" style="13" customWidth="1"/>
    <col min="15" max="15" width="13" style="14" customWidth="1"/>
  </cols>
  <sheetData>
    <row r="1" spans="1:15" ht="20.25" x14ac:dyDescent="0.2">
      <c r="A1" s="354"/>
      <c r="B1" s="355" t="s">
        <v>1063</v>
      </c>
      <c r="C1" s="355"/>
      <c r="D1" s="355"/>
      <c r="E1" s="355"/>
      <c r="F1" s="355"/>
      <c r="G1" s="355"/>
      <c r="H1" s="355"/>
      <c r="I1" s="355"/>
      <c r="J1" s="355"/>
      <c r="K1" s="355"/>
      <c r="L1" s="355"/>
      <c r="M1" s="355"/>
      <c r="N1" s="355"/>
      <c r="O1" s="355"/>
    </row>
    <row r="2" spans="1:15" ht="14.25" x14ac:dyDescent="0.2">
      <c r="A2" s="354"/>
      <c r="B2" s="356" t="s">
        <v>1005</v>
      </c>
      <c r="C2" s="356"/>
      <c r="D2" s="356"/>
      <c r="E2" s="356"/>
      <c r="F2" s="356"/>
      <c r="G2" s="356"/>
      <c r="H2" s="356"/>
      <c r="I2" s="356"/>
      <c r="J2" s="356"/>
      <c r="K2" s="356"/>
      <c r="L2" s="356"/>
      <c r="M2" s="356"/>
      <c r="N2" s="356"/>
      <c r="O2" s="356"/>
    </row>
    <row r="3" spans="1:15" ht="15.75" x14ac:dyDescent="0.2">
      <c r="A3" s="354"/>
      <c r="B3" s="357" t="s">
        <v>269</v>
      </c>
      <c r="C3" s="357"/>
      <c r="D3" s="357"/>
      <c r="E3" s="357"/>
      <c r="F3" s="357"/>
      <c r="G3" s="357"/>
      <c r="H3" s="357"/>
      <c r="I3" s="357"/>
      <c r="J3" s="357"/>
      <c r="K3" s="357"/>
      <c r="L3" s="357"/>
      <c r="M3" s="357"/>
      <c r="N3" s="357"/>
      <c r="O3" s="357"/>
    </row>
    <row r="4" spans="1:15" ht="14.25" x14ac:dyDescent="0.2">
      <c r="A4" s="354"/>
      <c r="B4" s="358" t="s">
        <v>71</v>
      </c>
      <c r="C4" s="358"/>
      <c r="D4" s="358"/>
      <c r="E4" s="358"/>
      <c r="F4" s="358"/>
      <c r="G4" s="358"/>
      <c r="H4" s="358"/>
      <c r="I4" s="358"/>
      <c r="J4" s="358"/>
      <c r="K4" s="358"/>
      <c r="L4" s="358"/>
      <c r="M4" s="358"/>
      <c r="N4" s="358"/>
      <c r="O4" s="358"/>
    </row>
    <row r="5" spans="1:15" ht="14.25" x14ac:dyDescent="0.2">
      <c r="A5" s="354"/>
      <c r="B5" s="358" t="s">
        <v>70</v>
      </c>
      <c r="C5" s="358"/>
      <c r="D5" s="358"/>
      <c r="E5" s="358"/>
      <c r="F5" s="358"/>
      <c r="G5" s="358"/>
      <c r="H5" s="358"/>
      <c r="I5" s="358"/>
      <c r="J5" s="358"/>
      <c r="K5" s="358"/>
      <c r="L5" s="358"/>
      <c r="M5" s="358"/>
      <c r="N5" s="358"/>
      <c r="O5" s="358"/>
    </row>
    <row r="6" spans="1:15" ht="46.5" customHeight="1" x14ac:dyDescent="0.2">
      <c r="A6" s="354"/>
      <c r="B6" s="269" t="s">
        <v>1</v>
      </c>
      <c r="C6" s="267" t="s">
        <v>2</v>
      </c>
      <c r="D6" s="3" t="s">
        <v>3</v>
      </c>
      <c r="E6" s="3" t="s">
        <v>4</v>
      </c>
      <c r="F6" s="3" t="s">
        <v>5</v>
      </c>
      <c r="G6" s="3" t="s">
        <v>6</v>
      </c>
      <c r="H6" s="4" t="s">
        <v>7</v>
      </c>
      <c r="I6" s="5" t="s">
        <v>8</v>
      </c>
      <c r="J6" s="3" t="s">
        <v>9</v>
      </c>
      <c r="K6" s="3" t="s">
        <v>10</v>
      </c>
      <c r="L6" s="3" t="s">
        <v>525</v>
      </c>
      <c r="M6" s="266" t="s">
        <v>526</v>
      </c>
      <c r="N6" s="175" t="s">
        <v>11</v>
      </c>
      <c r="O6" s="3" t="s">
        <v>12</v>
      </c>
    </row>
    <row r="7" spans="1:15" ht="15.75" x14ac:dyDescent="0.2">
      <c r="A7" s="332" t="s">
        <v>1037</v>
      </c>
      <c r="B7" s="333"/>
      <c r="C7" s="333"/>
      <c r="D7" s="333"/>
      <c r="E7" s="333"/>
      <c r="F7" s="333"/>
      <c r="G7" s="333"/>
      <c r="H7" s="333"/>
      <c r="I7" s="333"/>
      <c r="J7" s="333"/>
      <c r="K7" s="333"/>
      <c r="L7" s="333"/>
      <c r="M7" s="333"/>
      <c r="N7" s="333"/>
      <c r="O7" s="334"/>
    </row>
    <row r="8" spans="1:15" ht="51" x14ac:dyDescent="0.2">
      <c r="A8" s="359">
        <v>1</v>
      </c>
      <c r="B8" s="362" t="s">
        <v>1038</v>
      </c>
      <c r="C8" s="362" t="s">
        <v>1039</v>
      </c>
      <c r="D8" s="16" t="s">
        <v>1040</v>
      </c>
      <c r="E8" s="17">
        <v>100</v>
      </c>
      <c r="F8" s="18" t="s">
        <v>13</v>
      </c>
      <c r="G8" s="21" t="s">
        <v>1041</v>
      </c>
      <c r="H8" s="21">
        <f>130*117/100</f>
        <v>152.1</v>
      </c>
      <c r="I8" s="21">
        <f>H8*100*2</f>
        <v>30420</v>
      </c>
      <c r="J8" s="16" t="s">
        <v>14</v>
      </c>
      <c r="K8" s="344" t="s">
        <v>18</v>
      </c>
      <c r="L8" s="344" t="s">
        <v>529</v>
      </c>
      <c r="M8" s="366">
        <f>I8</f>
        <v>30420</v>
      </c>
      <c r="N8" s="348" t="s">
        <v>22</v>
      </c>
      <c r="O8" s="370">
        <v>1621000750</v>
      </c>
    </row>
    <row r="9" spans="1:15" ht="51" x14ac:dyDescent="0.2">
      <c r="A9" s="360"/>
      <c r="B9" s="363"/>
      <c r="C9" s="363"/>
      <c r="D9" s="23" t="s">
        <v>1043</v>
      </c>
      <c r="E9" s="32">
        <v>72</v>
      </c>
      <c r="F9" s="171" t="s">
        <v>13</v>
      </c>
      <c r="G9" s="15" t="s">
        <v>1041</v>
      </c>
      <c r="H9" s="15">
        <f>200*117/100</f>
        <v>234</v>
      </c>
      <c r="I9" s="15">
        <f>H9*100*2</f>
        <v>46800</v>
      </c>
      <c r="J9" s="268"/>
      <c r="K9" s="365"/>
      <c r="L9" s="365"/>
      <c r="M9" s="367"/>
      <c r="N9" s="369"/>
      <c r="O9" s="371"/>
    </row>
    <row r="10" spans="1:15" ht="51" x14ac:dyDescent="0.2">
      <c r="A10" s="360"/>
      <c r="B10" s="364"/>
      <c r="C10" s="364"/>
      <c r="D10" s="270" t="s">
        <v>457</v>
      </c>
      <c r="E10" s="7">
        <v>70</v>
      </c>
      <c r="F10" s="8" t="s">
        <v>13</v>
      </c>
      <c r="G10" s="15" t="s">
        <v>1041</v>
      </c>
      <c r="H10" s="15">
        <f>265</f>
        <v>265</v>
      </c>
      <c r="I10" s="15">
        <f>H10*100*2</f>
        <v>53000</v>
      </c>
      <c r="J10" s="270" t="s">
        <v>14</v>
      </c>
      <c r="K10" s="345"/>
      <c r="L10" s="345"/>
      <c r="M10" s="368"/>
      <c r="N10" s="349"/>
      <c r="O10" s="372"/>
    </row>
    <row r="11" spans="1:15" ht="14.25" customHeight="1" x14ac:dyDescent="0.2">
      <c r="A11" s="361"/>
      <c r="B11" s="337" t="s">
        <v>1042</v>
      </c>
      <c r="C11" s="338"/>
      <c r="D11" s="338"/>
      <c r="E11" s="338"/>
      <c r="F11" s="338"/>
      <c r="G11" s="338"/>
      <c r="H11" s="338"/>
      <c r="I11" s="338"/>
      <c r="J11" s="338"/>
      <c r="K11" s="338"/>
      <c r="L11" s="338"/>
      <c r="M11" s="338"/>
      <c r="N11" s="338"/>
      <c r="O11" s="339"/>
    </row>
    <row r="12" spans="1:15" ht="15.75" x14ac:dyDescent="0.2">
      <c r="A12" s="332" t="s">
        <v>1045</v>
      </c>
      <c r="B12" s="333"/>
      <c r="C12" s="333"/>
      <c r="D12" s="333"/>
      <c r="E12" s="333"/>
      <c r="F12" s="333"/>
      <c r="G12" s="333"/>
      <c r="H12" s="333"/>
      <c r="I12" s="333"/>
      <c r="J12" s="333"/>
      <c r="K12" s="333"/>
      <c r="L12" s="333"/>
      <c r="M12" s="333"/>
      <c r="N12" s="333"/>
      <c r="O12" s="334"/>
    </row>
    <row r="13" spans="1:15" ht="38.25" x14ac:dyDescent="0.2">
      <c r="A13" s="335">
        <v>2</v>
      </c>
      <c r="B13" s="271" t="s">
        <v>89</v>
      </c>
      <c r="C13" s="274" t="s">
        <v>1044</v>
      </c>
      <c r="D13" s="19" t="s">
        <v>60</v>
      </c>
      <c r="E13" s="20">
        <v>100</v>
      </c>
      <c r="F13" s="21" t="s">
        <v>57</v>
      </c>
      <c r="G13" s="21" t="s">
        <v>90</v>
      </c>
      <c r="H13" s="21">
        <f>13000*117/100</f>
        <v>15210</v>
      </c>
      <c r="I13" s="21">
        <f>H13*6</f>
        <v>91260</v>
      </c>
      <c r="J13" s="19" t="s">
        <v>14</v>
      </c>
      <c r="K13" s="282" t="s">
        <v>802</v>
      </c>
      <c r="L13" s="283" t="s">
        <v>529</v>
      </c>
      <c r="M13" s="285">
        <f>I13</f>
        <v>91260</v>
      </c>
      <c r="N13" s="272" t="s">
        <v>22</v>
      </c>
      <c r="O13" s="273">
        <v>1614000750</v>
      </c>
    </row>
    <row r="14" spans="1:15" ht="14.25" x14ac:dyDescent="0.2">
      <c r="A14" s="336"/>
      <c r="B14" s="337" t="s">
        <v>1046</v>
      </c>
      <c r="C14" s="338"/>
      <c r="D14" s="338"/>
      <c r="E14" s="338"/>
      <c r="F14" s="338"/>
      <c r="G14" s="338"/>
      <c r="H14" s="338"/>
      <c r="I14" s="338"/>
      <c r="J14" s="338"/>
      <c r="K14" s="338"/>
      <c r="L14" s="338"/>
      <c r="M14" s="338"/>
      <c r="N14" s="338"/>
      <c r="O14" s="339"/>
    </row>
    <row r="15" spans="1:15" ht="15.75" x14ac:dyDescent="0.2">
      <c r="A15" s="332" t="s">
        <v>1048</v>
      </c>
      <c r="B15" s="333"/>
      <c r="C15" s="333"/>
      <c r="D15" s="333"/>
      <c r="E15" s="333"/>
      <c r="F15" s="333"/>
      <c r="G15" s="333"/>
      <c r="H15" s="333"/>
      <c r="I15" s="333"/>
      <c r="J15" s="333"/>
      <c r="K15" s="333"/>
      <c r="L15" s="333"/>
      <c r="M15" s="333"/>
      <c r="N15" s="333"/>
      <c r="O15" s="334"/>
    </row>
    <row r="16" spans="1:15" ht="63.75" x14ac:dyDescent="0.2">
      <c r="A16" s="335">
        <v>3</v>
      </c>
      <c r="B16" s="275" t="s">
        <v>799</v>
      </c>
      <c r="C16" s="275" t="s">
        <v>281</v>
      </c>
      <c r="D16" s="16" t="s">
        <v>800</v>
      </c>
      <c r="E16" s="17">
        <v>100</v>
      </c>
      <c r="F16" s="18" t="s">
        <v>57</v>
      </c>
      <c r="G16" s="18" t="s">
        <v>520</v>
      </c>
      <c r="H16" s="18">
        <f>30000*117/100</f>
        <v>35100</v>
      </c>
      <c r="I16" s="18">
        <f>H16*2</f>
        <v>70200</v>
      </c>
      <c r="J16" s="16"/>
      <c r="K16" s="284" t="s">
        <v>802</v>
      </c>
      <c r="L16" s="284" t="s">
        <v>1107</v>
      </c>
      <c r="M16" s="286">
        <f>I16</f>
        <v>70200</v>
      </c>
      <c r="N16" s="276" t="s">
        <v>22</v>
      </c>
      <c r="O16" s="277">
        <v>1811000756</v>
      </c>
    </row>
    <row r="17" spans="1:17" ht="14.25" customHeight="1" x14ac:dyDescent="0.2">
      <c r="A17" s="336"/>
      <c r="B17" s="337" t="s">
        <v>1047</v>
      </c>
      <c r="C17" s="338"/>
      <c r="D17" s="338"/>
      <c r="E17" s="338"/>
      <c r="F17" s="338"/>
      <c r="G17" s="338"/>
      <c r="H17" s="338"/>
      <c r="I17" s="338"/>
      <c r="J17" s="338"/>
      <c r="K17" s="338"/>
      <c r="L17" s="338"/>
      <c r="M17" s="338"/>
      <c r="N17" s="338"/>
      <c r="O17" s="339"/>
    </row>
    <row r="18" spans="1:17" ht="15.75" x14ac:dyDescent="0.2">
      <c r="A18" s="332" t="s">
        <v>1053</v>
      </c>
      <c r="B18" s="333"/>
      <c r="C18" s="333"/>
      <c r="D18" s="333"/>
      <c r="E18" s="333"/>
      <c r="F18" s="333"/>
      <c r="G18" s="333"/>
      <c r="H18" s="333"/>
      <c r="I18" s="333"/>
      <c r="J18" s="333"/>
      <c r="K18" s="333"/>
      <c r="L18" s="333"/>
      <c r="M18" s="333"/>
      <c r="N18" s="333"/>
      <c r="O18" s="334"/>
    </row>
    <row r="19" spans="1:17" ht="38.25" x14ac:dyDescent="0.2">
      <c r="A19" s="359">
        <v>4</v>
      </c>
      <c r="B19" s="362" t="s">
        <v>1049</v>
      </c>
      <c r="C19" s="362" t="s">
        <v>954</v>
      </c>
      <c r="D19" s="16" t="s">
        <v>1117</v>
      </c>
      <c r="E19" s="17">
        <v>89</v>
      </c>
      <c r="F19" s="18" t="s">
        <v>13</v>
      </c>
      <c r="G19" s="21" t="s">
        <v>1050</v>
      </c>
      <c r="H19" s="21">
        <f>296*117/100</f>
        <v>346.32</v>
      </c>
      <c r="I19" s="21">
        <f>H19*40*6</f>
        <v>83116.799999999988</v>
      </c>
      <c r="J19" s="16"/>
      <c r="K19" s="344" t="s">
        <v>1113</v>
      </c>
      <c r="L19" s="344" t="s">
        <v>529</v>
      </c>
      <c r="M19" s="289">
        <f>I19</f>
        <v>83116.799999999988</v>
      </c>
      <c r="N19" s="348" t="s">
        <v>22</v>
      </c>
      <c r="O19" s="370"/>
      <c r="P19" s="13"/>
      <c r="Q19" s="14"/>
    </row>
    <row r="20" spans="1:17" ht="38.25" x14ac:dyDescent="0.2">
      <c r="A20" s="360"/>
      <c r="B20" s="363"/>
      <c r="C20" s="363"/>
      <c r="D20" s="16" t="s">
        <v>844</v>
      </c>
      <c r="E20" s="17">
        <v>88</v>
      </c>
      <c r="F20" s="18" t="s">
        <v>13</v>
      </c>
      <c r="G20" s="21" t="s">
        <v>1112</v>
      </c>
      <c r="H20" s="21">
        <f>250*117/100</f>
        <v>292.5</v>
      </c>
      <c r="I20" s="21">
        <f>H20*30*6</f>
        <v>52650</v>
      </c>
      <c r="J20" s="16"/>
      <c r="K20" s="365"/>
      <c r="L20" s="365"/>
      <c r="M20" s="289">
        <f t="shared" ref="M20:M21" si="0">I20</f>
        <v>52650</v>
      </c>
      <c r="N20" s="369"/>
      <c r="O20" s="371"/>
      <c r="P20" s="13"/>
      <c r="Q20" s="14"/>
    </row>
    <row r="21" spans="1:17" ht="38.25" x14ac:dyDescent="0.2">
      <c r="A21" s="360"/>
      <c r="B21" s="363"/>
      <c r="C21" s="363"/>
      <c r="D21" s="16" t="s">
        <v>1052</v>
      </c>
      <c r="E21" s="17">
        <v>82</v>
      </c>
      <c r="F21" s="18" t="s">
        <v>13</v>
      </c>
      <c r="G21" s="21" t="s">
        <v>1112</v>
      </c>
      <c r="H21" s="21">
        <f>240*117/100</f>
        <v>280.8</v>
      </c>
      <c r="I21" s="21">
        <f>H21*30*6</f>
        <v>50544</v>
      </c>
      <c r="J21" s="16" t="s">
        <v>14</v>
      </c>
      <c r="K21" s="365"/>
      <c r="L21" s="365"/>
      <c r="M21" s="289">
        <f t="shared" si="0"/>
        <v>50544</v>
      </c>
      <c r="N21" s="369"/>
      <c r="O21" s="371"/>
      <c r="P21" s="13"/>
      <c r="Q21" s="14"/>
    </row>
    <row r="22" spans="1:17" ht="38.25" x14ac:dyDescent="0.2">
      <c r="A22" s="360"/>
      <c r="B22" s="363"/>
      <c r="C22" s="363"/>
      <c r="D22" s="23" t="s">
        <v>1051</v>
      </c>
      <c r="E22" s="32">
        <v>82</v>
      </c>
      <c r="F22" s="171" t="s">
        <v>13</v>
      </c>
      <c r="G22" s="15" t="s">
        <v>1050</v>
      </c>
      <c r="H22" s="15">
        <f>250*117/100</f>
        <v>292.5</v>
      </c>
      <c r="I22" s="15">
        <f>H22*40*6</f>
        <v>70200</v>
      </c>
      <c r="J22" s="268" t="s">
        <v>14</v>
      </c>
      <c r="K22" s="365"/>
      <c r="L22" s="365"/>
      <c r="M22" s="289"/>
      <c r="N22" s="369"/>
      <c r="O22" s="371"/>
      <c r="P22" s="13"/>
      <c r="Q22" s="14"/>
    </row>
    <row r="23" spans="1:17" ht="15" customHeight="1" x14ac:dyDescent="0.2">
      <c r="A23" s="360"/>
      <c r="B23" s="363"/>
      <c r="C23" s="363"/>
      <c r="K23" s="365"/>
      <c r="L23" s="365"/>
      <c r="M23" s="290"/>
      <c r="N23" s="369"/>
      <c r="O23" s="371"/>
      <c r="P23" s="13"/>
      <c r="Q23" s="14"/>
    </row>
    <row r="24" spans="1:17" ht="15" customHeight="1" x14ac:dyDescent="0.2">
      <c r="A24" s="361"/>
      <c r="B24" s="337" t="s">
        <v>1114</v>
      </c>
      <c r="C24" s="338"/>
      <c r="D24" s="338"/>
      <c r="E24" s="338"/>
      <c r="F24" s="338"/>
      <c r="G24" s="338"/>
      <c r="H24" s="338"/>
      <c r="I24" s="338"/>
      <c r="J24" s="338"/>
      <c r="K24" s="338"/>
      <c r="L24" s="338"/>
      <c r="M24" s="338"/>
      <c r="N24" s="338"/>
      <c r="O24" s="339"/>
    </row>
    <row r="25" spans="1:17" ht="15.75" x14ac:dyDescent="0.2">
      <c r="A25" s="332" t="s">
        <v>1054</v>
      </c>
      <c r="B25" s="333"/>
      <c r="C25" s="333"/>
      <c r="D25" s="333"/>
      <c r="E25" s="333"/>
      <c r="F25" s="333"/>
      <c r="G25" s="333"/>
      <c r="H25" s="333"/>
      <c r="I25" s="333"/>
      <c r="J25" s="333"/>
      <c r="K25" s="333"/>
      <c r="L25" s="333"/>
      <c r="M25" s="333"/>
      <c r="N25" s="333"/>
      <c r="O25" s="334"/>
    </row>
    <row r="26" spans="1:17" ht="38.25" x14ac:dyDescent="0.2">
      <c r="A26" s="335">
        <v>5</v>
      </c>
      <c r="B26" s="342" t="s">
        <v>1055</v>
      </c>
      <c r="C26" s="342" t="s">
        <v>954</v>
      </c>
      <c r="D26" s="19" t="s">
        <v>1056</v>
      </c>
      <c r="E26" s="20">
        <v>100</v>
      </c>
      <c r="F26" s="21" t="s">
        <v>13</v>
      </c>
      <c r="G26" s="21" t="s">
        <v>1057</v>
      </c>
      <c r="H26" s="21">
        <f>200*117/100</f>
        <v>234</v>
      </c>
      <c r="I26" s="21">
        <f>H26*55*6</f>
        <v>77220</v>
      </c>
      <c r="J26" s="19"/>
      <c r="K26" s="344" t="s">
        <v>18</v>
      </c>
      <c r="L26" s="344" t="s">
        <v>529</v>
      </c>
      <c r="M26" s="346">
        <f>I26</f>
        <v>77220</v>
      </c>
      <c r="N26" s="348" t="s">
        <v>22</v>
      </c>
      <c r="O26" s="350"/>
      <c r="P26" s="13"/>
      <c r="Q26" s="14"/>
    </row>
    <row r="27" spans="1:17" ht="38.25" x14ac:dyDescent="0.2">
      <c r="A27" s="340"/>
      <c r="B27" s="373"/>
      <c r="C27" s="373"/>
      <c r="D27" s="23" t="s">
        <v>1058</v>
      </c>
      <c r="E27" s="32">
        <v>82</v>
      </c>
      <c r="F27" s="15" t="s">
        <v>13</v>
      </c>
      <c r="G27" s="15" t="s">
        <v>1057</v>
      </c>
      <c r="H27" s="153">
        <f>270*117/100</f>
        <v>315.89999999999998</v>
      </c>
      <c r="I27" s="15">
        <f>H27*55*6</f>
        <v>104247</v>
      </c>
      <c r="J27" s="23"/>
      <c r="K27" s="365"/>
      <c r="L27" s="365"/>
      <c r="M27" s="381"/>
      <c r="N27" s="369"/>
      <c r="O27" s="378"/>
      <c r="P27" s="13"/>
      <c r="Q27" s="14"/>
    </row>
    <row r="28" spans="1:17" ht="38.25" x14ac:dyDescent="0.2">
      <c r="A28" s="340"/>
      <c r="B28" s="343"/>
      <c r="C28" s="343"/>
      <c r="D28" s="270" t="s">
        <v>43</v>
      </c>
      <c r="E28" s="7">
        <v>76</v>
      </c>
      <c r="F28" s="8" t="s">
        <v>13</v>
      </c>
      <c r="G28" s="8" t="s">
        <v>1057</v>
      </c>
      <c r="H28" s="8">
        <f>301.5*117/100</f>
        <v>352.755</v>
      </c>
      <c r="I28" s="8">
        <f>H28*55*6</f>
        <v>116409.15000000001</v>
      </c>
      <c r="J28" s="270"/>
      <c r="K28" s="345"/>
      <c r="L28" s="345"/>
      <c r="M28" s="347"/>
      <c r="N28" s="349"/>
      <c r="O28" s="351"/>
      <c r="P28" s="13"/>
      <c r="Q28" s="14"/>
    </row>
    <row r="29" spans="1:17" ht="14.25" x14ac:dyDescent="0.2">
      <c r="A29" s="336"/>
      <c r="B29" s="337"/>
      <c r="C29" s="338"/>
      <c r="D29" s="338"/>
      <c r="E29" s="338"/>
      <c r="F29" s="338"/>
      <c r="G29" s="338"/>
      <c r="H29" s="338"/>
      <c r="I29" s="338"/>
      <c r="J29" s="338"/>
      <c r="K29" s="338"/>
      <c r="L29" s="338"/>
      <c r="M29" s="338"/>
      <c r="N29" s="338"/>
      <c r="O29" s="339"/>
    </row>
    <row r="30" spans="1:17" ht="15.75" x14ac:dyDescent="0.2">
      <c r="A30" s="332" t="s">
        <v>1061</v>
      </c>
      <c r="B30" s="333"/>
      <c r="C30" s="333"/>
      <c r="D30" s="333"/>
      <c r="E30" s="333"/>
      <c r="F30" s="333"/>
      <c r="G30" s="333"/>
      <c r="H30" s="333"/>
      <c r="I30" s="333"/>
      <c r="J30" s="333"/>
      <c r="K30" s="333"/>
      <c r="L30" s="333"/>
      <c r="M30" s="333"/>
      <c r="N30" s="333"/>
      <c r="O30" s="334"/>
    </row>
    <row r="31" spans="1:17" ht="51" x14ac:dyDescent="0.2">
      <c r="A31" s="335">
        <v>6</v>
      </c>
      <c r="B31" s="280" t="s">
        <v>1060</v>
      </c>
      <c r="C31" s="23" t="s">
        <v>52</v>
      </c>
      <c r="D31" s="20" t="s">
        <v>1059</v>
      </c>
      <c r="E31" s="21">
        <v>100</v>
      </c>
      <c r="F31" s="21" t="s">
        <v>17</v>
      </c>
      <c r="G31" s="21" t="s">
        <v>17</v>
      </c>
      <c r="H31" s="21">
        <f>45000*117/100</f>
        <v>52650</v>
      </c>
      <c r="I31" s="21">
        <f>H31</f>
        <v>52650</v>
      </c>
      <c r="J31" s="19"/>
      <c r="K31" s="278" t="s">
        <v>802</v>
      </c>
      <c r="L31" s="278" t="s">
        <v>529</v>
      </c>
      <c r="M31" s="287">
        <f>I31</f>
        <v>52650</v>
      </c>
      <c r="N31" s="279" t="s">
        <v>22</v>
      </c>
      <c r="O31" s="281"/>
    </row>
    <row r="32" spans="1:17" x14ac:dyDescent="0.2">
      <c r="A32" s="336"/>
      <c r="B32" s="337" t="s">
        <v>1062</v>
      </c>
      <c r="C32" s="338"/>
      <c r="D32" s="338"/>
      <c r="E32" s="338"/>
      <c r="F32" s="338"/>
      <c r="G32" s="338"/>
      <c r="H32" s="338"/>
      <c r="I32" s="338"/>
      <c r="J32" s="338"/>
      <c r="K32" s="338"/>
      <c r="L32" s="338"/>
      <c r="M32" s="338"/>
      <c r="N32" s="338"/>
      <c r="O32" s="339"/>
      <c r="P32" s="13"/>
      <c r="Q32" s="14"/>
    </row>
    <row r="33" spans="1:15" ht="15.75" x14ac:dyDescent="0.2">
      <c r="A33" s="25"/>
      <c r="B33" s="237"/>
      <c r="C33" s="237"/>
      <c r="D33" s="237"/>
      <c r="E33" s="237"/>
      <c r="F33" s="237"/>
      <c r="G33" s="237"/>
      <c r="H33" s="237"/>
      <c r="I33" s="237"/>
      <c r="J33" s="237"/>
      <c r="K33" s="237"/>
      <c r="L33" s="237"/>
      <c r="M33" s="237"/>
      <c r="N33" s="237"/>
      <c r="O33" s="237"/>
    </row>
    <row r="34" spans="1:15" x14ac:dyDescent="0.2">
      <c r="B34" s="28"/>
    </row>
  </sheetData>
  <mergeCells count="44">
    <mergeCell ref="A1:A6"/>
    <mergeCell ref="B1:O1"/>
    <mergeCell ref="B2:O2"/>
    <mergeCell ref="B3:O3"/>
    <mergeCell ref="B4:O4"/>
    <mergeCell ref="B5:O5"/>
    <mergeCell ref="A7:O7"/>
    <mergeCell ref="A8:A11"/>
    <mergeCell ref="B8:B10"/>
    <mergeCell ref="C8:C10"/>
    <mergeCell ref="K8:K10"/>
    <mergeCell ref="L8:L10"/>
    <mergeCell ref="M8:M10"/>
    <mergeCell ref="N8:N10"/>
    <mergeCell ref="O8:O10"/>
    <mergeCell ref="B11:O11"/>
    <mergeCell ref="A12:O12"/>
    <mergeCell ref="A13:A14"/>
    <mergeCell ref="B14:O14"/>
    <mergeCell ref="N19:N23"/>
    <mergeCell ref="O19:O23"/>
    <mergeCell ref="A15:O15"/>
    <mergeCell ref="A16:A17"/>
    <mergeCell ref="B17:O17"/>
    <mergeCell ref="A18:O18"/>
    <mergeCell ref="A19:A24"/>
    <mergeCell ref="B19:B23"/>
    <mergeCell ref="C19:C23"/>
    <mergeCell ref="K19:K23"/>
    <mergeCell ref="L19:L23"/>
    <mergeCell ref="B24:O24"/>
    <mergeCell ref="A30:O30"/>
    <mergeCell ref="A31:A32"/>
    <mergeCell ref="B32:O32"/>
    <mergeCell ref="A25:O25"/>
    <mergeCell ref="A26:A29"/>
    <mergeCell ref="B26:B28"/>
    <mergeCell ref="C26:C28"/>
    <mergeCell ref="K26:K28"/>
    <mergeCell ref="L26:L28"/>
    <mergeCell ref="M26:M28"/>
    <mergeCell ref="N26:N28"/>
    <mergeCell ref="O26:O28"/>
    <mergeCell ref="B29:O29"/>
  </mergeCells>
  <phoneticPr fontId="24" type="noConversion"/>
  <pageMargins left="0.25" right="0.25" top="0.75" bottom="0.75" header="0.3" footer="0.3"/>
  <pageSetup paperSize="9" scale="72" fitToHeight="0" orientation="landscape" r:id="rId1"/>
  <rowBreaks count="1" manualBreakCount="1">
    <brk id="24"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D630A1-9272-4128-9C9B-BDFFB0FD7259}">
  <sheetPr>
    <pageSetUpPr fitToPage="1"/>
  </sheetPr>
  <dimension ref="A1:Q50"/>
  <sheetViews>
    <sheetView rightToLeft="1" zoomScaleNormal="100" workbookViewId="0">
      <selection activeCell="A50" sqref="A50:XFD50"/>
    </sheetView>
  </sheetViews>
  <sheetFormatPr defaultColWidth="8.75" defaultRowHeight="15" x14ac:dyDescent="0.2"/>
  <cols>
    <col min="1" max="1" width="4.25" customWidth="1"/>
    <col min="2" max="2" width="21.125" style="9" bestFit="1" customWidth="1"/>
    <col min="4" max="4" width="7.25" customWidth="1"/>
    <col min="5" max="5" width="7.75" customWidth="1"/>
    <col min="6" max="6" width="10.25" bestFit="1" customWidth="1"/>
    <col min="7" max="7" width="12.125" style="10" bestFit="1" customWidth="1"/>
    <col min="8" max="8" width="13.625" style="11" bestFit="1" customWidth="1"/>
    <col min="9" max="9" width="16" style="11" bestFit="1" customWidth="1"/>
    <col min="10" max="10" width="9" customWidth="1"/>
    <col min="11" max="11" width="12.875" style="12" customWidth="1"/>
    <col min="12" max="12" width="19.375" style="12" customWidth="1"/>
    <col min="13" max="13" width="15" style="12" customWidth="1"/>
    <col min="14" max="14" width="10.875" style="13" customWidth="1"/>
    <col min="15" max="15" width="13" style="14" customWidth="1"/>
  </cols>
  <sheetData>
    <row r="1" spans="1:17" ht="20.25" x14ac:dyDescent="0.2">
      <c r="A1" s="354"/>
      <c r="B1" s="355" t="s">
        <v>1035</v>
      </c>
      <c r="C1" s="355"/>
      <c r="D1" s="355"/>
      <c r="E1" s="355"/>
      <c r="F1" s="355"/>
      <c r="G1" s="355"/>
      <c r="H1" s="355"/>
      <c r="I1" s="355"/>
      <c r="J1" s="355"/>
      <c r="K1" s="355"/>
      <c r="L1" s="355"/>
      <c r="M1" s="355"/>
      <c r="N1" s="355"/>
      <c r="O1" s="355"/>
    </row>
    <row r="2" spans="1:17" ht="14.25" x14ac:dyDescent="0.2">
      <c r="A2" s="354"/>
      <c r="B2" s="356" t="s">
        <v>1005</v>
      </c>
      <c r="C2" s="356"/>
      <c r="D2" s="356"/>
      <c r="E2" s="356"/>
      <c r="F2" s="356"/>
      <c r="G2" s="356"/>
      <c r="H2" s="356"/>
      <c r="I2" s="356"/>
      <c r="J2" s="356"/>
      <c r="K2" s="356"/>
      <c r="L2" s="356"/>
      <c r="M2" s="356"/>
      <c r="N2" s="356"/>
      <c r="O2" s="356"/>
    </row>
    <row r="3" spans="1:17" ht="15.75" x14ac:dyDescent="0.2">
      <c r="A3" s="354"/>
      <c r="B3" s="357" t="s">
        <v>663</v>
      </c>
      <c r="C3" s="357"/>
      <c r="D3" s="357"/>
      <c r="E3" s="357"/>
      <c r="F3" s="357"/>
      <c r="G3" s="357"/>
      <c r="H3" s="357"/>
      <c r="I3" s="357"/>
      <c r="J3" s="357"/>
      <c r="K3" s="357"/>
      <c r="L3" s="357"/>
      <c r="M3" s="357"/>
      <c r="N3" s="357"/>
      <c r="O3" s="357"/>
    </row>
    <row r="4" spans="1:17" ht="14.25" x14ac:dyDescent="0.2">
      <c r="A4" s="354"/>
      <c r="B4" s="358" t="s">
        <v>71</v>
      </c>
      <c r="C4" s="358"/>
      <c r="D4" s="358"/>
      <c r="E4" s="358"/>
      <c r="F4" s="358"/>
      <c r="G4" s="358"/>
      <c r="H4" s="358"/>
      <c r="I4" s="358"/>
      <c r="J4" s="358"/>
      <c r="K4" s="358"/>
      <c r="L4" s="358"/>
      <c r="M4" s="358"/>
      <c r="N4" s="358"/>
      <c r="O4" s="358"/>
    </row>
    <row r="5" spans="1:17" ht="14.25" x14ac:dyDescent="0.2">
      <c r="A5" s="354"/>
      <c r="B5" s="358" t="s">
        <v>70</v>
      </c>
      <c r="C5" s="358"/>
      <c r="D5" s="358"/>
      <c r="E5" s="358"/>
      <c r="F5" s="358"/>
      <c r="G5" s="358"/>
      <c r="H5" s="358"/>
      <c r="I5" s="358"/>
      <c r="J5" s="358"/>
      <c r="K5" s="358"/>
      <c r="L5" s="358"/>
      <c r="M5" s="358"/>
      <c r="N5" s="358"/>
      <c r="O5" s="358"/>
    </row>
    <row r="6" spans="1:17" ht="46.5" customHeight="1" x14ac:dyDescent="0.2">
      <c r="A6" s="354"/>
      <c r="B6" s="251" t="s">
        <v>1</v>
      </c>
      <c r="C6" s="249" t="s">
        <v>2</v>
      </c>
      <c r="D6" s="3" t="s">
        <v>3</v>
      </c>
      <c r="E6" s="3" t="s">
        <v>4</v>
      </c>
      <c r="F6" s="3" t="s">
        <v>5</v>
      </c>
      <c r="G6" s="3" t="s">
        <v>6</v>
      </c>
      <c r="H6" s="4" t="s">
        <v>7</v>
      </c>
      <c r="I6" s="5" t="s">
        <v>8</v>
      </c>
      <c r="J6" s="3" t="s">
        <v>9</v>
      </c>
      <c r="K6" s="3" t="s">
        <v>10</v>
      </c>
      <c r="L6" s="3" t="s">
        <v>525</v>
      </c>
      <c r="M6" s="248" t="s">
        <v>526</v>
      </c>
      <c r="N6" s="175" t="s">
        <v>11</v>
      </c>
      <c r="O6" s="3" t="s">
        <v>12</v>
      </c>
    </row>
    <row r="7" spans="1:17" ht="15.75" x14ac:dyDescent="0.2">
      <c r="A7" s="332" t="s">
        <v>962</v>
      </c>
      <c r="B7" s="333"/>
      <c r="C7" s="333"/>
      <c r="D7" s="333"/>
      <c r="E7" s="333"/>
      <c r="F7" s="333"/>
      <c r="G7" s="333"/>
      <c r="H7" s="333"/>
      <c r="I7" s="333"/>
      <c r="J7" s="333"/>
      <c r="K7" s="333"/>
      <c r="L7" s="333"/>
      <c r="M7" s="333"/>
      <c r="N7" s="333"/>
      <c r="O7" s="334"/>
    </row>
    <row r="8" spans="1:17" ht="76.5" x14ac:dyDescent="0.2">
      <c r="A8" s="335">
        <v>4</v>
      </c>
      <c r="B8" s="246" t="s">
        <v>980</v>
      </c>
      <c r="C8" s="246" t="s">
        <v>981</v>
      </c>
      <c r="D8" s="16" t="s">
        <v>759</v>
      </c>
      <c r="E8" s="17">
        <v>100</v>
      </c>
      <c r="F8" s="18" t="s">
        <v>57</v>
      </c>
      <c r="G8" s="18" t="s">
        <v>982</v>
      </c>
      <c r="H8" s="18">
        <f>15000*117/100</f>
        <v>17550</v>
      </c>
      <c r="I8" s="18">
        <f>H8</f>
        <v>17550</v>
      </c>
      <c r="J8" s="16" t="s">
        <v>14</v>
      </c>
      <c r="K8" s="259" t="s">
        <v>802</v>
      </c>
      <c r="L8" s="259" t="s">
        <v>1036</v>
      </c>
      <c r="M8" s="244">
        <f>I8</f>
        <v>17550</v>
      </c>
      <c r="N8" s="247" t="s">
        <v>22</v>
      </c>
      <c r="O8" s="245">
        <v>2440132953</v>
      </c>
      <c r="P8" s="13"/>
      <c r="Q8" s="14"/>
    </row>
    <row r="9" spans="1:17" x14ac:dyDescent="0.2">
      <c r="A9" s="336"/>
      <c r="B9" s="337" t="s">
        <v>977</v>
      </c>
      <c r="C9" s="338"/>
      <c r="D9" s="338"/>
      <c r="E9" s="338"/>
      <c r="F9" s="338"/>
      <c r="G9" s="338"/>
      <c r="H9" s="338"/>
      <c r="I9" s="338"/>
      <c r="J9" s="338"/>
      <c r="K9" s="338"/>
      <c r="L9" s="338"/>
      <c r="M9" s="338"/>
      <c r="N9" s="338"/>
      <c r="O9" s="339"/>
      <c r="P9" s="13"/>
      <c r="Q9" s="14"/>
    </row>
    <row r="10" spans="1:17" ht="15.75" x14ac:dyDescent="0.2">
      <c r="A10" s="332" t="s">
        <v>976</v>
      </c>
      <c r="B10" s="333"/>
      <c r="C10" s="333"/>
      <c r="D10" s="333"/>
      <c r="E10" s="333"/>
      <c r="F10" s="333"/>
      <c r="G10" s="333"/>
      <c r="H10" s="333"/>
      <c r="I10" s="333"/>
      <c r="J10" s="333"/>
      <c r="K10" s="333"/>
      <c r="L10" s="333"/>
      <c r="M10" s="333"/>
      <c r="N10" s="333"/>
      <c r="O10" s="334"/>
    </row>
    <row r="11" spans="1:17" ht="30.6" customHeight="1" x14ac:dyDescent="0.2">
      <c r="A11" s="359">
        <v>7</v>
      </c>
      <c r="B11" s="362" t="s">
        <v>993</v>
      </c>
      <c r="C11" s="362" t="s">
        <v>994</v>
      </c>
      <c r="D11" s="42" t="s">
        <v>995</v>
      </c>
      <c r="E11" s="43">
        <v>100</v>
      </c>
      <c r="F11" s="44" t="s">
        <v>996</v>
      </c>
      <c r="G11" s="44" t="s">
        <v>997</v>
      </c>
      <c r="H11" s="44">
        <f>15850*117/100</f>
        <v>18544.5</v>
      </c>
      <c r="I11" s="44">
        <f>H11*12</f>
        <v>222534</v>
      </c>
      <c r="J11" s="42" t="s">
        <v>14</v>
      </c>
      <c r="K11" s="344" t="s">
        <v>258</v>
      </c>
      <c r="L11" s="344"/>
      <c r="M11" s="379"/>
      <c r="N11" s="348" t="s">
        <v>22</v>
      </c>
      <c r="O11" s="370">
        <v>1252100410</v>
      </c>
    </row>
    <row r="12" spans="1:17" ht="25.5" x14ac:dyDescent="0.2">
      <c r="A12" s="360"/>
      <c r="B12" s="364"/>
      <c r="C12" s="364"/>
      <c r="D12" s="23" t="s">
        <v>632</v>
      </c>
      <c r="E12" s="32">
        <v>95</v>
      </c>
      <c r="F12" s="171" t="s">
        <v>996</v>
      </c>
      <c r="G12" s="15" t="s">
        <v>997</v>
      </c>
      <c r="H12" s="15">
        <f>17000*117/100</f>
        <v>19890</v>
      </c>
      <c r="I12" s="15">
        <f>H12*12</f>
        <v>238680</v>
      </c>
      <c r="J12" s="250" t="s">
        <v>14</v>
      </c>
      <c r="K12" s="345"/>
      <c r="L12" s="345"/>
      <c r="M12" s="382"/>
      <c r="N12" s="349"/>
      <c r="O12" s="372"/>
    </row>
    <row r="13" spans="1:17" ht="14.25" customHeight="1" x14ac:dyDescent="0.2">
      <c r="A13" s="361"/>
      <c r="B13" s="337" t="s">
        <v>803</v>
      </c>
      <c r="C13" s="338"/>
      <c r="D13" s="338"/>
      <c r="E13" s="338"/>
      <c r="F13" s="338"/>
      <c r="G13" s="338"/>
      <c r="H13" s="338"/>
      <c r="I13" s="338"/>
      <c r="J13" s="338"/>
      <c r="K13" s="338"/>
      <c r="L13" s="338"/>
      <c r="M13" s="338"/>
      <c r="N13" s="338"/>
      <c r="O13" s="339"/>
    </row>
    <row r="14" spans="1:17" ht="15.75" x14ac:dyDescent="0.2">
      <c r="A14" s="25"/>
      <c r="B14" s="237"/>
      <c r="C14" s="237"/>
      <c r="D14" s="237"/>
      <c r="E14" s="237"/>
      <c r="F14" s="237"/>
      <c r="G14" s="237"/>
      <c r="H14" s="237"/>
      <c r="I14" s="237"/>
      <c r="J14" s="237"/>
      <c r="K14" s="237"/>
      <c r="L14" s="237"/>
      <c r="M14" s="237"/>
      <c r="N14" s="237"/>
      <c r="O14" s="237"/>
    </row>
    <row r="15" spans="1:17" ht="15.75" x14ac:dyDescent="0.2">
      <c r="A15" s="332" t="s">
        <v>1008</v>
      </c>
      <c r="B15" s="333"/>
      <c r="C15" s="333"/>
      <c r="D15" s="333"/>
      <c r="E15" s="333"/>
      <c r="F15" s="333"/>
      <c r="G15" s="333"/>
      <c r="H15" s="333"/>
      <c r="I15" s="333"/>
      <c r="J15" s="333"/>
      <c r="K15" s="333"/>
      <c r="L15" s="333"/>
      <c r="M15" s="333"/>
      <c r="N15" s="333"/>
      <c r="O15" s="334"/>
    </row>
    <row r="16" spans="1:17" ht="38.25" x14ac:dyDescent="0.2">
      <c r="A16" s="359">
        <v>1</v>
      </c>
      <c r="B16" s="362" t="s">
        <v>1014</v>
      </c>
      <c r="C16" s="362" t="s">
        <v>78</v>
      </c>
      <c r="D16" s="80" t="s">
        <v>1010</v>
      </c>
      <c r="E16" s="81">
        <v>79</v>
      </c>
      <c r="F16" s="82" t="s">
        <v>17</v>
      </c>
      <c r="G16" s="84" t="s">
        <v>17</v>
      </c>
      <c r="H16" s="84">
        <f>50000*117/100</f>
        <v>58500</v>
      </c>
      <c r="I16" s="84">
        <f>H16</f>
        <v>58500</v>
      </c>
      <c r="J16" s="80"/>
      <c r="K16" s="344" t="s">
        <v>18</v>
      </c>
      <c r="L16" s="344" t="s">
        <v>1032</v>
      </c>
      <c r="M16" s="379">
        <v>45000</v>
      </c>
      <c r="N16" s="348" t="s">
        <v>22</v>
      </c>
      <c r="O16" s="370">
        <v>2130182750</v>
      </c>
    </row>
    <row r="17" spans="1:17" ht="14.25" x14ac:dyDescent="0.2">
      <c r="A17" s="360"/>
      <c r="B17" s="363"/>
      <c r="C17" s="363"/>
      <c r="D17" s="23" t="s">
        <v>1011</v>
      </c>
      <c r="E17" s="32">
        <v>76</v>
      </c>
      <c r="F17" s="171" t="s">
        <v>17</v>
      </c>
      <c r="G17" s="15" t="s">
        <v>17</v>
      </c>
      <c r="H17" s="15">
        <f>35000*117/100</f>
        <v>40950</v>
      </c>
      <c r="I17" s="15">
        <f>H17</f>
        <v>40950</v>
      </c>
      <c r="J17" s="250"/>
      <c r="K17" s="365"/>
      <c r="L17" s="365"/>
      <c r="M17" s="380"/>
      <c r="N17" s="369"/>
      <c r="O17" s="371"/>
    </row>
    <row r="18" spans="1:17" ht="25.5" x14ac:dyDescent="0.2">
      <c r="A18" s="360"/>
      <c r="B18" s="363"/>
      <c r="C18" s="363"/>
      <c r="D18" s="252" t="s">
        <v>1009</v>
      </c>
      <c r="E18" s="7">
        <v>65</v>
      </c>
      <c r="F18" s="8" t="s">
        <v>17</v>
      </c>
      <c r="G18" s="15" t="s">
        <v>17</v>
      </c>
      <c r="H18" s="15">
        <f>70000*117/100</f>
        <v>81900</v>
      </c>
      <c r="I18" s="15">
        <f t="shared" ref="I18:I19" si="0">H18</f>
        <v>81900</v>
      </c>
      <c r="J18" s="252" t="s">
        <v>14</v>
      </c>
      <c r="K18" s="365"/>
      <c r="L18" s="365"/>
      <c r="M18" s="380"/>
      <c r="N18" s="369"/>
      <c r="O18" s="371"/>
    </row>
    <row r="19" spans="1:17" ht="14.25" x14ac:dyDescent="0.2">
      <c r="A19" s="360"/>
      <c r="B19" s="363"/>
      <c r="C19" s="363"/>
      <c r="D19" s="252" t="s">
        <v>1012</v>
      </c>
      <c r="E19" s="7">
        <v>59</v>
      </c>
      <c r="F19" s="8" t="s">
        <v>17</v>
      </c>
      <c r="G19" s="15" t="s">
        <v>17</v>
      </c>
      <c r="H19" s="15">
        <f>47000*117/100</f>
        <v>54990</v>
      </c>
      <c r="I19" s="15">
        <f t="shared" si="0"/>
        <v>54990</v>
      </c>
      <c r="J19" s="252"/>
      <c r="K19" s="365"/>
      <c r="L19" s="365"/>
      <c r="M19" s="380"/>
      <c r="N19" s="369"/>
      <c r="O19" s="371"/>
    </row>
    <row r="20" spans="1:17" ht="14.25" customHeight="1" x14ac:dyDescent="0.2">
      <c r="A20" s="361"/>
      <c r="B20" s="337"/>
      <c r="C20" s="338"/>
      <c r="D20" s="338"/>
      <c r="E20" s="338"/>
      <c r="F20" s="338"/>
      <c r="G20" s="338"/>
      <c r="H20" s="338"/>
      <c r="I20" s="338"/>
      <c r="J20" s="338"/>
      <c r="K20" s="338"/>
      <c r="L20" s="338"/>
      <c r="M20" s="338"/>
      <c r="N20" s="338"/>
      <c r="O20" s="339"/>
    </row>
    <row r="21" spans="1:17" ht="15.75" x14ac:dyDescent="0.2">
      <c r="A21" s="332" t="s">
        <v>1013</v>
      </c>
      <c r="B21" s="333"/>
      <c r="C21" s="333"/>
      <c r="D21" s="333"/>
      <c r="E21" s="333"/>
      <c r="F21" s="333"/>
      <c r="G21" s="333"/>
      <c r="H21" s="333"/>
      <c r="I21" s="333"/>
      <c r="J21" s="333"/>
      <c r="K21" s="333"/>
      <c r="L21" s="333"/>
      <c r="M21" s="333"/>
      <c r="N21" s="333"/>
      <c r="O21" s="334"/>
    </row>
    <row r="22" spans="1:17" ht="38.25" x14ac:dyDescent="0.2">
      <c r="A22" s="359">
        <v>2</v>
      </c>
      <c r="B22" s="362" t="s">
        <v>1015</v>
      </c>
      <c r="C22" s="362" t="s">
        <v>78</v>
      </c>
      <c r="D22" s="80" t="s">
        <v>1010</v>
      </c>
      <c r="E22" s="81">
        <v>94</v>
      </c>
      <c r="F22" s="82" t="s">
        <v>17</v>
      </c>
      <c r="G22" s="84" t="s">
        <v>17</v>
      </c>
      <c r="H22" s="84">
        <f>27370*117/100</f>
        <v>32022.9</v>
      </c>
      <c r="I22" s="84">
        <f>H22</f>
        <v>32022.9</v>
      </c>
      <c r="J22" s="80"/>
      <c r="K22" s="344" t="s">
        <v>18</v>
      </c>
      <c r="L22" s="344" t="s">
        <v>1033</v>
      </c>
      <c r="M22" s="379">
        <f>I22</f>
        <v>32022.9</v>
      </c>
      <c r="N22" s="348" t="s">
        <v>22</v>
      </c>
      <c r="O22" s="370">
        <v>2130182750</v>
      </c>
    </row>
    <row r="23" spans="1:17" ht="14.25" x14ac:dyDescent="0.2">
      <c r="A23" s="360"/>
      <c r="B23" s="363"/>
      <c r="C23" s="363"/>
      <c r="D23" s="252" t="s">
        <v>1012</v>
      </c>
      <c r="E23" s="7">
        <v>93</v>
      </c>
      <c r="F23" s="8" t="s">
        <v>17</v>
      </c>
      <c r="G23" s="15" t="s">
        <v>17</v>
      </c>
      <c r="H23" s="15">
        <f>28000*117/100</f>
        <v>32760</v>
      </c>
      <c r="I23" s="15">
        <f>H23</f>
        <v>32760</v>
      </c>
      <c r="J23" s="252"/>
      <c r="K23" s="365"/>
      <c r="L23" s="365"/>
      <c r="M23" s="380"/>
      <c r="N23" s="369"/>
      <c r="O23" s="371"/>
    </row>
    <row r="24" spans="1:17" ht="14.25" x14ac:dyDescent="0.2">
      <c r="A24" s="360"/>
      <c r="B24" s="363"/>
      <c r="C24" s="363"/>
      <c r="D24" s="23" t="s">
        <v>1011</v>
      </c>
      <c r="E24" s="32">
        <v>76</v>
      </c>
      <c r="F24" s="171" t="s">
        <v>17</v>
      </c>
      <c r="G24" s="15" t="s">
        <v>17</v>
      </c>
      <c r="H24" s="15">
        <f>25000*117/100</f>
        <v>29250</v>
      </c>
      <c r="I24" s="15">
        <f>H24</f>
        <v>29250</v>
      </c>
      <c r="J24" s="250"/>
      <c r="K24" s="365"/>
      <c r="L24" s="365"/>
      <c r="M24" s="380"/>
      <c r="N24" s="369"/>
      <c r="O24" s="371"/>
    </row>
    <row r="25" spans="1:17" ht="25.5" x14ac:dyDescent="0.2">
      <c r="A25" s="360"/>
      <c r="B25" s="363"/>
      <c r="C25" s="363"/>
      <c r="D25" s="252" t="s">
        <v>1009</v>
      </c>
      <c r="E25" s="7">
        <v>65</v>
      </c>
      <c r="F25" s="8" t="s">
        <v>17</v>
      </c>
      <c r="G25" s="15" t="s">
        <v>17</v>
      </c>
      <c r="H25" s="15">
        <f>70000*117/100</f>
        <v>81900</v>
      </c>
      <c r="I25" s="15">
        <f t="shared" ref="I25" si="1">H25</f>
        <v>81900</v>
      </c>
      <c r="J25" s="252" t="s">
        <v>14</v>
      </c>
      <c r="K25" s="365"/>
      <c r="L25" s="365"/>
      <c r="M25" s="380"/>
      <c r="N25" s="369"/>
      <c r="O25" s="371"/>
    </row>
    <row r="26" spans="1:17" ht="14.25" customHeight="1" x14ac:dyDescent="0.2">
      <c r="A26" s="361"/>
      <c r="B26" s="337"/>
      <c r="C26" s="338"/>
      <c r="D26" s="338"/>
      <c r="E26" s="338"/>
      <c r="F26" s="338"/>
      <c r="G26" s="338"/>
      <c r="H26" s="338"/>
      <c r="I26" s="338"/>
      <c r="J26" s="338"/>
      <c r="K26" s="338"/>
      <c r="L26" s="338"/>
      <c r="M26" s="338"/>
      <c r="N26" s="338"/>
      <c r="O26" s="339"/>
    </row>
    <row r="27" spans="1:17" ht="15.75" x14ac:dyDescent="0.2">
      <c r="A27" s="332" t="s">
        <v>1016</v>
      </c>
      <c r="B27" s="333"/>
      <c r="C27" s="333"/>
      <c r="D27" s="333"/>
      <c r="E27" s="333"/>
      <c r="F27" s="333"/>
      <c r="G27" s="333"/>
      <c r="H27" s="333"/>
      <c r="I27" s="333"/>
      <c r="J27" s="333"/>
      <c r="K27" s="333"/>
      <c r="L27" s="333"/>
      <c r="M27" s="333"/>
      <c r="N27" s="333"/>
      <c r="O27" s="334"/>
    </row>
    <row r="28" spans="1:17" ht="25.5" x14ac:dyDescent="0.2">
      <c r="A28" s="335">
        <v>3</v>
      </c>
      <c r="B28" s="342" t="s">
        <v>819</v>
      </c>
      <c r="C28" s="342" t="s">
        <v>52</v>
      </c>
      <c r="D28" s="16" t="s">
        <v>823</v>
      </c>
      <c r="E28" s="17">
        <v>86</v>
      </c>
      <c r="F28" s="18" t="s">
        <v>13</v>
      </c>
      <c r="G28" s="18"/>
      <c r="H28" s="18">
        <f>500*117/100</f>
        <v>585</v>
      </c>
      <c r="I28" s="18"/>
      <c r="J28" s="16" t="s">
        <v>14</v>
      </c>
      <c r="K28" s="344" t="s">
        <v>18</v>
      </c>
      <c r="L28" s="344" t="s">
        <v>529</v>
      </c>
      <c r="M28" s="376"/>
      <c r="N28" s="348" t="s">
        <v>22</v>
      </c>
      <c r="O28" s="350"/>
      <c r="P28" s="13"/>
      <c r="Q28" s="14"/>
    </row>
    <row r="29" spans="1:17" ht="38.25" x14ac:dyDescent="0.2">
      <c r="A29" s="340"/>
      <c r="B29" s="373"/>
      <c r="C29" s="373"/>
      <c r="D29" s="23" t="s">
        <v>820</v>
      </c>
      <c r="E29" s="32">
        <v>82</v>
      </c>
      <c r="F29" s="15" t="s">
        <v>13</v>
      </c>
      <c r="G29" s="15"/>
      <c r="H29" s="153">
        <f>400*117/100</f>
        <v>468</v>
      </c>
      <c r="I29" s="15"/>
      <c r="J29" s="23" t="s">
        <v>14</v>
      </c>
      <c r="K29" s="365"/>
      <c r="L29" s="365"/>
      <c r="M29" s="377"/>
      <c r="N29" s="369"/>
      <c r="O29" s="378"/>
      <c r="P29" s="13"/>
      <c r="Q29" s="14"/>
    </row>
    <row r="30" spans="1:17" ht="38.25" x14ac:dyDescent="0.2">
      <c r="A30" s="340"/>
      <c r="B30" s="373"/>
      <c r="C30" s="373"/>
      <c r="D30" s="252" t="s">
        <v>821</v>
      </c>
      <c r="E30" s="7">
        <v>80</v>
      </c>
      <c r="F30" s="8" t="s">
        <v>13</v>
      </c>
      <c r="G30" s="8" t="s">
        <v>822</v>
      </c>
      <c r="H30" s="8">
        <f>450*117/100</f>
        <v>526.5</v>
      </c>
      <c r="I30" s="8"/>
      <c r="J30" s="252" t="s">
        <v>14</v>
      </c>
      <c r="K30" s="365"/>
      <c r="L30" s="365"/>
      <c r="M30" s="377"/>
      <c r="N30" s="369"/>
      <c r="O30" s="378"/>
      <c r="P30" s="13"/>
      <c r="Q30" s="14"/>
    </row>
    <row r="31" spans="1:17" ht="25.5" x14ac:dyDescent="0.2">
      <c r="A31" s="340"/>
      <c r="B31" s="373"/>
      <c r="C31" s="373"/>
      <c r="D31" s="252" t="s">
        <v>825</v>
      </c>
      <c r="E31" s="7">
        <v>80</v>
      </c>
      <c r="F31" s="8" t="s">
        <v>13</v>
      </c>
      <c r="G31" s="8" t="s">
        <v>822</v>
      </c>
      <c r="H31" s="8">
        <f>450*117/100</f>
        <v>526.5</v>
      </c>
      <c r="I31" s="8"/>
      <c r="J31" s="252" t="s">
        <v>14</v>
      </c>
      <c r="K31" s="365"/>
      <c r="L31" s="365"/>
      <c r="M31" s="377"/>
      <c r="N31" s="369"/>
      <c r="O31" s="378"/>
      <c r="P31" s="13"/>
      <c r="Q31" s="14"/>
    </row>
    <row r="32" spans="1:17" ht="15" customHeight="1" x14ac:dyDescent="0.2">
      <c r="A32" s="336"/>
      <c r="B32" s="341" t="s">
        <v>1017</v>
      </c>
      <c r="C32" s="341"/>
      <c r="D32" s="341"/>
      <c r="E32" s="341"/>
      <c r="F32" s="341"/>
      <c r="G32" s="341"/>
      <c r="H32" s="341"/>
      <c r="I32" s="341"/>
      <c r="J32" s="341"/>
      <c r="K32" s="341"/>
      <c r="L32" s="341"/>
      <c r="M32" s="341"/>
      <c r="N32" s="341"/>
      <c r="O32" s="341"/>
    </row>
    <row r="33" spans="1:17" ht="15.75" x14ac:dyDescent="0.2">
      <c r="A33" s="332" t="s">
        <v>1018</v>
      </c>
      <c r="B33" s="333"/>
      <c r="C33" s="333"/>
      <c r="D33" s="333"/>
      <c r="E33" s="333"/>
      <c r="F33" s="333"/>
      <c r="G33" s="333"/>
      <c r="H33" s="333"/>
      <c r="I33" s="333"/>
      <c r="J33" s="333"/>
      <c r="K33" s="333"/>
      <c r="L33" s="333"/>
      <c r="M33" s="333"/>
      <c r="N33" s="333"/>
      <c r="O33" s="334"/>
    </row>
    <row r="34" spans="1:17" ht="25.5" x14ac:dyDescent="0.2">
      <c r="A34" s="335">
        <v>4</v>
      </c>
      <c r="B34" s="342" t="s">
        <v>1019</v>
      </c>
      <c r="C34" s="342" t="s">
        <v>52</v>
      </c>
      <c r="D34" s="16" t="s">
        <v>823</v>
      </c>
      <c r="E34" s="17">
        <v>100</v>
      </c>
      <c r="F34" s="18" t="s">
        <v>996</v>
      </c>
      <c r="G34" s="18"/>
      <c r="H34" s="18">
        <f>10000*117/100</f>
        <v>11700</v>
      </c>
      <c r="I34" s="18"/>
      <c r="J34" s="16" t="s">
        <v>14</v>
      </c>
      <c r="K34" s="344" t="s">
        <v>18</v>
      </c>
      <c r="L34" s="344" t="s">
        <v>529</v>
      </c>
      <c r="M34" s="376"/>
      <c r="N34" s="348" t="s">
        <v>22</v>
      </c>
      <c r="O34" s="350"/>
      <c r="P34" s="13"/>
      <c r="Q34" s="14"/>
    </row>
    <row r="35" spans="1:17" ht="25.5" x14ac:dyDescent="0.2">
      <c r="A35" s="340"/>
      <c r="B35" s="373"/>
      <c r="C35" s="373"/>
      <c r="D35" s="23" t="s">
        <v>1020</v>
      </c>
      <c r="E35" s="32">
        <v>56</v>
      </c>
      <c r="F35" s="15" t="s">
        <v>996</v>
      </c>
      <c r="G35" s="15"/>
      <c r="H35" s="153">
        <f>25440*117/100</f>
        <v>29764.799999999999</v>
      </c>
      <c r="I35" s="15"/>
      <c r="J35" s="23" t="s">
        <v>14</v>
      </c>
      <c r="K35" s="365"/>
      <c r="L35" s="365"/>
      <c r="M35" s="377"/>
      <c r="N35" s="369"/>
      <c r="O35" s="378"/>
      <c r="P35" s="13"/>
      <c r="Q35" s="14"/>
    </row>
    <row r="36" spans="1:17" ht="38.25" x14ac:dyDescent="0.2">
      <c r="A36" s="340"/>
      <c r="B36" s="373"/>
      <c r="C36" s="373"/>
      <c r="D36" s="253" t="s">
        <v>1021</v>
      </c>
      <c r="E36" s="7">
        <v>80</v>
      </c>
      <c r="F36" s="8" t="s">
        <v>996</v>
      </c>
      <c r="G36" s="8" t="s">
        <v>822</v>
      </c>
      <c r="H36" s="8">
        <f>45000*117/100</f>
        <v>52650</v>
      </c>
      <c r="I36" s="8"/>
      <c r="J36" s="253" t="s">
        <v>14</v>
      </c>
      <c r="K36" s="365"/>
      <c r="L36" s="365"/>
      <c r="M36" s="377"/>
      <c r="N36" s="369"/>
      <c r="O36" s="378"/>
      <c r="P36" s="13"/>
      <c r="Q36" s="14"/>
    </row>
    <row r="37" spans="1:17" ht="15" customHeight="1" x14ac:dyDescent="0.2">
      <c r="A37" s="336"/>
      <c r="B37" s="341" t="s">
        <v>1017</v>
      </c>
      <c r="C37" s="341"/>
      <c r="D37" s="341"/>
      <c r="E37" s="341"/>
      <c r="F37" s="341"/>
      <c r="G37" s="341"/>
      <c r="H37" s="341"/>
      <c r="I37" s="341"/>
      <c r="J37" s="341"/>
      <c r="K37" s="341"/>
      <c r="L37" s="341"/>
      <c r="M37" s="341"/>
      <c r="N37" s="341"/>
      <c r="O37" s="341"/>
    </row>
    <row r="38" spans="1:17" ht="15.75" x14ac:dyDescent="0.2">
      <c r="A38" s="332" t="s">
        <v>1022</v>
      </c>
      <c r="B38" s="333"/>
      <c r="C38" s="333"/>
      <c r="D38" s="333"/>
      <c r="E38" s="333"/>
      <c r="F38" s="333"/>
      <c r="G38" s="333"/>
      <c r="H38" s="333"/>
      <c r="I38" s="333"/>
      <c r="J38" s="333"/>
      <c r="K38" s="333"/>
      <c r="L38" s="333"/>
      <c r="M38" s="333"/>
      <c r="N38" s="333"/>
      <c r="O38" s="334"/>
    </row>
    <row r="39" spans="1:17" ht="51" x14ac:dyDescent="0.2">
      <c r="A39" s="335">
        <v>5</v>
      </c>
      <c r="B39" s="254" t="s">
        <v>1025</v>
      </c>
      <c r="C39" s="254" t="s">
        <v>52</v>
      </c>
      <c r="D39" s="16" t="s">
        <v>1027</v>
      </c>
      <c r="E39" s="17">
        <v>100</v>
      </c>
      <c r="F39" s="18" t="s">
        <v>17</v>
      </c>
      <c r="G39" s="18" t="s">
        <v>17</v>
      </c>
      <c r="H39" s="18">
        <f>10000*117/100</f>
        <v>11700</v>
      </c>
      <c r="I39" s="18">
        <f>H39</f>
        <v>11700</v>
      </c>
      <c r="J39" s="16" t="s">
        <v>14</v>
      </c>
      <c r="K39" s="259" t="s">
        <v>802</v>
      </c>
      <c r="L39" s="259" t="s">
        <v>529</v>
      </c>
      <c r="M39" s="255">
        <f>I39</f>
        <v>11700</v>
      </c>
      <c r="N39" s="257" t="s">
        <v>22</v>
      </c>
      <c r="O39" s="256"/>
    </row>
    <row r="40" spans="1:17" ht="14.25" x14ac:dyDescent="0.2">
      <c r="A40" s="336"/>
      <c r="B40" s="337" t="s">
        <v>1026</v>
      </c>
      <c r="C40" s="338"/>
      <c r="D40" s="338"/>
      <c r="E40" s="338"/>
      <c r="F40" s="338"/>
      <c r="G40" s="338"/>
      <c r="H40" s="338"/>
      <c r="I40" s="338"/>
      <c r="J40" s="338"/>
      <c r="K40" s="338"/>
      <c r="L40" s="338"/>
      <c r="M40" s="338"/>
      <c r="N40" s="338"/>
      <c r="O40" s="339"/>
    </row>
    <row r="41" spans="1:17" ht="15.75" x14ac:dyDescent="0.2">
      <c r="A41" s="332" t="s">
        <v>1023</v>
      </c>
      <c r="B41" s="333"/>
      <c r="C41" s="333"/>
      <c r="D41" s="333"/>
      <c r="E41" s="333"/>
      <c r="F41" s="333"/>
      <c r="G41" s="333"/>
      <c r="H41" s="333"/>
      <c r="I41" s="333"/>
      <c r="J41" s="333"/>
      <c r="K41" s="333"/>
      <c r="L41" s="333"/>
      <c r="M41" s="333"/>
      <c r="N41" s="333"/>
      <c r="O41" s="334"/>
    </row>
    <row r="42" spans="1:17" ht="26.45" customHeight="1" x14ac:dyDescent="0.2">
      <c r="A42" s="335">
        <v>6</v>
      </c>
      <c r="B42" s="342" t="s">
        <v>810</v>
      </c>
      <c r="C42" s="342" t="s">
        <v>954</v>
      </c>
      <c r="D42" s="86" t="s">
        <v>43</v>
      </c>
      <c r="E42" s="83">
        <v>100</v>
      </c>
      <c r="F42" s="84" t="s">
        <v>17</v>
      </c>
      <c r="G42" s="84" t="s">
        <v>17</v>
      </c>
      <c r="H42" s="84">
        <f>94605*117/100</f>
        <v>110687.85</v>
      </c>
      <c r="I42" s="84">
        <f>H42</f>
        <v>110687.85</v>
      </c>
      <c r="J42" s="86" t="s">
        <v>14</v>
      </c>
      <c r="K42" s="344" t="s">
        <v>18</v>
      </c>
      <c r="L42" s="344" t="s">
        <v>1034</v>
      </c>
      <c r="M42" s="376">
        <v>100000</v>
      </c>
      <c r="N42" s="348" t="s">
        <v>22</v>
      </c>
      <c r="O42" s="350">
        <v>2230022953</v>
      </c>
      <c r="P42" s="13"/>
      <c r="Q42" s="14"/>
    </row>
    <row r="43" spans="1:17" ht="25.5" x14ac:dyDescent="0.2">
      <c r="A43" s="340"/>
      <c r="B43" s="373"/>
      <c r="C43" s="373"/>
      <c r="D43" s="258" t="s">
        <v>811</v>
      </c>
      <c r="E43" s="7">
        <v>86</v>
      </c>
      <c r="F43" s="8" t="s">
        <v>17</v>
      </c>
      <c r="G43" s="8" t="s">
        <v>17</v>
      </c>
      <c r="H43" s="8">
        <f>120000*117/100</f>
        <v>140400</v>
      </c>
      <c r="I43" s="8">
        <f t="shared" ref="I43" si="2">H43</f>
        <v>140400</v>
      </c>
      <c r="J43" s="258" t="s">
        <v>14</v>
      </c>
      <c r="K43" s="365"/>
      <c r="L43" s="365"/>
      <c r="M43" s="377"/>
      <c r="N43" s="369"/>
      <c r="O43" s="378"/>
      <c r="P43" s="13"/>
      <c r="Q43" s="14"/>
    </row>
    <row r="44" spans="1:17" ht="25.5" x14ac:dyDescent="0.2">
      <c r="A44" s="340"/>
      <c r="B44" s="373"/>
      <c r="C44" s="373"/>
      <c r="D44" s="258" t="s">
        <v>812</v>
      </c>
      <c r="E44" s="7">
        <v>81</v>
      </c>
      <c r="F44" s="8" t="s">
        <v>17</v>
      </c>
      <c r="G44" s="8" t="s">
        <v>17</v>
      </c>
      <c r="H44" s="8">
        <f>129000*117/100</f>
        <v>150930</v>
      </c>
      <c r="I44" s="8">
        <f>H44</f>
        <v>150930</v>
      </c>
      <c r="J44" s="258" t="s">
        <v>14</v>
      </c>
      <c r="K44" s="365"/>
      <c r="L44" s="365"/>
      <c r="M44" s="377"/>
      <c r="N44" s="369"/>
      <c r="O44" s="378"/>
      <c r="P44" s="13"/>
      <c r="Q44" s="14"/>
    </row>
    <row r="45" spans="1:17" ht="15" customHeight="1" x14ac:dyDescent="0.2">
      <c r="A45" s="336"/>
      <c r="B45" s="341" t="s">
        <v>1028</v>
      </c>
      <c r="C45" s="341"/>
      <c r="D45" s="341"/>
      <c r="E45" s="341"/>
      <c r="F45" s="341"/>
      <c r="G45" s="341"/>
      <c r="H45" s="341"/>
      <c r="I45" s="341"/>
      <c r="J45" s="341"/>
      <c r="K45" s="341"/>
      <c r="L45" s="341"/>
      <c r="M45" s="341"/>
      <c r="N45" s="341"/>
      <c r="O45" s="341"/>
    </row>
    <row r="46" spans="1:17" ht="15.75" x14ac:dyDescent="0.2">
      <c r="A46" s="332" t="s">
        <v>1024</v>
      </c>
      <c r="B46" s="333"/>
      <c r="C46" s="333"/>
      <c r="D46" s="333"/>
      <c r="E46" s="333"/>
      <c r="F46" s="333"/>
      <c r="G46" s="333"/>
      <c r="H46" s="333"/>
      <c r="I46" s="333"/>
      <c r="J46" s="333"/>
      <c r="K46" s="333"/>
      <c r="L46" s="333"/>
      <c r="M46" s="333"/>
      <c r="N46" s="333"/>
      <c r="O46" s="334"/>
    </row>
    <row r="47" spans="1:17" ht="63.75" x14ac:dyDescent="0.2">
      <c r="A47" s="335">
        <v>7</v>
      </c>
      <c r="B47" s="254" t="s">
        <v>1031</v>
      </c>
      <c r="C47" s="254" t="s">
        <v>954</v>
      </c>
      <c r="D47" s="16" t="s">
        <v>1029</v>
      </c>
      <c r="E47" s="17">
        <v>100</v>
      </c>
      <c r="F47" s="18" t="s">
        <v>17</v>
      </c>
      <c r="G47" s="18" t="s">
        <v>17</v>
      </c>
      <c r="H47" s="18">
        <f>15500*117/100</f>
        <v>18135</v>
      </c>
      <c r="I47" s="18">
        <f>H47</f>
        <v>18135</v>
      </c>
      <c r="J47" s="16" t="s">
        <v>14</v>
      </c>
      <c r="K47" s="259" t="s">
        <v>802</v>
      </c>
      <c r="L47" s="259" t="s">
        <v>529</v>
      </c>
      <c r="M47" s="255">
        <f>I47</f>
        <v>18135</v>
      </c>
      <c r="N47" s="257" t="s">
        <v>22</v>
      </c>
      <c r="O47" s="256"/>
    </row>
    <row r="48" spans="1:17" ht="13.9" customHeight="1" x14ac:dyDescent="0.2">
      <c r="A48" s="336"/>
      <c r="B48" s="341" t="s">
        <v>1030</v>
      </c>
      <c r="C48" s="341"/>
      <c r="D48" s="341"/>
      <c r="E48" s="341"/>
      <c r="F48" s="341"/>
      <c r="G48" s="341"/>
      <c r="H48" s="341"/>
      <c r="I48" s="341"/>
      <c r="J48" s="341"/>
      <c r="K48" s="341"/>
      <c r="L48" s="341"/>
      <c r="M48" s="341"/>
      <c r="N48" s="341"/>
      <c r="O48" s="341"/>
    </row>
    <row r="49" spans="1:15" ht="15.75" x14ac:dyDescent="0.2">
      <c r="A49" s="25"/>
      <c r="B49" s="237"/>
      <c r="C49" s="237"/>
      <c r="D49" s="237"/>
      <c r="E49" s="237"/>
      <c r="F49" s="237"/>
      <c r="G49" s="237"/>
      <c r="H49" s="237"/>
      <c r="I49" s="237"/>
      <c r="J49" s="237"/>
      <c r="K49" s="237"/>
      <c r="L49" s="237"/>
      <c r="M49" s="237"/>
      <c r="N49" s="237"/>
      <c r="O49" s="237"/>
    </row>
    <row r="50" spans="1:15" x14ac:dyDescent="0.2">
      <c r="B50" s="28"/>
    </row>
  </sheetData>
  <mergeCells count="75">
    <mergeCell ref="A33:O33"/>
    <mergeCell ref="A34:A37"/>
    <mergeCell ref="B34:B36"/>
    <mergeCell ref="C34:C36"/>
    <mergeCell ref="K34:K36"/>
    <mergeCell ref="L34:L36"/>
    <mergeCell ref="M34:M36"/>
    <mergeCell ref="N34:N36"/>
    <mergeCell ref="O34:O36"/>
    <mergeCell ref="B37:O37"/>
    <mergeCell ref="A1:A6"/>
    <mergeCell ref="B1:O1"/>
    <mergeCell ref="B2:O2"/>
    <mergeCell ref="B3:O3"/>
    <mergeCell ref="B4:O4"/>
    <mergeCell ref="B5:O5"/>
    <mergeCell ref="A7:O7"/>
    <mergeCell ref="A8:A9"/>
    <mergeCell ref="B9:O9"/>
    <mergeCell ref="L22:L25"/>
    <mergeCell ref="M22:M25"/>
    <mergeCell ref="N22:N25"/>
    <mergeCell ref="O22:O25"/>
    <mergeCell ref="A15:O15"/>
    <mergeCell ref="A16:A20"/>
    <mergeCell ref="B16:B19"/>
    <mergeCell ref="C16:C19"/>
    <mergeCell ref="K16:K19"/>
    <mergeCell ref="L16:L19"/>
    <mergeCell ref="M16:M19"/>
    <mergeCell ref="N16:N19"/>
    <mergeCell ref="O16:O19"/>
    <mergeCell ref="B20:O20"/>
    <mergeCell ref="A10:O10"/>
    <mergeCell ref="A11:A13"/>
    <mergeCell ref="B11:B12"/>
    <mergeCell ref="C11:C12"/>
    <mergeCell ref="K11:K12"/>
    <mergeCell ref="L11:L12"/>
    <mergeCell ref="M11:M12"/>
    <mergeCell ref="N11:N12"/>
    <mergeCell ref="O11:O12"/>
    <mergeCell ref="B13:O13"/>
    <mergeCell ref="A21:O21"/>
    <mergeCell ref="B26:O26"/>
    <mergeCell ref="A22:A26"/>
    <mergeCell ref="B22:B25"/>
    <mergeCell ref="C22:C25"/>
    <mergeCell ref="K22:K25"/>
    <mergeCell ref="A27:O27"/>
    <mergeCell ref="A28:A32"/>
    <mergeCell ref="B28:B31"/>
    <mergeCell ref="C28:C31"/>
    <mergeCell ref="K28:K31"/>
    <mergeCell ref="L28:L31"/>
    <mergeCell ref="M28:M31"/>
    <mergeCell ref="N28:N31"/>
    <mergeCell ref="O28:O31"/>
    <mergeCell ref="B32:O32"/>
    <mergeCell ref="A46:O46"/>
    <mergeCell ref="A47:A48"/>
    <mergeCell ref="B48:O48"/>
    <mergeCell ref="A38:O38"/>
    <mergeCell ref="A39:A40"/>
    <mergeCell ref="B40:O40"/>
    <mergeCell ref="A41:O41"/>
    <mergeCell ref="A42:A45"/>
    <mergeCell ref="B42:B44"/>
    <mergeCell ref="C42:C44"/>
    <mergeCell ref="K42:K44"/>
    <mergeCell ref="L42:L44"/>
    <mergeCell ref="M42:M44"/>
    <mergeCell ref="N42:N44"/>
    <mergeCell ref="O42:O44"/>
    <mergeCell ref="B45:O45"/>
  </mergeCells>
  <pageMargins left="0.25" right="0.25" top="0.75" bottom="0.75" header="0.3" footer="0.3"/>
  <pageSetup paperSize="9" scale="72" fitToHeight="0" orientation="landscape" r:id="rId1"/>
  <rowBreaks count="1" manualBreakCount="1">
    <brk id="26"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F3ADE9-E7FA-4622-82D9-730BBCB43EA9}">
  <sheetPr>
    <pageSetUpPr fitToPage="1"/>
  </sheetPr>
  <dimension ref="A1:Q63"/>
  <sheetViews>
    <sheetView rightToLeft="1" zoomScaleNormal="100" workbookViewId="0">
      <selection activeCell="A63" sqref="A63:XFD63"/>
    </sheetView>
  </sheetViews>
  <sheetFormatPr defaultColWidth="8.75" defaultRowHeight="15" x14ac:dyDescent="0.2"/>
  <cols>
    <col min="1" max="1" width="4.25" customWidth="1"/>
    <col min="2" max="2" width="21.125" style="9" bestFit="1" customWidth="1"/>
    <col min="4" max="4" width="7.25" customWidth="1"/>
    <col min="5" max="5" width="7.75" customWidth="1"/>
    <col min="6" max="6" width="10.25" bestFit="1" customWidth="1"/>
    <col min="7" max="7" width="12.125" style="10" bestFit="1" customWidth="1"/>
    <col min="8" max="8" width="13.625" style="11" bestFit="1" customWidth="1"/>
    <col min="9" max="9" width="16" style="11" bestFit="1" customWidth="1"/>
    <col min="10" max="10" width="9" customWidth="1"/>
    <col min="11" max="11" width="12.875" style="12" customWidth="1"/>
    <col min="12" max="12" width="19.375" style="12" customWidth="1"/>
    <col min="13" max="13" width="15" style="12" customWidth="1"/>
    <col min="14" max="14" width="10.875" style="13" customWidth="1"/>
    <col min="15" max="15" width="13" style="14" customWidth="1"/>
  </cols>
  <sheetData>
    <row r="1" spans="1:15" ht="20.25" x14ac:dyDescent="0.2">
      <c r="A1" s="354"/>
      <c r="B1" s="355" t="s">
        <v>1004</v>
      </c>
      <c r="C1" s="355"/>
      <c r="D1" s="355"/>
      <c r="E1" s="355"/>
      <c r="F1" s="355"/>
      <c r="G1" s="355"/>
      <c r="H1" s="355"/>
      <c r="I1" s="355"/>
      <c r="J1" s="355"/>
      <c r="K1" s="355"/>
      <c r="L1" s="355"/>
      <c r="M1" s="355"/>
      <c r="N1" s="355"/>
      <c r="O1" s="355"/>
    </row>
    <row r="2" spans="1:15" ht="14.25" x14ac:dyDescent="0.2">
      <c r="A2" s="354"/>
      <c r="B2" s="356" t="s">
        <v>1005</v>
      </c>
      <c r="C2" s="356"/>
      <c r="D2" s="356"/>
      <c r="E2" s="356"/>
      <c r="F2" s="356"/>
      <c r="G2" s="356"/>
      <c r="H2" s="356"/>
      <c r="I2" s="356"/>
      <c r="J2" s="356"/>
      <c r="K2" s="356"/>
      <c r="L2" s="356"/>
      <c r="M2" s="356"/>
      <c r="N2" s="356"/>
      <c r="O2" s="356"/>
    </row>
    <row r="3" spans="1:15" ht="15.75" x14ac:dyDescent="0.2">
      <c r="A3" s="354"/>
      <c r="B3" s="357" t="s">
        <v>663</v>
      </c>
      <c r="C3" s="357"/>
      <c r="D3" s="357"/>
      <c r="E3" s="357"/>
      <c r="F3" s="357"/>
      <c r="G3" s="357"/>
      <c r="H3" s="357"/>
      <c r="I3" s="357"/>
      <c r="J3" s="357"/>
      <c r="K3" s="357"/>
      <c r="L3" s="357"/>
      <c r="M3" s="357"/>
      <c r="N3" s="357"/>
      <c r="O3" s="357"/>
    </row>
    <row r="4" spans="1:15" ht="14.25" x14ac:dyDescent="0.2">
      <c r="A4" s="354"/>
      <c r="B4" s="358" t="s">
        <v>71</v>
      </c>
      <c r="C4" s="358"/>
      <c r="D4" s="358"/>
      <c r="E4" s="358"/>
      <c r="F4" s="358"/>
      <c r="G4" s="358"/>
      <c r="H4" s="358"/>
      <c r="I4" s="358"/>
      <c r="J4" s="358"/>
      <c r="K4" s="358"/>
      <c r="L4" s="358"/>
      <c r="M4" s="358"/>
      <c r="N4" s="358"/>
      <c r="O4" s="358"/>
    </row>
    <row r="5" spans="1:15" ht="14.25" x14ac:dyDescent="0.2">
      <c r="A5" s="354"/>
      <c r="B5" s="358" t="s">
        <v>70</v>
      </c>
      <c r="C5" s="358"/>
      <c r="D5" s="358"/>
      <c r="E5" s="358"/>
      <c r="F5" s="358"/>
      <c r="G5" s="358"/>
      <c r="H5" s="358"/>
      <c r="I5" s="358"/>
      <c r="J5" s="358"/>
      <c r="K5" s="358"/>
      <c r="L5" s="358"/>
      <c r="M5" s="358"/>
      <c r="N5" s="358"/>
      <c r="O5" s="358"/>
    </row>
    <row r="6" spans="1:15" ht="46.5" customHeight="1" x14ac:dyDescent="0.2">
      <c r="A6" s="354"/>
      <c r="B6" s="217" t="s">
        <v>1</v>
      </c>
      <c r="C6" s="214" t="s">
        <v>2</v>
      </c>
      <c r="D6" s="3" t="s">
        <v>3</v>
      </c>
      <c r="E6" s="3" t="s">
        <v>4</v>
      </c>
      <c r="F6" s="3" t="s">
        <v>5</v>
      </c>
      <c r="G6" s="3" t="s">
        <v>6</v>
      </c>
      <c r="H6" s="4" t="s">
        <v>7</v>
      </c>
      <c r="I6" s="5" t="s">
        <v>8</v>
      </c>
      <c r="J6" s="3" t="s">
        <v>9</v>
      </c>
      <c r="K6" s="3" t="s">
        <v>10</v>
      </c>
      <c r="L6" s="3" t="s">
        <v>525</v>
      </c>
      <c r="M6" s="216" t="s">
        <v>526</v>
      </c>
      <c r="N6" s="175" t="s">
        <v>11</v>
      </c>
      <c r="O6" s="3" t="s">
        <v>12</v>
      </c>
    </row>
    <row r="7" spans="1:15" ht="15.75" x14ac:dyDescent="0.2">
      <c r="A7" s="332" t="s">
        <v>950</v>
      </c>
      <c r="B7" s="333"/>
      <c r="C7" s="333"/>
      <c r="D7" s="333"/>
      <c r="E7" s="333"/>
      <c r="F7" s="333"/>
      <c r="G7" s="333"/>
      <c r="H7" s="333"/>
      <c r="I7" s="333"/>
      <c r="J7" s="333"/>
      <c r="K7" s="333"/>
      <c r="L7" s="333"/>
      <c r="M7" s="333"/>
      <c r="N7" s="333"/>
      <c r="O7" s="334"/>
    </row>
    <row r="8" spans="1:15" ht="51" x14ac:dyDescent="0.2">
      <c r="A8" s="359">
        <v>1</v>
      </c>
      <c r="B8" s="362" t="s">
        <v>963</v>
      </c>
      <c r="C8" s="362" t="s">
        <v>964</v>
      </c>
      <c r="D8" s="16" t="s">
        <v>965</v>
      </c>
      <c r="E8" s="17">
        <v>87</v>
      </c>
      <c r="F8" s="18" t="s">
        <v>97</v>
      </c>
      <c r="G8" s="188" t="s">
        <v>966</v>
      </c>
      <c r="H8" s="21">
        <f>260*117/100</f>
        <v>304.2</v>
      </c>
      <c r="I8" s="21">
        <f>H8*30*4</f>
        <v>36504</v>
      </c>
      <c r="J8" s="16" t="s">
        <v>14</v>
      </c>
      <c r="K8" s="344" t="s">
        <v>18</v>
      </c>
      <c r="L8" s="374" t="s">
        <v>998</v>
      </c>
      <c r="M8" s="379">
        <f>250*30*4*117/100</f>
        <v>35100</v>
      </c>
      <c r="N8" s="348" t="s">
        <v>22</v>
      </c>
      <c r="O8" s="386">
        <v>1731000750</v>
      </c>
    </row>
    <row r="9" spans="1:15" ht="36" x14ac:dyDescent="0.2">
      <c r="A9" s="360"/>
      <c r="B9" s="363"/>
      <c r="C9" s="363"/>
      <c r="D9" s="23" t="s">
        <v>460</v>
      </c>
      <c r="E9" s="32">
        <v>85</v>
      </c>
      <c r="F9" s="220" t="s">
        <v>97</v>
      </c>
      <c r="G9" s="229" t="s">
        <v>966</v>
      </c>
      <c r="H9" s="222">
        <f>230*117/100</f>
        <v>269.10000000000002</v>
      </c>
      <c r="I9" s="222">
        <f t="shared" ref="I9:I10" si="0">H9*30*4</f>
        <v>32292.000000000004</v>
      </c>
      <c r="J9" s="23" t="s">
        <v>14</v>
      </c>
      <c r="K9" s="365"/>
      <c r="L9" s="375"/>
      <c r="M9" s="380"/>
      <c r="N9" s="369"/>
      <c r="O9" s="387"/>
    </row>
    <row r="10" spans="1:15" ht="36" x14ac:dyDescent="0.2">
      <c r="A10" s="360"/>
      <c r="B10" s="364"/>
      <c r="C10" s="364"/>
      <c r="D10" s="35" t="s">
        <v>967</v>
      </c>
      <c r="E10" s="36">
        <v>69</v>
      </c>
      <c r="F10" s="220" t="s">
        <v>97</v>
      </c>
      <c r="G10" s="229" t="s">
        <v>966</v>
      </c>
      <c r="H10" s="222">
        <f>300*117/100</f>
        <v>351</v>
      </c>
      <c r="I10" s="222">
        <f t="shared" si="0"/>
        <v>42120</v>
      </c>
      <c r="J10" s="215" t="s">
        <v>14</v>
      </c>
      <c r="K10" s="345"/>
      <c r="L10" s="393"/>
      <c r="M10" s="382"/>
      <c r="N10" s="349"/>
      <c r="O10" s="388"/>
    </row>
    <row r="11" spans="1:15" ht="14.25" customHeight="1" x14ac:dyDescent="0.2">
      <c r="A11" s="361"/>
      <c r="B11" s="337" t="s">
        <v>803</v>
      </c>
      <c r="C11" s="338"/>
      <c r="D11" s="338"/>
      <c r="E11" s="338"/>
      <c r="F11" s="338"/>
      <c r="G11" s="338"/>
      <c r="H11" s="338"/>
      <c r="I11" s="338"/>
      <c r="J11" s="338"/>
      <c r="K11" s="338"/>
      <c r="L11" s="338"/>
      <c r="M11" s="338"/>
      <c r="N11" s="338"/>
      <c r="O11" s="339"/>
    </row>
    <row r="12" spans="1:15" ht="15.75" x14ac:dyDescent="0.2">
      <c r="A12" s="332" t="s">
        <v>953</v>
      </c>
      <c r="B12" s="333"/>
      <c r="C12" s="333"/>
      <c r="D12" s="333"/>
      <c r="E12" s="333"/>
      <c r="F12" s="333"/>
      <c r="G12" s="333"/>
      <c r="H12" s="333"/>
      <c r="I12" s="333"/>
      <c r="J12" s="333"/>
      <c r="K12" s="333"/>
      <c r="L12" s="333"/>
      <c r="M12" s="333"/>
      <c r="N12" s="333"/>
      <c r="O12" s="334"/>
    </row>
    <row r="13" spans="1:15" ht="44.25" customHeight="1" x14ac:dyDescent="0.2">
      <c r="A13" s="335">
        <v>2</v>
      </c>
      <c r="B13" s="342" t="s">
        <v>969</v>
      </c>
      <c r="C13" s="394" t="s">
        <v>971</v>
      </c>
      <c r="D13" s="16" t="s">
        <v>972</v>
      </c>
      <c r="E13" s="17">
        <v>86</v>
      </c>
      <c r="F13" s="18" t="s">
        <v>97</v>
      </c>
      <c r="G13" s="18" t="s">
        <v>916</v>
      </c>
      <c r="H13" s="18">
        <f>290*117/100</f>
        <v>339.3</v>
      </c>
      <c r="I13" s="21">
        <f>H13*300</f>
        <v>101790</v>
      </c>
      <c r="J13" s="16" t="s">
        <v>14</v>
      </c>
      <c r="K13" s="344" t="s">
        <v>18</v>
      </c>
      <c r="L13" s="374" t="s">
        <v>999</v>
      </c>
      <c r="M13" s="397">
        <f>270*300*117/100</f>
        <v>94770</v>
      </c>
      <c r="N13" s="400" t="s">
        <v>22</v>
      </c>
      <c r="O13" s="350">
        <v>1731000750</v>
      </c>
    </row>
    <row r="14" spans="1:15" ht="38.25" customHeight="1" x14ac:dyDescent="0.2">
      <c r="A14" s="340"/>
      <c r="B14" s="373"/>
      <c r="C14" s="395"/>
      <c r="D14" s="218" t="s">
        <v>464</v>
      </c>
      <c r="E14" s="7">
        <v>82</v>
      </c>
      <c r="F14" s="220" t="s">
        <v>97</v>
      </c>
      <c r="G14" s="220" t="s">
        <v>916</v>
      </c>
      <c r="H14" s="220">
        <f>230*117/100</f>
        <v>269.10000000000002</v>
      </c>
      <c r="I14" s="222">
        <f t="shared" ref="I14:I15" si="1">H14*300</f>
        <v>80730</v>
      </c>
      <c r="J14" s="218" t="s">
        <v>14</v>
      </c>
      <c r="K14" s="365"/>
      <c r="L14" s="375"/>
      <c r="M14" s="398"/>
      <c r="N14" s="401"/>
      <c r="O14" s="378"/>
    </row>
    <row r="15" spans="1:15" ht="42" customHeight="1" x14ac:dyDescent="0.2">
      <c r="A15" s="340"/>
      <c r="B15" s="343"/>
      <c r="C15" s="396"/>
      <c r="D15" s="218" t="s">
        <v>973</v>
      </c>
      <c r="E15" s="7">
        <v>81</v>
      </c>
      <c r="F15" s="220" t="s">
        <v>97</v>
      </c>
      <c r="G15" s="220" t="s">
        <v>916</v>
      </c>
      <c r="H15" s="220">
        <f>284*117/100</f>
        <v>332.28</v>
      </c>
      <c r="I15" s="222">
        <f t="shared" si="1"/>
        <v>99683.999999999985</v>
      </c>
      <c r="J15" s="218" t="s">
        <v>14</v>
      </c>
      <c r="K15" s="345"/>
      <c r="L15" s="393"/>
      <c r="M15" s="399"/>
      <c r="N15" s="402"/>
      <c r="O15" s="351"/>
    </row>
    <row r="16" spans="1:15" ht="13.9" customHeight="1" x14ac:dyDescent="0.2">
      <c r="A16" s="336"/>
      <c r="B16" s="337" t="s">
        <v>803</v>
      </c>
      <c r="C16" s="338"/>
      <c r="D16" s="338"/>
      <c r="E16" s="338"/>
      <c r="F16" s="338"/>
      <c r="G16" s="338"/>
      <c r="H16" s="338"/>
      <c r="I16" s="338"/>
      <c r="J16" s="338"/>
      <c r="K16" s="338"/>
      <c r="L16" s="338"/>
      <c r="M16" s="338"/>
      <c r="N16" s="338"/>
      <c r="O16" s="339"/>
    </row>
    <row r="17" spans="1:17" ht="15.75" x14ac:dyDescent="0.2">
      <c r="A17" s="332" t="s">
        <v>961</v>
      </c>
      <c r="B17" s="333"/>
      <c r="C17" s="333"/>
      <c r="D17" s="333"/>
      <c r="E17" s="333"/>
      <c r="F17" s="333"/>
      <c r="G17" s="333"/>
      <c r="H17" s="333"/>
      <c r="I17" s="333"/>
      <c r="J17" s="333"/>
      <c r="K17" s="333"/>
      <c r="L17" s="333"/>
      <c r="M17" s="333"/>
      <c r="N17" s="333"/>
      <c r="O17" s="334"/>
    </row>
    <row r="18" spans="1:17" ht="76.5" x14ac:dyDescent="0.2">
      <c r="A18" s="335">
        <v>3</v>
      </c>
      <c r="B18" s="225" t="s">
        <v>974</v>
      </c>
      <c r="C18" s="225" t="s">
        <v>971</v>
      </c>
      <c r="D18" s="240" t="s">
        <v>975</v>
      </c>
      <c r="E18" s="241">
        <v>100</v>
      </c>
      <c r="F18" s="27" t="s">
        <v>17</v>
      </c>
      <c r="G18" s="27" t="s">
        <v>17</v>
      </c>
      <c r="H18" s="18">
        <v>1</v>
      </c>
      <c r="I18" s="27">
        <f>H18</f>
        <v>1</v>
      </c>
      <c r="J18" s="240" t="s">
        <v>14</v>
      </c>
      <c r="K18" s="224" t="s">
        <v>802</v>
      </c>
      <c r="L18" s="224" t="s">
        <v>529</v>
      </c>
      <c r="M18" s="226">
        <f>I18</f>
        <v>1</v>
      </c>
      <c r="N18" s="227" t="s">
        <v>22</v>
      </c>
      <c r="O18" s="228">
        <v>1731000750</v>
      </c>
    </row>
    <row r="19" spans="1:17" ht="14.25" x14ac:dyDescent="0.2">
      <c r="A19" s="336"/>
      <c r="B19" s="337" t="s">
        <v>978</v>
      </c>
      <c r="C19" s="338"/>
      <c r="D19" s="338"/>
      <c r="E19" s="338"/>
      <c r="F19" s="338"/>
      <c r="G19" s="338"/>
      <c r="H19" s="338"/>
      <c r="I19" s="338"/>
      <c r="J19" s="338"/>
      <c r="K19" s="338"/>
      <c r="L19" s="338"/>
      <c r="M19" s="338"/>
      <c r="N19" s="338"/>
      <c r="O19" s="339"/>
    </row>
    <row r="20" spans="1:17" ht="15.75" x14ac:dyDescent="0.2">
      <c r="A20" s="332" t="s">
        <v>962</v>
      </c>
      <c r="B20" s="333"/>
      <c r="C20" s="333"/>
      <c r="D20" s="333"/>
      <c r="E20" s="333"/>
      <c r="F20" s="333"/>
      <c r="G20" s="333"/>
      <c r="H20" s="333"/>
      <c r="I20" s="333"/>
      <c r="J20" s="333"/>
      <c r="K20" s="333"/>
      <c r="L20" s="333"/>
      <c r="M20" s="333"/>
      <c r="N20" s="333"/>
      <c r="O20" s="334"/>
    </row>
    <row r="21" spans="1:17" ht="76.5" x14ac:dyDescent="0.2">
      <c r="A21" s="335">
        <v>4</v>
      </c>
      <c r="B21" s="260" t="s">
        <v>980</v>
      </c>
      <c r="C21" s="260" t="s">
        <v>981</v>
      </c>
      <c r="D21" s="16" t="s">
        <v>759</v>
      </c>
      <c r="E21" s="17">
        <v>100</v>
      </c>
      <c r="F21" s="18" t="s">
        <v>57</v>
      </c>
      <c r="G21" s="18" t="s">
        <v>982</v>
      </c>
      <c r="H21" s="18">
        <f>15000*117/100</f>
        <v>17550</v>
      </c>
      <c r="I21" s="18">
        <f>H21</f>
        <v>17550</v>
      </c>
      <c r="J21" s="16" t="s">
        <v>14</v>
      </c>
      <c r="K21" s="261" t="s">
        <v>802</v>
      </c>
      <c r="L21" s="261" t="s">
        <v>1036</v>
      </c>
      <c r="M21" s="262">
        <f>I21</f>
        <v>17550</v>
      </c>
      <c r="N21" s="264"/>
      <c r="O21" s="263">
        <v>2440132953</v>
      </c>
      <c r="P21" s="13"/>
      <c r="Q21" s="14"/>
    </row>
    <row r="22" spans="1:17" ht="15" customHeight="1" x14ac:dyDescent="0.2">
      <c r="A22" s="336"/>
      <c r="B22" s="337" t="s">
        <v>977</v>
      </c>
      <c r="C22" s="338"/>
      <c r="D22" s="338"/>
      <c r="E22" s="338"/>
      <c r="F22" s="338"/>
      <c r="G22" s="338"/>
      <c r="H22" s="338"/>
      <c r="I22" s="338"/>
      <c r="J22" s="338"/>
      <c r="K22" s="338"/>
      <c r="L22" s="338"/>
      <c r="M22" s="338"/>
      <c r="N22" s="338"/>
      <c r="O22" s="339"/>
      <c r="P22" s="13"/>
      <c r="Q22" s="14"/>
    </row>
    <row r="23" spans="1:17" ht="15" customHeight="1" x14ac:dyDescent="0.2">
      <c r="A23" s="332" t="s">
        <v>871</v>
      </c>
      <c r="B23" s="333"/>
      <c r="C23" s="333"/>
      <c r="D23" s="333"/>
      <c r="E23" s="333"/>
      <c r="F23" s="333"/>
      <c r="G23" s="333"/>
      <c r="H23" s="333"/>
      <c r="I23" s="333"/>
      <c r="J23" s="333"/>
      <c r="K23" s="333"/>
      <c r="L23" s="333"/>
      <c r="M23" s="333"/>
      <c r="N23" s="333"/>
      <c r="O23" s="334"/>
    </row>
    <row r="24" spans="1:17" ht="14.25" customHeight="1" x14ac:dyDescent="0.2">
      <c r="A24" s="335">
        <v>5</v>
      </c>
      <c r="B24" s="362" t="s">
        <v>932</v>
      </c>
      <c r="C24" s="390" t="s">
        <v>78</v>
      </c>
      <c r="D24" s="80" t="s">
        <v>933</v>
      </c>
      <c r="E24" s="81">
        <v>100</v>
      </c>
      <c r="F24" s="82" t="s">
        <v>17</v>
      </c>
      <c r="G24" s="84" t="s">
        <v>17</v>
      </c>
      <c r="H24" s="84">
        <f>80900*117/100</f>
        <v>94653</v>
      </c>
      <c r="I24" s="84">
        <f>H24</f>
        <v>94653</v>
      </c>
      <c r="J24" s="80" t="s">
        <v>14</v>
      </c>
      <c r="K24" s="374" t="s">
        <v>18</v>
      </c>
      <c r="L24" s="344" t="s">
        <v>1000</v>
      </c>
      <c r="M24" s="376" t="s">
        <v>1001</v>
      </c>
      <c r="N24" s="348" t="s">
        <v>22</v>
      </c>
      <c r="O24" s="350">
        <v>2130202750</v>
      </c>
    </row>
    <row r="25" spans="1:17" ht="26.45" customHeight="1" x14ac:dyDescent="0.2">
      <c r="A25" s="340"/>
      <c r="B25" s="363"/>
      <c r="C25" s="391"/>
      <c r="D25" s="235" t="s">
        <v>983</v>
      </c>
      <c r="E25" s="236">
        <v>88</v>
      </c>
      <c r="F25" s="171" t="s">
        <v>17</v>
      </c>
      <c r="G25" s="15" t="s">
        <v>17</v>
      </c>
      <c r="H25" s="15">
        <f>95000*117/100</f>
        <v>111150</v>
      </c>
      <c r="I25" s="15">
        <f>H25</f>
        <v>111150</v>
      </c>
      <c r="J25" s="223" t="s">
        <v>14</v>
      </c>
      <c r="K25" s="375"/>
      <c r="L25" s="365"/>
      <c r="M25" s="377"/>
      <c r="N25" s="369"/>
      <c r="O25" s="378"/>
      <c r="P25" s="13"/>
      <c r="Q25" s="14"/>
    </row>
    <row r="26" spans="1:17" x14ac:dyDescent="0.2">
      <c r="A26" s="340"/>
      <c r="B26" s="364"/>
      <c r="C26" s="392"/>
      <c r="D26" s="23" t="s">
        <v>984</v>
      </c>
      <c r="E26" s="32">
        <v>72</v>
      </c>
      <c r="F26" s="171" t="s">
        <v>17</v>
      </c>
      <c r="G26" s="15" t="s">
        <v>17</v>
      </c>
      <c r="H26" s="15">
        <f>117120*117/100</f>
        <v>137030.39999999999</v>
      </c>
      <c r="I26" s="15">
        <f t="shared" ref="I26" si="2">H26</f>
        <v>137030.39999999999</v>
      </c>
      <c r="J26" s="23" t="s">
        <v>14</v>
      </c>
      <c r="K26" s="393"/>
      <c r="L26" s="345"/>
      <c r="M26" s="389"/>
      <c r="N26" s="349"/>
      <c r="O26" s="351"/>
      <c r="P26" s="13"/>
      <c r="Q26" s="14"/>
    </row>
    <row r="27" spans="1:17" ht="15" customHeight="1" x14ac:dyDescent="0.2">
      <c r="A27" s="336"/>
      <c r="B27" s="337"/>
      <c r="C27" s="338"/>
      <c r="D27" s="338"/>
      <c r="E27" s="338"/>
      <c r="F27" s="338"/>
      <c r="G27" s="338"/>
      <c r="H27" s="338"/>
      <c r="I27" s="338"/>
      <c r="J27" s="338"/>
      <c r="K27" s="338"/>
      <c r="L27" s="338"/>
      <c r="M27" s="338"/>
      <c r="N27" s="338"/>
      <c r="O27" s="339"/>
    </row>
    <row r="28" spans="1:17" ht="15.75" x14ac:dyDescent="0.2">
      <c r="A28" s="332" t="s">
        <v>970</v>
      </c>
      <c r="B28" s="333"/>
      <c r="C28" s="333"/>
      <c r="D28" s="333"/>
      <c r="E28" s="333"/>
      <c r="F28" s="333"/>
      <c r="G28" s="333"/>
      <c r="H28" s="333"/>
      <c r="I28" s="333"/>
      <c r="J28" s="333"/>
      <c r="K28" s="333"/>
      <c r="L28" s="333"/>
      <c r="M28" s="333"/>
      <c r="N28" s="333"/>
      <c r="O28" s="334"/>
    </row>
    <row r="29" spans="1:17" ht="63.75" x14ac:dyDescent="0.2">
      <c r="A29" s="359">
        <v>6</v>
      </c>
      <c r="B29" s="362" t="s">
        <v>955</v>
      </c>
      <c r="C29" s="362" t="s">
        <v>956</v>
      </c>
      <c r="D29" s="16" t="s">
        <v>957</v>
      </c>
      <c r="E29" s="17">
        <v>85</v>
      </c>
      <c r="F29" s="18" t="s">
        <v>958</v>
      </c>
      <c r="G29" s="188"/>
      <c r="H29" s="242" t="s">
        <v>960</v>
      </c>
      <c r="I29" s="21"/>
      <c r="J29" s="16"/>
      <c r="K29" s="344" t="s">
        <v>18</v>
      </c>
      <c r="L29" s="344" t="s">
        <v>529</v>
      </c>
      <c r="M29" s="379"/>
      <c r="N29" s="348" t="s">
        <v>22</v>
      </c>
      <c r="O29" s="370">
        <v>1252100410</v>
      </c>
    </row>
    <row r="30" spans="1:17" ht="51" x14ac:dyDescent="0.2">
      <c r="A30" s="360"/>
      <c r="B30" s="364"/>
      <c r="C30" s="364"/>
      <c r="D30" s="23" t="s">
        <v>959</v>
      </c>
      <c r="E30" s="32">
        <v>50</v>
      </c>
      <c r="F30" s="8" t="s">
        <v>958</v>
      </c>
      <c r="G30" s="170"/>
      <c r="H30" s="33">
        <v>0.2</v>
      </c>
      <c r="I30" s="15"/>
      <c r="J30" s="233"/>
      <c r="K30" s="345"/>
      <c r="L30" s="345"/>
      <c r="M30" s="382"/>
      <c r="N30" s="349"/>
      <c r="O30" s="372"/>
    </row>
    <row r="31" spans="1:17" ht="14.25" customHeight="1" x14ac:dyDescent="0.2">
      <c r="A31" s="361"/>
      <c r="B31" s="337" t="s">
        <v>968</v>
      </c>
      <c r="C31" s="338"/>
      <c r="D31" s="338"/>
      <c r="E31" s="338"/>
      <c r="F31" s="338"/>
      <c r="G31" s="338"/>
      <c r="H31" s="338"/>
      <c r="I31" s="338"/>
      <c r="J31" s="338"/>
      <c r="K31" s="338"/>
      <c r="L31" s="338"/>
      <c r="M31" s="338"/>
      <c r="N31" s="338"/>
      <c r="O31" s="339"/>
    </row>
    <row r="32" spans="1:17" ht="15.75" x14ac:dyDescent="0.2">
      <c r="A32" s="332" t="s">
        <v>976</v>
      </c>
      <c r="B32" s="333"/>
      <c r="C32" s="333"/>
      <c r="D32" s="333"/>
      <c r="E32" s="333"/>
      <c r="F32" s="333"/>
      <c r="G32" s="333"/>
      <c r="H32" s="333"/>
      <c r="I32" s="333"/>
      <c r="J32" s="333"/>
      <c r="K32" s="333"/>
      <c r="L32" s="333"/>
      <c r="M32" s="333"/>
      <c r="N32" s="333"/>
      <c r="O32" s="334"/>
    </row>
    <row r="33" spans="1:15" ht="27" customHeight="1" x14ac:dyDescent="0.2">
      <c r="A33" s="359">
        <v>7</v>
      </c>
      <c r="B33" s="362" t="s">
        <v>993</v>
      </c>
      <c r="C33" s="362" t="s">
        <v>994</v>
      </c>
      <c r="D33" s="42" t="s">
        <v>995</v>
      </c>
      <c r="E33" s="43">
        <v>100</v>
      </c>
      <c r="F33" s="44" t="s">
        <v>996</v>
      </c>
      <c r="G33" s="44" t="s">
        <v>997</v>
      </c>
      <c r="H33" s="44">
        <f>15850*117/100</f>
        <v>18544.5</v>
      </c>
      <c r="I33" s="44">
        <f>H33*12</f>
        <v>222534</v>
      </c>
      <c r="J33" s="42" t="s">
        <v>14</v>
      </c>
      <c r="K33" s="344" t="s">
        <v>258</v>
      </c>
      <c r="L33" s="344"/>
      <c r="M33" s="379"/>
      <c r="N33" s="348"/>
      <c r="O33" s="370">
        <v>1252100410</v>
      </c>
    </row>
    <row r="34" spans="1:15" ht="27.6" customHeight="1" x14ac:dyDescent="0.2">
      <c r="A34" s="360"/>
      <c r="B34" s="364"/>
      <c r="C34" s="364"/>
      <c r="D34" s="23" t="s">
        <v>632</v>
      </c>
      <c r="E34" s="32">
        <v>95</v>
      </c>
      <c r="F34" s="171" t="s">
        <v>996</v>
      </c>
      <c r="G34" s="15" t="s">
        <v>997</v>
      </c>
      <c r="H34" s="15">
        <f>17000*117/100</f>
        <v>19890</v>
      </c>
      <c r="I34" s="15">
        <f>H34*12</f>
        <v>238680</v>
      </c>
      <c r="J34" s="265" t="s">
        <v>14</v>
      </c>
      <c r="K34" s="345"/>
      <c r="L34" s="345"/>
      <c r="M34" s="382"/>
      <c r="N34" s="349"/>
      <c r="O34" s="372"/>
    </row>
    <row r="35" spans="1:15" ht="14.25" customHeight="1" x14ac:dyDescent="0.2">
      <c r="A35" s="361"/>
      <c r="B35" s="337" t="s">
        <v>803</v>
      </c>
      <c r="C35" s="338"/>
      <c r="D35" s="338"/>
      <c r="E35" s="338"/>
      <c r="F35" s="338"/>
      <c r="G35" s="338"/>
      <c r="H35" s="338"/>
      <c r="I35" s="338"/>
      <c r="J35" s="338"/>
      <c r="K35" s="338"/>
      <c r="L35" s="338"/>
      <c r="M35" s="338"/>
      <c r="N35" s="338"/>
      <c r="O35" s="339"/>
    </row>
    <row r="36" spans="1:15" ht="15.75" x14ac:dyDescent="0.2">
      <c r="A36" s="332" t="s">
        <v>979</v>
      </c>
      <c r="B36" s="333"/>
      <c r="C36" s="333"/>
      <c r="D36" s="333"/>
      <c r="E36" s="333"/>
      <c r="F36" s="333"/>
      <c r="G36" s="333"/>
      <c r="H36" s="333"/>
      <c r="I36" s="333"/>
      <c r="J36" s="333"/>
      <c r="K36" s="333"/>
      <c r="L36" s="333"/>
      <c r="M36" s="333"/>
      <c r="N36" s="333"/>
      <c r="O36" s="334"/>
    </row>
    <row r="37" spans="1:15" ht="25.5" customHeight="1" x14ac:dyDescent="0.2">
      <c r="A37" s="359">
        <v>8</v>
      </c>
      <c r="B37" s="362" t="s">
        <v>951</v>
      </c>
      <c r="C37" s="362" t="s">
        <v>287</v>
      </c>
      <c r="D37" s="80" t="s">
        <v>854</v>
      </c>
      <c r="E37" s="81">
        <v>100</v>
      </c>
      <c r="F37" s="82" t="s">
        <v>15</v>
      </c>
      <c r="G37" s="82" t="s">
        <v>143</v>
      </c>
      <c r="H37" s="243">
        <v>3.1E-2</v>
      </c>
      <c r="I37" s="84">
        <f>H37*5000000*117/100</f>
        <v>181350</v>
      </c>
      <c r="J37" s="86" t="s">
        <v>14</v>
      </c>
      <c r="K37" s="344" t="s">
        <v>18</v>
      </c>
      <c r="L37" s="344" t="s">
        <v>1002</v>
      </c>
      <c r="M37" s="379">
        <f>3%*5000000*117/100</f>
        <v>175500</v>
      </c>
      <c r="N37" s="348" t="s">
        <v>22</v>
      </c>
      <c r="O37" s="386">
        <v>244001</v>
      </c>
    </row>
    <row r="38" spans="1:15" ht="25.5" x14ac:dyDescent="0.2">
      <c r="A38" s="360"/>
      <c r="B38" s="363"/>
      <c r="C38" s="363"/>
      <c r="D38" s="23" t="s">
        <v>952</v>
      </c>
      <c r="E38" s="32">
        <v>98</v>
      </c>
      <c r="F38" s="220" t="s">
        <v>15</v>
      </c>
      <c r="G38" s="220" t="s">
        <v>143</v>
      </c>
      <c r="H38" s="221">
        <v>3.2000000000000001E-2</v>
      </c>
      <c r="I38" s="222">
        <f>H38*5000000*117/100</f>
        <v>187200</v>
      </c>
      <c r="J38" s="23" t="s">
        <v>14</v>
      </c>
      <c r="K38" s="365"/>
      <c r="L38" s="365"/>
      <c r="M38" s="380"/>
      <c r="N38" s="369"/>
      <c r="O38" s="387"/>
    </row>
    <row r="39" spans="1:15" ht="25.5" x14ac:dyDescent="0.2">
      <c r="A39" s="360"/>
      <c r="B39" s="363"/>
      <c r="C39" s="363"/>
      <c r="D39" s="35" t="s">
        <v>316</v>
      </c>
      <c r="E39" s="36">
        <v>84</v>
      </c>
      <c r="F39" s="220" t="s">
        <v>15</v>
      </c>
      <c r="G39" s="220" t="s">
        <v>143</v>
      </c>
      <c r="H39" s="221">
        <v>0.04</v>
      </c>
      <c r="I39" s="222">
        <f>H39*5000000*117/100</f>
        <v>234000</v>
      </c>
      <c r="J39" s="215" t="s">
        <v>14</v>
      </c>
      <c r="K39" s="365"/>
      <c r="L39" s="365"/>
      <c r="M39" s="380"/>
      <c r="N39" s="369"/>
      <c r="O39" s="387"/>
    </row>
    <row r="40" spans="1:15" ht="25.5" x14ac:dyDescent="0.2">
      <c r="A40" s="360"/>
      <c r="B40" s="363"/>
      <c r="C40" s="363"/>
      <c r="D40" s="35" t="s">
        <v>324</v>
      </c>
      <c r="E40" s="36">
        <v>81</v>
      </c>
      <c r="F40" s="220" t="s">
        <v>15</v>
      </c>
      <c r="G40" s="220" t="s">
        <v>143</v>
      </c>
      <c r="H40" s="221">
        <v>4.2500000000000003E-2</v>
      </c>
      <c r="I40" s="222">
        <f t="shared" ref="I40:I41" si="3">H40*5000000*117/100</f>
        <v>248625.00000000003</v>
      </c>
      <c r="J40" s="215" t="s">
        <v>14</v>
      </c>
      <c r="K40" s="365"/>
      <c r="L40" s="365"/>
      <c r="M40" s="380"/>
      <c r="N40" s="369"/>
      <c r="O40" s="387"/>
    </row>
    <row r="41" spans="1:15" ht="25.5" x14ac:dyDescent="0.2">
      <c r="A41" s="360"/>
      <c r="B41" s="364"/>
      <c r="C41" s="364"/>
      <c r="D41" s="35" t="s">
        <v>292</v>
      </c>
      <c r="E41" s="36">
        <v>55</v>
      </c>
      <c r="F41" s="220" t="s">
        <v>15</v>
      </c>
      <c r="G41" s="220" t="s">
        <v>143</v>
      </c>
      <c r="H41" s="221">
        <v>8.7999999999999995E-2</v>
      </c>
      <c r="I41" s="222">
        <f t="shared" si="3"/>
        <v>514800</v>
      </c>
      <c r="J41" s="215" t="s">
        <v>14</v>
      </c>
      <c r="K41" s="345"/>
      <c r="L41" s="345"/>
      <c r="M41" s="382"/>
      <c r="N41" s="349"/>
      <c r="O41" s="388"/>
    </row>
    <row r="42" spans="1:15" ht="14.25" customHeight="1" x14ac:dyDescent="0.2">
      <c r="A42" s="361"/>
      <c r="B42" s="383"/>
      <c r="C42" s="384"/>
      <c r="D42" s="384"/>
      <c r="E42" s="384"/>
      <c r="F42" s="384"/>
      <c r="G42" s="384"/>
      <c r="H42" s="384"/>
      <c r="I42" s="384"/>
      <c r="J42" s="384"/>
      <c r="K42" s="384"/>
      <c r="L42" s="384"/>
      <c r="M42" s="384"/>
      <c r="N42" s="384"/>
      <c r="O42" s="385"/>
    </row>
    <row r="43" spans="1:15" ht="15" customHeight="1" x14ac:dyDescent="0.2">
      <c r="A43" s="332" t="s">
        <v>989</v>
      </c>
      <c r="B43" s="333"/>
      <c r="C43" s="333"/>
      <c r="D43" s="333"/>
      <c r="E43" s="333"/>
      <c r="F43" s="333"/>
      <c r="G43" s="333"/>
      <c r="H43" s="333"/>
      <c r="I43" s="333"/>
      <c r="J43" s="333"/>
      <c r="K43" s="333"/>
      <c r="L43" s="333"/>
      <c r="M43" s="333"/>
      <c r="N43" s="333"/>
      <c r="O43" s="334"/>
    </row>
    <row r="44" spans="1:15" ht="51" x14ac:dyDescent="0.2">
      <c r="A44" s="335">
        <v>9</v>
      </c>
      <c r="B44" s="230" t="s">
        <v>221</v>
      </c>
      <c r="C44" s="230" t="s">
        <v>52</v>
      </c>
      <c r="D44" s="19" t="s">
        <v>222</v>
      </c>
      <c r="E44" s="20">
        <v>100</v>
      </c>
      <c r="F44" s="21" t="s">
        <v>17</v>
      </c>
      <c r="G44" s="21" t="s">
        <v>17</v>
      </c>
      <c r="H44" s="219">
        <f>445000*1.17</f>
        <v>520649.99999999994</v>
      </c>
      <c r="I44" s="21">
        <f>439082*1.17</f>
        <v>513725.93999999994</v>
      </c>
      <c r="J44" s="19" t="s">
        <v>14</v>
      </c>
      <c r="K44" s="238" t="s">
        <v>802</v>
      </c>
      <c r="L44" s="238" t="s">
        <v>1003</v>
      </c>
      <c r="M44" s="231">
        <f>I44</f>
        <v>513725.93999999994</v>
      </c>
      <c r="N44" s="234" t="s">
        <v>22</v>
      </c>
      <c r="O44" s="232" t="s">
        <v>223</v>
      </c>
    </row>
    <row r="45" spans="1:15" ht="46.15" customHeight="1" x14ac:dyDescent="0.2">
      <c r="A45" s="336"/>
      <c r="B45" s="337" t="s">
        <v>1006</v>
      </c>
      <c r="C45" s="338"/>
      <c r="D45" s="338"/>
      <c r="E45" s="338"/>
      <c r="F45" s="338"/>
      <c r="G45" s="338"/>
      <c r="H45" s="338"/>
      <c r="I45" s="338"/>
      <c r="J45" s="338"/>
      <c r="K45" s="338"/>
      <c r="L45" s="338"/>
      <c r="M45" s="338"/>
      <c r="N45" s="338"/>
      <c r="O45" s="339"/>
    </row>
    <row r="46" spans="1:15" ht="15" customHeight="1" x14ac:dyDescent="0.2">
      <c r="A46" s="332" t="s">
        <v>990</v>
      </c>
      <c r="B46" s="333"/>
      <c r="C46" s="333"/>
      <c r="D46" s="333"/>
      <c r="E46" s="333"/>
      <c r="F46" s="333"/>
      <c r="G46" s="333"/>
      <c r="H46" s="333"/>
      <c r="I46" s="333"/>
      <c r="J46" s="333"/>
      <c r="K46" s="333"/>
      <c r="L46" s="333"/>
      <c r="M46" s="333"/>
      <c r="N46" s="333"/>
      <c r="O46" s="334"/>
    </row>
    <row r="47" spans="1:15" ht="63.75" x14ac:dyDescent="0.2">
      <c r="A47" s="335">
        <v>10</v>
      </c>
      <c r="B47" s="230" t="s">
        <v>991</v>
      </c>
      <c r="C47" s="230" t="s">
        <v>954</v>
      </c>
      <c r="D47" s="19" t="s">
        <v>82</v>
      </c>
      <c r="E47" s="17">
        <v>94</v>
      </c>
      <c r="F47" s="18" t="s">
        <v>17</v>
      </c>
      <c r="G47" s="21" t="s">
        <v>17</v>
      </c>
      <c r="H47" s="21">
        <f>3675*117/100</f>
        <v>4299.75</v>
      </c>
      <c r="I47" s="21">
        <f>H47</f>
        <v>4299.75</v>
      </c>
      <c r="J47" s="16" t="s">
        <v>14</v>
      </c>
      <c r="K47" s="239" t="s">
        <v>802</v>
      </c>
      <c r="L47" s="239" t="s">
        <v>529</v>
      </c>
      <c r="M47" s="231">
        <f>I47</f>
        <v>4299.75</v>
      </c>
      <c r="N47" s="234" t="s">
        <v>1087</v>
      </c>
      <c r="O47" s="232" t="s">
        <v>83</v>
      </c>
    </row>
    <row r="48" spans="1:15" ht="14.25" x14ac:dyDescent="0.2">
      <c r="A48" s="336"/>
      <c r="B48" s="337" t="s">
        <v>992</v>
      </c>
      <c r="C48" s="338"/>
      <c r="D48" s="338"/>
      <c r="E48" s="338"/>
      <c r="F48" s="338"/>
      <c r="G48" s="338"/>
      <c r="H48" s="338"/>
      <c r="I48" s="338"/>
      <c r="J48" s="338"/>
      <c r="K48" s="338"/>
      <c r="L48" s="338"/>
      <c r="M48" s="338"/>
      <c r="N48" s="338"/>
      <c r="O48" s="339"/>
    </row>
    <row r="50" spans="1:17" ht="15.75" x14ac:dyDescent="0.2">
      <c r="A50" s="332" t="s">
        <v>634</v>
      </c>
      <c r="B50" s="333"/>
      <c r="C50" s="333"/>
      <c r="D50" s="333"/>
      <c r="E50" s="333"/>
      <c r="F50" s="333"/>
      <c r="G50" s="333"/>
      <c r="H50" s="333"/>
      <c r="I50" s="333"/>
      <c r="J50" s="333"/>
      <c r="K50" s="333"/>
      <c r="L50" s="333"/>
      <c r="M50" s="333"/>
      <c r="N50" s="333"/>
      <c r="O50" s="334"/>
    </row>
    <row r="51" spans="1:17" ht="63.75" x14ac:dyDescent="0.2">
      <c r="A51" s="335">
        <v>16</v>
      </c>
      <c r="B51" s="342" t="s">
        <v>985</v>
      </c>
      <c r="C51" s="342" t="s">
        <v>413</v>
      </c>
      <c r="D51" s="19" t="s">
        <v>670</v>
      </c>
      <c r="E51" s="20">
        <v>100</v>
      </c>
      <c r="F51" s="21" t="s">
        <v>17</v>
      </c>
      <c r="G51" s="21" t="s">
        <v>17</v>
      </c>
      <c r="H51" s="77">
        <f>(35000+15320)*117/100</f>
        <v>58874.400000000001</v>
      </c>
      <c r="I51" s="21">
        <f>H51</f>
        <v>58874.400000000001</v>
      </c>
      <c r="J51" s="19" t="s">
        <v>14</v>
      </c>
      <c r="K51" s="344" t="s">
        <v>18</v>
      </c>
      <c r="L51" s="344" t="s">
        <v>529</v>
      </c>
      <c r="M51" s="376">
        <f>I51</f>
        <v>58874.400000000001</v>
      </c>
      <c r="N51" s="348" t="s">
        <v>22</v>
      </c>
      <c r="O51" s="350" t="s">
        <v>621</v>
      </c>
      <c r="P51" s="13"/>
      <c r="Q51" s="14"/>
    </row>
    <row r="52" spans="1:17" x14ac:dyDescent="0.2">
      <c r="A52" s="340"/>
      <c r="B52" s="373"/>
      <c r="C52" s="373"/>
      <c r="D52" s="233" t="s">
        <v>166</v>
      </c>
      <c r="E52" s="7">
        <v>65</v>
      </c>
      <c r="F52" s="8" t="s">
        <v>17</v>
      </c>
      <c r="G52" s="8" t="s">
        <v>17</v>
      </c>
      <c r="H52" s="8">
        <f>70000*117/100</f>
        <v>81900</v>
      </c>
      <c r="I52" s="8">
        <f t="shared" ref="I52" si="4">H52</f>
        <v>81900</v>
      </c>
      <c r="J52" s="233" t="s">
        <v>14</v>
      </c>
      <c r="K52" s="365"/>
      <c r="L52" s="365"/>
      <c r="M52" s="377"/>
      <c r="N52" s="369"/>
      <c r="O52" s="378"/>
      <c r="P52" s="13"/>
      <c r="Q52" s="14"/>
    </row>
    <row r="53" spans="1:17" ht="38.25" x14ac:dyDescent="0.2">
      <c r="A53" s="340"/>
      <c r="B53" s="373"/>
      <c r="C53" s="373"/>
      <c r="D53" s="233" t="s">
        <v>671</v>
      </c>
      <c r="E53" s="7">
        <v>53</v>
      </c>
      <c r="F53" s="8" t="s">
        <v>17</v>
      </c>
      <c r="G53" s="8" t="s">
        <v>17</v>
      </c>
      <c r="H53" s="8">
        <f>108000*117/100</f>
        <v>126360</v>
      </c>
      <c r="I53" s="8">
        <f>H53</f>
        <v>126360</v>
      </c>
      <c r="J53" s="233" t="s">
        <v>14</v>
      </c>
      <c r="K53" s="365"/>
      <c r="L53" s="365"/>
      <c r="M53" s="377"/>
      <c r="N53" s="369"/>
      <c r="O53" s="378"/>
      <c r="P53" s="13"/>
      <c r="Q53" s="14"/>
    </row>
    <row r="54" spans="1:17" ht="25.5" x14ac:dyDescent="0.2">
      <c r="A54" s="340"/>
      <c r="B54" s="343"/>
      <c r="C54" s="343"/>
      <c r="D54" s="233" t="s">
        <v>636</v>
      </c>
      <c r="E54" s="7">
        <v>47</v>
      </c>
      <c r="F54" s="8" t="s">
        <v>17</v>
      </c>
      <c r="G54" s="8" t="s">
        <v>17</v>
      </c>
      <c r="H54" s="8">
        <f>152000*117/100</f>
        <v>177840</v>
      </c>
      <c r="I54" s="8">
        <f t="shared" ref="I54" si="5">H54</f>
        <v>177840</v>
      </c>
      <c r="J54" s="233" t="s">
        <v>14</v>
      </c>
      <c r="K54" s="345"/>
      <c r="L54" s="345"/>
      <c r="M54" s="389"/>
      <c r="N54" s="349"/>
      <c r="O54" s="351"/>
      <c r="P54" s="13"/>
      <c r="Q54" s="14"/>
    </row>
    <row r="55" spans="1:17" ht="15" customHeight="1" x14ac:dyDescent="0.2">
      <c r="A55" s="336"/>
      <c r="B55" s="337" t="s">
        <v>988</v>
      </c>
      <c r="C55" s="338"/>
      <c r="D55" s="338"/>
      <c r="E55" s="338"/>
      <c r="F55" s="338"/>
      <c r="G55" s="338"/>
      <c r="H55" s="338"/>
      <c r="I55" s="338"/>
      <c r="J55" s="338"/>
      <c r="K55" s="338"/>
      <c r="L55" s="338"/>
      <c r="M55" s="338"/>
      <c r="N55" s="338"/>
      <c r="O55" s="339"/>
    </row>
    <row r="56" spans="1:17" ht="15.75" x14ac:dyDescent="0.2">
      <c r="A56" s="332" t="s">
        <v>637</v>
      </c>
      <c r="B56" s="333"/>
      <c r="C56" s="333"/>
      <c r="D56" s="333"/>
      <c r="E56" s="333"/>
      <c r="F56" s="333"/>
      <c r="G56" s="333"/>
      <c r="H56" s="333"/>
      <c r="I56" s="333"/>
      <c r="J56" s="333"/>
      <c r="K56" s="333"/>
      <c r="L56" s="333"/>
      <c r="M56" s="333"/>
      <c r="N56" s="333"/>
      <c r="O56" s="334"/>
    </row>
    <row r="57" spans="1:17" ht="63.75" x14ac:dyDescent="0.2">
      <c r="A57" s="335">
        <v>17</v>
      </c>
      <c r="B57" s="342" t="s">
        <v>986</v>
      </c>
      <c r="C57" s="342" t="s">
        <v>413</v>
      </c>
      <c r="D57" s="19" t="s">
        <v>670</v>
      </c>
      <c r="E57" s="20">
        <v>100</v>
      </c>
      <c r="F57" s="21" t="s">
        <v>17</v>
      </c>
      <c r="G57" s="21" t="s">
        <v>17</v>
      </c>
      <c r="H57" s="77">
        <f>(35000+16519)*117/100</f>
        <v>60277.23</v>
      </c>
      <c r="I57" s="21">
        <f>H57</f>
        <v>60277.23</v>
      </c>
      <c r="J57" s="19" t="s">
        <v>14</v>
      </c>
      <c r="K57" s="344" t="s">
        <v>18</v>
      </c>
      <c r="L57" s="344" t="s">
        <v>529</v>
      </c>
      <c r="M57" s="376">
        <f>I57</f>
        <v>60277.23</v>
      </c>
      <c r="N57" s="348" t="s">
        <v>22</v>
      </c>
      <c r="O57" s="350" t="s">
        <v>615</v>
      </c>
      <c r="P57" s="13"/>
      <c r="Q57" s="14"/>
    </row>
    <row r="58" spans="1:17" x14ac:dyDescent="0.2">
      <c r="A58" s="340"/>
      <c r="B58" s="373"/>
      <c r="C58" s="373"/>
      <c r="D58" s="233" t="s">
        <v>166</v>
      </c>
      <c r="E58" s="7">
        <v>65</v>
      </c>
      <c r="F58" s="8" t="s">
        <v>17</v>
      </c>
      <c r="G58" s="8" t="s">
        <v>17</v>
      </c>
      <c r="H58" s="8">
        <f>70000*117/100</f>
        <v>81900</v>
      </c>
      <c r="I58" s="8">
        <f t="shared" ref="I58" si="6">H58</f>
        <v>81900</v>
      </c>
      <c r="J58" s="233" t="s">
        <v>14</v>
      </c>
      <c r="K58" s="365"/>
      <c r="L58" s="365"/>
      <c r="M58" s="377"/>
      <c r="N58" s="369"/>
      <c r="O58" s="378"/>
      <c r="P58" s="13"/>
      <c r="Q58" s="14"/>
    </row>
    <row r="59" spans="1:17" ht="38.25" x14ac:dyDescent="0.2">
      <c r="A59" s="340"/>
      <c r="B59" s="373"/>
      <c r="C59" s="373"/>
      <c r="D59" s="233" t="s">
        <v>671</v>
      </c>
      <c r="E59" s="7">
        <v>53</v>
      </c>
      <c r="F59" s="8" t="s">
        <v>17</v>
      </c>
      <c r="G59" s="8" t="s">
        <v>17</v>
      </c>
      <c r="H59" s="8">
        <f>110000*117/100</f>
        <v>128700</v>
      </c>
      <c r="I59" s="8">
        <f>H59</f>
        <v>128700</v>
      </c>
      <c r="J59" s="233" t="s">
        <v>14</v>
      </c>
      <c r="K59" s="365"/>
      <c r="L59" s="365"/>
      <c r="M59" s="377"/>
      <c r="N59" s="369"/>
      <c r="O59" s="378"/>
      <c r="P59" s="13"/>
      <c r="Q59" s="14"/>
    </row>
    <row r="60" spans="1:17" ht="25.5" x14ac:dyDescent="0.2">
      <c r="A60" s="340"/>
      <c r="B60" s="343"/>
      <c r="C60" s="343"/>
      <c r="D60" s="233" t="s">
        <v>636</v>
      </c>
      <c r="E60" s="7">
        <v>47</v>
      </c>
      <c r="F60" s="8" t="s">
        <v>17</v>
      </c>
      <c r="G60" s="8" t="s">
        <v>17</v>
      </c>
      <c r="H60" s="8">
        <f>163000*117/100</f>
        <v>190710</v>
      </c>
      <c r="I60" s="8">
        <f t="shared" ref="I60" si="7">H60</f>
        <v>190710</v>
      </c>
      <c r="J60" s="233" t="s">
        <v>14</v>
      </c>
      <c r="K60" s="345"/>
      <c r="L60" s="345"/>
      <c r="M60" s="389"/>
      <c r="N60" s="349"/>
      <c r="O60" s="351"/>
      <c r="P60" s="13"/>
      <c r="Q60" s="14"/>
    </row>
    <row r="61" spans="1:17" ht="15" customHeight="1" x14ac:dyDescent="0.2">
      <c r="A61" s="336"/>
      <c r="B61" s="337" t="s">
        <v>987</v>
      </c>
      <c r="C61" s="338"/>
      <c r="D61" s="338"/>
      <c r="E61" s="338"/>
      <c r="F61" s="338"/>
      <c r="G61" s="338"/>
      <c r="H61" s="338"/>
      <c r="I61" s="338"/>
      <c r="J61" s="338"/>
      <c r="K61" s="338"/>
      <c r="L61" s="338"/>
      <c r="M61" s="338"/>
      <c r="N61" s="338"/>
      <c r="O61" s="339"/>
    </row>
    <row r="62" spans="1:17" ht="15.75" x14ac:dyDescent="0.2">
      <c r="A62" s="25"/>
      <c r="B62" s="237"/>
      <c r="C62" s="237"/>
      <c r="D62" s="237"/>
      <c r="E62" s="237"/>
      <c r="F62" s="237"/>
      <c r="G62" s="237"/>
      <c r="H62" s="237"/>
      <c r="I62" s="237"/>
      <c r="J62" s="237"/>
      <c r="K62" s="237"/>
      <c r="L62" s="237"/>
      <c r="M62" s="237"/>
      <c r="N62" s="237"/>
      <c r="O62" s="237"/>
    </row>
    <row r="63" spans="1:17" x14ac:dyDescent="0.2">
      <c r="B63" s="28"/>
    </row>
  </sheetData>
  <mergeCells count="98">
    <mergeCell ref="A32:O32"/>
    <mergeCell ref="A33:A35"/>
    <mergeCell ref="B33:B34"/>
    <mergeCell ref="C33:C34"/>
    <mergeCell ref="K33:K34"/>
    <mergeCell ref="B35:O35"/>
    <mergeCell ref="O33:O34"/>
    <mergeCell ref="N33:N34"/>
    <mergeCell ref="M33:M34"/>
    <mergeCell ref="L33:L34"/>
    <mergeCell ref="A28:O28"/>
    <mergeCell ref="A29:A31"/>
    <mergeCell ref="B29:B30"/>
    <mergeCell ref="C29:C30"/>
    <mergeCell ref="K29:K30"/>
    <mergeCell ref="L29:L30"/>
    <mergeCell ref="M29:M30"/>
    <mergeCell ref="N29:N30"/>
    <mergeCell ref="O29:O30"/>
    <mergeCell ref="B31:O31"/>
    <mergeCell ref="A1:A6"/>
    <mergeCell ref="B1:O1"/>
    <mergeCell ref="B2:O2"/>
    <mergeCell ref="B3:O3"/>
    <mergeCell ref="B4:O4"/>
    <mergeCell ref="B5:O5"/>
    <mergeCell ref="A36:O36"/>
    <mergeCell ref="A50:O50"/>
    <mergeCell ref="A51:A55"/>
    <mergeCell ref="B51:B54"/>
    <mergeCell ref="C51:C54"/>
    <mergeCell ref="K51:K54"/>
    <mergeCell ref="L51:L54"/>
    <mergeCell ref="M51:M54"/>
    <mergeCell ref="N51:N54"/>
    <mergeCell ref="B55:O55"/>
    <mergeCell ref="O51:O54"/>
    <mergeCell ref="A44:A45"/>
    <mergeCell ref="B45:O45"/>
    <mergeCell ref="A46:O46"/>
    <mergeCell ref="A47:A48"/>
    <mergeCell ref="B48:O48"/>
    <mergeCell ref="A7:O7"/>
    <mergeCell ref="A8:A11"/>
    <mergeCell ref="B8:B10"/>
    <mergeCell ref="C8:C10"/>
    <mergeCell ref="K8:K10"/>
    <mergeCell ref="L8:L10"/>
    <mergeCell ref="M8:M10"/>
    <mergeCell ref="N8:N10"/>
    <mergeCell ref="O8:O10"/>
    <mergeCell ref="B11:O11"/>
    <mergeCell ref="A12:O12"/>
    <mergeCell ref="A13:A16"/>
    <mergeCell ref="B13:B15"/>
    <mergeCell ref="C13:C15"/>
    <mergeCell ref="K13:K15"/>
    <mergeCell ref="L13:L15"/>
    <mergeCell ref="M13:M15"/>
    <mergeCell ref="N13:N15"/>
    <mergeCell ref="O13:O15"/>
    <mergeCell ref="B16:O16"/>
    <mergeCell ref="A17:O17"/>
    <mergeCell ref="A18:A19"/>
    <mergeCell ref="B19:O19"/>
    <mergeCell ref="A23:O23"/>
    <mergeCell ref="A24:A27"/>
    <mergeCell ref="B24:B26"/>
    <mergeCell ref="C24:C26"/>
    <mergeCell ref="K24:K26"/>
    <mergeCell ref="L24:L26"/>
    <mergeCell ref="M24:M26"/>
    <mergeCell ref="N24:N26"/>
    <mergeCell ref="O24:O26"/>
    <mergeCell ref="B27:O27"/>
    <mergeCell ref="A20:O20"/>
    <mergeCell ref="A21:A22"/>
    <mergeCell ref="B22:O22"/>
    <mergeCell ref="M57:M60"/>
    <mergeCell ref="N57:N60"/>
    <mergeCell ref="O57:O60"/>
    <mergeCell ref="B61:O61"/>
    <mergeCell ref="A56:O56"/>
    <mergeCell ref="A57:A61"/>
    <mergeCell ref="B57:B60"/>
    <mergeCell ref="C57:C60"/>
    <mergeCell ref="K57:K60"/>
    <mergeCell ref="L57:L60"/>
    <mergeCell ref="A43:O43"/>
    <mergeCell ref="B42:O42"/>
    <mergeCell ref="O37:O41"/>
    <mergeCell ref="N37:N41"/>
    <mergeCell ref="M37:M41"/>
    <mergeCell ref="L37:L41"/>
    <mergeCell ref="K37:K41"/>
    <mergeCell ref="B37:B41"/>
    <mergeCell ref="C37:C41"/>
    <mergeCell ref="A37:A42"/>
  </mergeCells>
  <pageMargins left="0.25" right="0.25" top="0.75" bottom="0.75" header="0.3" footer="0.3"/>
  <pageSetup paperSize="9" scale="72" fitToHeight="0" orientation="landscape" r:id="rId1"/>
  <rowBreaks count="1" manualBreakCount="1">
    <brk id="22"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72C756-6B62-445B-8924-2996FD768273}">
  <sheetPr>
    <pageSetUpPr fitToPage="1"/>
  </sheetPr>
  <dimension ref="A1:Q139"/>
  <sheetViews>
    <sheetView rightToLeft="1" zoomScaleNormal="100" workbookViewId="0">
      <selection activeCell="A139" sqref="A139:XFD139"/>
    </sheetView>
  </sheetViews>
  <sheetFormatPr defaultColWidth="8.75" defaultRowHeight="15" x14ac:dyDescent="0.2"/>
  <cols>
    <col min="1" max="1" width="4.25" customWidth="1"/>
    <col min="2" max="2" width="21.125" style="9" bestFit="1" customWidth="1"/>
    <col min="4" max="4" width="7.25" customWidth="1"/>
    <col min="5" max="5" width="7.75" customWidth="1"/>
    <col min="6" max="6" width="10.25" bestFit="1" customWidth="1"/>
    <col min="7" max="7" width="12.125" style="10" bestFit="1" customWidth="1"/>
    <col min="8" max="8" width="13.625" style="11" bestFit="1" customWidth="1"/>
    <col min="9" max="9" width="16" style="11" bestFit="1" customWidth="1"/>
    <col min="10" max="10" width="9" customWidth="1"/>
    <col min="11" max="11" width="12.875" style="12" customWidth="1"/>
    <col min="12" max="12" width="19.375" style="12" customWidth="1"/>
    <col min="13" max="13" width="15" style="12" customWidth="1"/>
    <col min="14" max="14" width="10.875" style="13" customWidth="1"/>
    <col min="15" max="15" width="13" style="14" customWidth="1"/>
  </cols>
  <sheetData>
    <row r="1" spans="1:17" ht="20.25" x14ac:dyDescent="0.2">
      <c r="A1" s="354"/>
      <c r="B1" s="355" t="s">
        <v>941</v>
      </c>
      <c r="C1" s="355"/>
      <c r="D1" s="355"/>
      <c r="E1" s="355"/>
      <c r="F1" s="355"/>
      <c r="G1" s="355"/>
      <c r="H1" s="355"/>
      <c r="I1" s="355"/>
      <c r="J1" s="355"/>
      <c r="K1" s="355"/>
      <c r="L1" s="355"/>
      <c r="M1" s="355"/>
      <c r="N1" s="355"/>
      <c r="O1" s="355"/>
    </row>
    <row r="2" spans="1:17" ht="14.25" x14ac:dyDescent="0.2">
      <c r="A2" s="354"/>
      <c r="B2" s="356" t="s">
        <v>198</v>
      </c>
      <c r="C2" s="356"/>
      <c r="D2" s="356"/>
      <c r="E2" s="356"/>
      <c r="F2" s="356"/>
      <c r="G2" s="356"/>
      <c r="H2" s="356"/>
      <c r="I2" s="356"/>
      <c r="J2" s="356"/>
      <c r="K2" s="356"/>
      <c r="L2" s="356"/>
      <c r="M2" s="356"/>
      <c r="N2" s="356"/>
      <c r="O2" s="356"/>
    </row>
    <row r="3" spans="1:17" ht="15.75" x14ac:dyDescent="0.2">
      <c r="A3" s="354"/>
      <c r="B3" s="357" t="s">
        <v>663</v>
      </c>
      <c r="C3" s="357"/>
      <c r="D3" s="357"/>
      <c r="E3" s="357"/>
      <c r="F3" s="357"/>
      <c r="G3" s="357"/>
      <c r="H3" s="357"/>
      <c r="I3" s="357"/>
      <c r="J3" s="357"/>
      <c r="K3" s="357"/>
      <c r="L3" s="357"/>
      <c r="M3" s="357"/>
      <c r="N3" s="357"/>
      <c r="O3" s="357"/>
    </row>
    <row r="4" spans="1:17" ht="14.25" x14ac:dyDescent="0.2">
      <c r="A4" s="354"/>
      <c r="B4" s="358" t="s">
        <v>71</v>
      </c>
      <c r="C4" s="358"/>
      <c r="D4" s="358"/>
      <c r="E4" s="358"/>
      <c r="F4" s="358"/>
      <c r="G4" s="358"/>
      <c r="H4" s="358"/>
      <c r="I4" s="358"/>
      <c r="J4" s="358"/>
      <c r="K4" s="358"/>
      <c r="L4" s="358"/>
      <c r="M4" s="358"/>
      <c r="N4" s="358"/>
      <c r="O4" s="358"/>
    </row>
    <row r="5" spans="1:17" ht="14.25" x14ac:dyDescent="0.2">
      <c r="A5" s="354"/>
      <c r="B5" s="358" t="s">
        <v>70</v>
      </c>
      <c r="C5" s="358"/>
      <c r="D5" s="358"/>
      <c r="E5" s="358"/>
      <c r="F5" s="358"/>
      <c r="G5" s="358"/>
      <c r="H5" s="358"/>
      <c r="I5" s="358"/>
      <c r="J5" s="358"/>
      <c r="K5" s="358"/>
      <c r="L5" s="358"/>
      <c r="M5" s="358"/>
      <c r="N5" s="358"/>
      <c r="O5" s="358"/>
    </row>
    <row r="6" spans="1:17" ht="46.5" customHeight="1" x14ac:dyDescent="0.2">
      <c r="A6" s="354"/>
      <c r="B6" s="191" t="s">
        <v>1</v>
      </c>
      <c r="C6" s="195" t="s">
        <v>2</v>
      </c>
      <c r="D6" s="3" t="s">
        <v>3</v>
      </c>
      <c r="E6" s="3" t="s">
        <v>4</v>
      </c>
      <c r="F6" s="3" t="s">
        <v>5</v>
      </c>
      <c r="G6" s="3" t="s">
        <v>6</v>
      </c>
      <c r="H6" s="4" t="s">
        <v>7</v>
      </c>
      <c r="I6" s="5" t="s">
        <v>8</v>
      </c>
      <c r="J6" s="3" t="s">
        <v>9</v>
      </c>
      <c r="K6" s="3" t="s">
        <v>10</v>
      </c>
      <c r="L6" s="3" t="s">
        <v>525</v>
      </c>
      <c r="M6" s="194" t="s">
        <v>526</v>
      </c>
      <c r="N6" s="175" t="s">
        <v>11</v>
      </c>
      <c r="O6" s="3" t="s">
        <v>12</v>
      </c>
    </row>
    <row r="7" spans="1:17" ht="15.75" x14ac:dyDescent="0.2">
      <c r="A7" s="332" t="s">
        <v>835</v>
      </c>
      <c r="B7" s="333"/>
      <c r="C7" s="333"/>
      <c r="D7" s="333"/>
      <c r="E7" s="333"/>
      <c r="F7" s="333"/>
      <c r="G7" s="333"/>
      <c r="H7" s="333"/>
      <c r="I7" s="333"/>
      <c r="J7" s="333"/>
      <c r="K7" s="333"/>
      <c r="L7" s="333"/>
      <c r="M7" s="333"/>
      <c r="N7" s="333"/>
      <c r="O7" s="334"/>
    </row>
    <row r="8" spans="1:17" ht="51" x14ac:dyDescent="0.2">
      <c r="A8" s="335">
        <v>1</v>
      </c>
      <c r="B8" s="202" t="s">
        <v>833</v>
      </c>
      <c r="C8" s="202" t="s">
        <v>52</v>
      </c>
      <c r="D8" s="80" t="s">
        <v>834</v>
      </c>
      <c r="E8" s="81">
        <v>100</v>
      </c>
      <c r="F8" s="82" t="s">
        <v>17</v>
      </c>
      <c r="G8" s="84" t="s">
        <v>17</v>
      </c>
      <c r="H8" s="84">
        <f>54600*117/100</f>
        <v>63882</v>
      </c>
      <c r="I8" s="84">
        <f>H8</f>
        <v>63882</v>
      </c>
      <c r="J8" s="80"/>
      <c r="K8" s="193" t="s">
        <v>802</v>
      </c>
      <c r="L8" s="193" t="s">
        <v>1007</v>
      </c>
      <c r="M8" s="201"/>
      <c r="N8" s="199" t="s">
        <v>22</v>
      </c>
      <c r="O8" s="200"/>
      <c r="P8" s="13"/>
      <c r="Q8" s="14"/>
    </row>
    <row r="9" spans="1:17" ht="15" customHeight="1" x14ac:dyDescent="0.2">
      <c r="A9" s="336"/>
      <c r="B9" s="337" t="s">
        <v>836</v>
      </c>
      <c r="C9" s="338"/>
      <c r="D9" s="338"/>
      <c r="E9" s="338"/>
      <c r="F9" s="338"/>
      <c r="G9" s="338"/>
      <c r="H9" s="338"/>
      <c r="I9" s="338"/>
      <c r="J9" s="338"/>
      <c r="K9" s="338"/>
      <c r="L9" s="338"/>
      <c r="M9" s="338"/>
      <c r="N9" s="338"/>
      <c r="O9" s="339"/>
    </row>
    <row r="10" spans="1:17" ht="15.75" x14ac:dyDescent="0.2">
      <c r="A10" s="332" t="s">
        <v>868</v>
      </c>
      <c r="B10" s="333"/>
      <c r="C10" s="333"/>
      <c r="D10" s="333"/>
      <c r="E10" s="333"/>
      <c r="F10" s="333"/>
      <c r="G10" s="333"/>
      <c r="H10" s="333"/>
      <c r="I10" s="333"/>
      <c r="J10" s="333"/>
      <c r="K10" s="333"/>
      <c r="L10" s="333"/>
      <c r="M10" s="333"/>
      <c r="N10" s="333"/>
      <c r="O10" s="334"/>
    </row>
    <row r="11" spans="1:17" ht="25.5" customHeight="1" x14ac:dyDescent="0.2">
      <c r="A11" s="359">
        <v>2</v>
      </c>
      <c r="B11" s="362" t="s">
        <v>837</v>
      </c>
      <c r="C11" s="362" t="s">
        <v>413</v>
      </c>
      <c r="D11" s="16" t="s">
        <v>838</v>
      </c>
      <c r="E11" s="17">
        <v>100</v>
      </c>
      <c r="F11" s="18" t="s">
        <v>17</v>
      </c>
      <c r="G11" s="213" t="s">
        <v>17</v>
      </c>
      <c r="H11" s="27">
        <f>104605*117/100</f>
        <v>122387.85</v>
      </c>
      <c r="I11" s="27">
        <f>H11</f>
        <v>122387.85</v>
      </c>
      <c r="J11" s="16" t="s">
        <v>14</v>
      </c>
      <c r="K11" s="344" t="s">
        <v>18</v>
      </c>
      <c r="L11" s="344" t="s">
        <v>529</v>
      </c>
      <c r="M11" s="379">
        <f>I11</f>
        <v>122387.85</v>
      </c>
      <c r="N11" s="348" t="s">
        <v>22</v>
      </c>
      <c r="O11" s="386">
        <v>2230022953</v>
      </c>
    </row>
    <row r="12" spans="1:17" ht="25.5" x14ac:dyDescent="0.2">
      <c r="A12" s="360"/>
      <c r="B12" s="363"/>
      <c r="C12" s="363"/>
      <c r="D12" s="23" t="s">
        <v>839</v>
      </c>
      <c r="E12" s="32">
        <v>91</v>
      </c>
      <c r="F12" s="15" t="s">
        <v>17</v>
      </c>
      <c r="G12" s="170" t="s">
        <v>17</v>
      </c>
      <c r="H12" s="15">
        <f>120705*117/100</f>
        <v>141224.85</v>
      </c>
      <c r="I12" s="15">
        <f t="shared" ref="I12:I15" si="0">H12</f>
        <v>141224.85</v>
      </c>
      <c r="J12" s="23" t="s">
        <v>14</v>
      </c>
      <c r="K12" s="365"/>
      <c r="L12" s="365"/>
      <c r="M12" s="380"/>
      <c r="N12" s="369"/>
      <c r="O12" s="387"/>
    </row>
    <row r="13" spans="1:17" ht="38.25" x14ac:dyDescent="0.2">
      <c r="A13" s="360"/>
      <c r="B13" s="363"/>
      <c r="C13" s="363"/>
      <c r="D13" s="35" t="s">
        <v>840</v>
      </c>
      <c r="E13" s="36">
        <v>88</v>
      </c>
      <c r="F13" s="171" t="s">
        <v>17</v>
      </c>
      <c r="G13" s="170" t="s">
        <v>17</v>
      </c>
      <c r="H13" s="15">
        <f>126620*117/100</f>
        <v>148145.4</v>
      </c>
      <c r="I13" s="15">
        <f t="shared" si="0"/>
        <v>148145.4</v>
      </c>
      <c r="J13" s="196" t="s">
        <v>14</v>
      </c>
      <c r="K13" s="365"/>
      <c r="L13" s="365"/>
      <c r="M13" s="380"/>
      <c r="N13" s="369"/>
      <c r="O13" s="387"/>
    </row>
    <row r="14" spans="1:17" ht="14.25" x14ac:dyDescent="0.2">
      <c r="A14" s="360"/>
      <c r="B14" s="363"/>
      <c r="C14" s="363"/>
      <c r="D14" s="35" t="s">
        <v>841</v>
      </c>
      <c r="E14" s="36">
        <v>86</v>
      </c>
      <c r="F14" s="171" t="s">
        <v>17</v>
      </c>
      <c r="G14" s="170" t="s">
        <v>17</v>
      </c>
      <c r="H14" s="15">
        <f>130010*117/100</f>
        <v>152111.70000000001</v>
      </c>
      <c r="I14" s="15">
        <f t="shared" si="0"/>
        <v>152111.70000000001</v>
      </c>
      <c r="J14" s="196" t="s">
        <v>14</v>
      </c>
      <c r="K14" s="365"/>
      <c r="L14" s="365"/>
      <c r="M14" s="380"/>
      <c r="N14" s="369"/>
      <c r="O14" s="387"/>
    </row>
    <row r="15" spans="1:17" ht="38.25" x14ac:dyDescent="0.2">
      <c r="A15" s="360"/>
      <c r="B15" s="364"/>
      <c r="C15" s="364"/>
      <c r="D15" s="35" t="s">
        <v>842</v>
      </c>
      <c r="E15" s="36">
        <v>77</v>
      </c>
      <c r="F15" s="171" t="s">
        <v>17</v>
      </c>
      <c r="G15" s="170" t="s">
        <v>17</v>
      </c>
      <c r="H15" s="15">
        <f>157235*117/100</f>
        <v>183964.95</v>
      </c>
      <c r="I15" s="15">
        <f t="shared" si="0"/>
        <v>183964.95</v>
      </c>
      <c r="J15" s="196" t="s">
        <v>14</v>
      </c>
      <c r="K15" s="345"/>
      <c r="L15" s="345"/>
      <c r="M15" s="382"/>
      <c r="N15" s="349"/>
      <c r="O15" s="388"/>
    </row>
    <row r="16" spans="1:17" ht="14.25" customHeight="1" x14ac:dyDescent="0.2">
      <c r="A16" s="361"/>
      <c r="B16" s="383"/>
      <c r="C16" s="384"/>
      <c r="D16" s="384"/>
      <c r="E16" s="384"/>
      <c r="F16" s="384"/>
      <c r="G16" s="384"/>
      <c r="H16" s="384"/>
      <c r="I16" s="384"/>
      <c r="J16" s="384"/>
      <c r="K16" s="384"/>
      <c r="L16" s="384"/>
      <c r="M16" s="384"/>
      <c r="N16" s="384"/>
      <c r="O16" s="385"/>
    </row>
    <row r="17" spans="1:15" ht="15.75" x14ac:dyDescent="0.2">
      <c r="A17" s="332" t="s">
        <v>869</v>
      </c>
      <c r="B17" s="333"/>
      <c r="C17" s="333"/>
      <c r="D17" s="333"/>
      <c r="E17" s="333"/>
      <c r="F17" s="333"/>
      <c r="G17" s="333"/>
      <c r="H17" s="333"/>
      <c r="I17" s="333"/>
      <c r="J17" s="333"/>
      <c r="K17" s="333"/>
      <c r="L17" s="333"/>
      <c r="M17" s="333"/>
      <c r="N17" s="333"/>
      <c r="O17" s="334"/>
    </row>
    <row r="18" spans="1:15" ht="25.5" customHeight="1" x14ac:dyDescent="0.2">
      <c r="A18" s="359">
        <v>3</v>
      </c>
      <c r="B18" s="362" t="s">
        <v>843</v>
      </c>
      <c r="C18" s="362" t="s">
        <v>286</v>
      </c>
      <c r="D18" s="42" t="s">
        <v>844</v>
      </c>
      <c r="E18" s="43">
        <v>100</v>
      </c>
      <c r="F18" s="44" t="s">
        <v>17</v>
      </c>
      <c r="G18" s="44" t="s">
        <v>17</v>
      </c>
      <c r="H18" s="44">
        <f>38921*117/100</f>
        <v>45537.57</v>
      </c>
      <c r="I18" s="44">
        <f>H18</f>
        <v>45537.57</v>
      </c>
      <c r="J18" s="42"/>
      <c r="K18" s="344" t="s">
        <v>258</v>
      </c>
      <c r="L18" s="344"/>
      <c r="M18" s="379"/>
      <c r="N18" s="348" t="s">
        <v>22</v>
      </c>
      <c r="O18" s="386"/>
    </row>
    <row r="19" spans="1:15" ht="51" x14ac:dyDescent="0.2">
      <c r="A19" s="360"/>
      <c r="B19" s="363"/>
      <c r="C19" s="363"/>
      <c r="D19" s="23" t="s">
        <v>847</v>
      </c>
      <c r="E19" s="32">
        <v>99</v>
      </c>
      <c r="F19" s="15" t="s">
        <v>17</v>
      </c>
      <c r="G19" s="170" t="s">
        <v>17</v>
      </c>
      <c r="H19" s="15">
        <f>39260*117/100</f>
        <v>45934.2</v>
      </c>
      <c r="I19" s="15">
        <f>H19</f>
        <v>45934.2</v>
      </c>
      <c r="J19" s="23" t="s">
        <v>14</v>
      </c>
      <c r="K19" s="365"/>
      <c r="L19" s="365"/>
      <c r="M19" s="380"/>
      <c r="N19" s="369"/>
      <c r="O19" s="387"/>
    </row>
    <row r="20" spans="1:15" ht="63.75" x14ac:dyDescent="0.2">
      <c r="A20" s="360"/>
      <c r="B20" s="364"/>
      <c r="C20" s="364"/>
      <c r="D20" s="35" t="s">
        <v>846</v>
      </c>
      <c r="E20" s="36">
        <v>65</v>
      </c>
      <c r="F20" s="171" t="s">
        <v>17</v>
      </c>
      <c r="G20" s="170" t="s">
        <v>17</v>
      </c>
      <c r="H20" s="15">
        <f>78180*117/100</f>
        <v>91470.6</v>
      </c>
      <c r="I20" s="15">
        <f>H20</f>
        <v>91470.6</v>
      </c>
      <c r="J20" s="196" t="s">
        <v>14</v>
      </c>
      <c r="K20" s="345"/>
      <c r="L20" s="345"/>
      <c r="M20" s="382"/>
      <c r="N20" s="349"/>
      <c r="O20" s="388"/>
    </row>
    <row r="21" spans="1:15" ht="14.25" customHeight="1" x14ac:dyDescent="0.2">
      <c r="A21" s="361"/>
      <c r="B21" s="406" t="s">
        <v>845</v>
      </c>
      <c r="C21" s="407"/>
      <c r="D21" s="407"/>
      <c r="E21" s="407"/>
      <c r="F21" s="407"/>
      <c r="G21" s="407"/>
      <c r="H21" s="407"/>
      <c r="I21" s="407"/>
      <c r="J21" s="407"/>
      <c r="K21" s="407"/>
      <c r="L21" s="407"/>
      <c r="M21" s="407"/>
      <c r="N21" s="407"/>
      <c r="O21" s="408"/>
    </row>
    <row r="22" spans="1:15" ht="15.75" x14ac:dyDescent="0.2">
      <c r="A22" s="332" t="s">
        <v>870</v>
      </c>
      <c r="B22" s="333"/>
      <c r="C22" s="333"/>
      <c r="D22" s="333"/>
      <c r="E22" s="333"/>
      <c r="F22" s="333"/>
      <c r="G22" s="333"/>
      <c r="H22" s="333"/>
      <c r="I22" s="333"/>
      <c r="J22" s="333"/>
      <c r="K22" s="333"/>
      <c r="L22" s="333"/>
      <c r="M22" s="333"/>
      <c r="N22" s="333"/>
      <c r="O22" s="334"/>
    </row>
    <row r="23" spans="1:15" ht="25.5" customHeight="1" x14ac:dyDescent="0.2">
      <c r="A23" s="359">
        <v>4</v>
      </c>
      <c r="B23" s="362" t="s">
        <v>848</v>
      </c>
      <c r="C23" s="362" t="s">
        <v>286</v>
      </c>
      <c r="D23" s="42" t="s">
        <v>849</v>
      </c>
      <c r="E23" s="43">
        <v>100</v>
      </c>
      <c r="F23" s="44" t="s">
        <v>17</v>
      </c>
      <c r="G23" s="44" t="s">
        <v>17</v>
      </c>
      <c r="H23" s="44">
        <f>104977*117/100</f>
        <v>122823.09</v>
      </c>
      <c r="I23" s="44">
        <f>H23</f>
        <v>122823.09</v>
      </c>
      <c r="J23" s="42"/>
      <c r="K23" s="344" t="s">
        <v>258</v>
      </c>
      <c r="L23" s="344"/>
      <c r="M23" s="379"/>
      <c r="N23" s="348" t="s">
        <v>22</v>
      </c>
      <c r="O23" s="386"/>
    </row>
    <row r="24" spans="1:15" ht="14.25" x14ac:dyDescent="0.2">
      <c r="A24" s="360"/>
      <c r="B24" s="363"/>
      <c r="C24" s="363"/>
      <c r="D24" s="23" t="s">
        <v>850</v>
      </c>
      <c r="E24" s="32">
        <v>68</v>
      </c>
      <c r="F24" s="15" t="s">
        <v>17</v>
      </c>
      <c r="G24" s="170" t="s">
        <v>17</v>
      </c>
      <c r="H24" s="15">
        <f>195000*117/100</f>
        <v>228150</v>
      </c>
      <c r="I24" s="15">
        <f>H24</f>
        <v>228150</v>
      </c>
      <c r="J24" s="23" t="s">
        <v>14</v>
      </c>
      <c r="K24" s="365"/>
      <c r="L24" s="365"/>
      <c r="M24" s="380"/>
      <c r="N24" s="369"/>
      <c r="O24" s="387"/>
    </row>
    <row r="25" spans="1:15" ht="14.25" x14ac:dyDescent="0.2">
      <c r="A25" s="360"/>
      <c r="B25" s="364"/>
      <c r="C25" s="364"/>
      <c r="D25" s="35" t="s">
        <v>617</v>
      </c>
      <c r="E25" s="36">
        <v>67</v>
      </c>
      <c r="F25" s="171" t="s">
        <v>17</v>
      </c>
      <c r="G25" s="170" t="s">
        <v>17</v>
      </c>
      <c r="H25" s="15">
        <f>200000*117/100</f>
        <v>234000</v>
      </c>
      <c r="I25" s="15">
        <f>H25</f>
        <v>234000</v>
      </c>
      <c r="J25" s="196" t="s">
        <v>14</v>
      </c>
      <c r="K25" s="345"/>
      <c r="L25" s="345"/>
      <c r="M25" s="382"/>
      <c r="N25" s="349"/>
      <c r="O25" s="388"/>
    </row>
    <row r="26" spans="1:15" ht="14.25" customHeight="1" x14ac:dyDescent="0.2">
      <c r="A26" s="361"/>
      <c r="B26" s="406" t="s">
        <v>845</v>
      </c>
      <c r="C26" s="407"/>
      <c r="D26" s="407"/>
      <c r="E26" s="407"/>
      <c r="F26" s="407"/>
      <c r="G26" s="407"/>
      <c r="H26" s="407"/>
      <c r="I26" s="407"/>
      <c r="J26" s="407"/>
      <c r="K26" s="407"/>
      <c r="L26" s="407"/>
      <c r="M26" s="407"/>
      <c r="N26" s="407"/>
      <c r="O26" s="408"/>
    </row>
    <row r="27" spans="1:15" ht="15.75" x14ac:dyDescent="0.2">
      <c r="A27" s="332" t="s">
        <v>871</v>
      </c>
      <c r="B27" s="333"/>
      <c r="C27" s="333"/>
      <c r="D27" s="333"/>
      <c r="E27" s="333"/>
      <c r="F27" s="333"/>
      <c r="G27" s="333"/>
      <c r="H27" s="333"/>
      <c r="I27" s="333"/>
      <c r="J27" s="333"/>
      <c r="K27" s="333"/>
      <c r="L27" s="333"/>
      <c r="M27" s="333"/>
      <c r="N27" s="333"/>
      <c r="O27" s="334"/>
    </row>
    <row r="28" spans="1:15" ht="25.5" customHeight="1" x14ac:dyDescent="0.2">
      <c r="A28" s="359">
        <v>5</v>
      </c>
      <c r="B28" s="362" t="s">
        <v>851</v>
      </c>
      <c r="C28" s="362" t="s">
        <v>287</v>
      </c>
      <c r="D28" s="16" t="s">
        <v>853</v>
      </c>
      <c r="E28" s="17">
        <v>100</v>
      </c>
      <c r="F28" s="18" t="s">
        <v>13</v>
      </c>
      <c r="G28" s="188" t="s">
        <v>290</v>
      </c>
      <c r="H28" s="21">
        <f>180*117/100</f>
        <v>210.6</v>
      </c>
      <c r="I28" s="21">
        <f>H28*700</f>
        <v>147420</v>
      </c>
      <c r="J28" s="16" t="s">
        <v>14</v>
      </c>
      <c r="K28" s="344" t="s">
        <v>18</v>
      </c>
      <c r="L28" s="344" t="s">
        <v>529</v>
      </c>
      <c r="M28" s="379">
        <f>I28</f>
        <v>147420</v>
      </c>
      <c r="N28" s="348" t="s">
        <v>22</v>
      </c>
      <c r="O28" s="409" t="s">
        <v>852</v>
      </c>
    </row>
    <row r="29" spans="1:15" ht="38.25" x14ac:dyDescent="0.2">
      <c r="A29" s="360"/>
      <c r="B29" s="363"/>
      <c r="C29" s="363"/>
      <c r="D29" s="23" t="s">
        <v>289</v>
      </c>
      <c r="E29" s="32">
        <v>85</v>
      </c>
      <c r="F29" s="15" t="s">
        <v>13</v>
      </c>
      <c r="G29" s="170" t="s">
        <v>290</v>
      </c>
      <c r="H29" s="15">
        <f>230*117/100</f>
        <v>269.10000000000002</v>
      </c>
      <c r="I29" s="15">
        <f>H29*700</f>
        <v>188370.00000000003</v>
      </c>
      <c r="J29" s="23" t="s">
        <v>14</v>
      </c>
      <c r="K29" s="365"/>
      <c r="L29" s="365"/>
      <c r="M29" s="380"/>
      <c r="N29" s="369"/>
      <c r="O29" s="410"/>
    </row>
    <row r="30" spans="1:15" ht="38.25" x14ac:dyDescent="0.2">
      <c r="A30" s="360"/>
      <c r="B30" s="363"/>
      <c r="C30" s="363"/>
      <c r="D30" s="23" t="s">
        <v>854</v>
      </c>
      <c r="E30" s="32">
        <v>84</v>
      </c>
      <c r="F30" s="15" t="s">
        <v>13</v>
      </c>
      <c r="G30" s="170" t="s">
        <v>290</v>
      </c>
      <c r="H30" s="15">
        <f>209*117/100</f>
        <v>244.53</v>
      </c>
      <c r="I30" s="15">
        <f t="shared" ref="I30:I33" si="1">H30*700</f>
        <v>171171</v>
      </c>
      <c r="J30" s="23" t="s">
        <v>14</v>
      </c>
      <c r="K30" s="365"/>
      <c r="L30" s="365"/>
      <c r="M30" s="380"/>
      <c r="N30" s="369"/>
      <c r="O30" s="410"/>
    </row>
    <row r="31" spans="1:15" ht="25.5" x14ac:dyDescent="0.2">
      <c r="A31" s="360"/>
      <c r="B31" s="363"/>
      <c r="C31" s="363"/>
      <c r="D31" s="23" t="s">
        <v>291</v>
      </c>
      <c r="E31" s="32">
        <v>68</v>
      </c>
      <c r="F31" s="15" t="s">
        <v>13</v>
      </c>
      <c r="G31" s="170" t="s">
        <v>290</v>
      </c>
      <c r="H31" s="15">
        <f>328*117/100</f>
        <v>383.76</v>
      </c>
      <c r="I31" s="15">
        <f t="shared" si="1"/>
        <v>268632</v>
      </c>
      <c r="J31" s="23" t="s">
        <v>14</v>
      </c>
      <c r="K31" s="365"/>
      <c r="L31" s="365"/>
      <c r="M31" s="380"/>
      <c r="N31" s="369"/>
      <c r="O31" s="410"/>
    </row>
    <row r="32" spans="1:15" ht="25.5" x14ac:dyDescent="0.2">
      <c r="A32" s="360"/>
      <c r="B32" s="363"/>
      <c r="C32" s="363"/>
      <c r="D32" s="35" t="s">
        <v>292</v>
      </c>
      <c r="E32" s="36">
        <v>68</v>
      </c>
      <c r="F32" s="171" t="s">
        <v>13</v>
      </c>
      <c r="G32" s="170" t="s">
        <v>290</v>
      </c>
      <c r="H32" s="15">
        <f>332*117/100</f>
        <v>388.44</v>
      </c>
      <c r="I32" s="15">
        <f t="shared" si="1"/>
        <v>271908</v>
      </c>
      <c r="J32" s="196" t="s">
        <v>14</v>
      </c>
      <c r="K32" s="365"/>
      <c r="L32" s="365"/>
      <c r="M32" s="380"/>
      <c r="N32" s="369"/>
      <c r="O32" s="410"/>
    </row>
    <row r="33" spans="1:15" ht="25.5" x14ac:dyDescent="0.2">
      <c r="A33" s="360"/>
      <c r="B33" s="364"/>
      <c r="C33" s="364"/>
      <c r="D33" s="35" t="s">
        <v>293</v>
      </c>
      <c r="E33" s="36">
        <v>58</v>
      </c>
      <c r="F33" s="171" t="s">
        <v>13</v>
      </c>
      <c r="G33" s="170" t="s">
        <v>290</v>
      </c>
      <c r="H33" s="15">
        <f>480*117/100</f>
        <v>561.6</v>
      </c>
      <c r="I33" s="15">
        <f t="shared" si="1"/>
        <v>393120</v>
      </c>
      <c r="J33" s="196" t="s">
        <v>14</v>
      </c>
      <c r="K33" s="345"/>
      <c r="L33" s="345"/>
      <c r="M33" s="382"/>
      <c r="N33" s="349"/>
      <c r="O33" s="411"/>
    </row>
    <row r="34" spans="1:15" ht="14.25" customHeight="1" x14ac:dyDescent="0.2">
      <c r="A34" s="361"/>
      <c r="B34" s="383"/>
      <c r="C34" s="384"/>
      <c r="D34" s="384"/>
      <c r="E34" s="384"/>
      <c r="F34" s="384"/>
      <c r="G34" s="384"/>
      <c r="H34" s="384"/>
      <c r="I34" s="384"/>
      <c r="J34" s="384"/>
      <c r="K34" s="384"/>
      <c r="L34" s="384"/>
      <c r="M34" s="384"/>
      <c r="N34" s="384"/>
      <c r="O34" s="385"/>
    </row>
    <row r="35" spans="1:15" ht="15.75" x14ac:dyDescent="0.2">
      <c r="A35" s="332" t="s">
        <v>872</v>
      </c>
      <c r="B35" s="333"/>
      <c r="C35" s="333"/>
      <c r="D35" s="333"/>
      <c r="E35" s="333"/>
      <c r="F35" s="333"/>
      <c r="G35" s="333"/>
      <c r="H35" s="333"/>
      <c r="I35" s="333"/>
      <c r="J35" s="333"/>
      <c r="K35" s="333"/>
      <c r="L35" s="333"/>
      <c r="M35" s="333"/>
      <c r="N35" s="333"/>
      <c r="O35" s="334"/>
    </row>
    <row r="36" spans="1:15" ht="25.5" customHeight="1" x14ac:dyDescent="0.2">
      <c r="A36" s="359">
        <v>6</v>
      </c>
      <c r="B36" s="362" t="s">
        <v>855</v>
      </c>
      <c r="C36" s="362" t="s">
        <v>287</v>
      </c>
      <c r="D36" s="16" t="s">
        <v>858</v>
      </c>
      <c r="E36" s="17">
        <v>100</v>
      </c>
      <c r="F36" s="18" t="s">
        <v>17</v>
      </c>
      <c r="G36" s="188" t="s">
        <v>17</v>
      </c>
      <c r="H36" s="21">
        <f>9000*117/100</f>
        <v>10530</v>
      </c>
      <c r="I36" s="21">
        <f>H36</f>
        <v>10530</v>
      </c>
      <c r="J36" s="16" t="s">
        <v>14</v>
      </c>
      <c r="K36" s="344" t="s">
        <v>18</v>
      </c>
      <c r="L36" s="344" t="s">
        <v>529</v>
      </c>
      <c r="M36" s="379">
        <f>I36</f>
        <v>10530</v>
      </c>
      <c r="N36" s="348" t="s">
        <v>22</v>
      </c>
      <c r="O36" s="386">
        <v>283008</v>
      </c>
    </row>
    <row r="37" spans="1:15" ht="38.25" x14ac:dyDescent="0.2">
      <c r="A37" s="360"/>
      <c r="B37" s="363"/>
      <c r="C37" s="363"/>
      <c r="D37" s="23" t="s">
        <v>859</v>
      </c>
      <c r="E37" s="32">
        <v>87</v>
      </c>
      <c r="F37" s="15" t="s">
        <v>17</v>
      </c>
      <c r="G37" s="170" t="s">
        <v>17</v>
      </c>
      <c r="H37" s="15">
        <f>11000*117/100</f>
        <v>12870</v>
      </c>
      <c r="I37" s="15">
        <f>H37</f>
        <v>12870</v>
      </c>
      <c r="J37" s="23" t="s">
        <v>14</v>
      </c>
      <c r="K37" s="365"/>
      <c r="L37" s="365"/>
      <c r="M37" s="380"/>
      <c r="N37" s="369"/>
      <c r="O37" s="387"/>
    </row>
    <row r="38" spans="1:15" ht="38.25" x14ac:dyDescent="0.2">
      <c r="A38" s="360"/>
      <c r="B38" s="364"/>
      <c r="C38" s="364"/>
      <c r="D38" s="35" t="s">
        <v>860</v>
      </c>
      <c r="E38" s="36">
        <v>80</v>
      </c>
      <c r="F38" s="171" t="s">
        <v>17</v>
      </c>
      <c r="G38" s="170" t="s">
        <v>17</v>
      </c>
      <c r="H38" s="15">
        <f>12500*117/100</f>
        <v>14625</v>
      </c>
      <c r="I38" s="15">
        <f>H38</f>
        <v>14625</v>
      </c>
      <c r="J38" s="196" t="s">
        <v>14</v>
      </c>
      <c r="K38" s="345"/>
      <c r="L38" s="345"/>
      <c r="M38" s="382"/>
      <c r="N38" s="349"/>
      <c r="O38" s="388"/>
    </row>
    <row r="39" spans="1:15" ht="14.25" customHeight="1" x14ac:dyDescent="0.2">
      <c r="A39" s="361"/>
      <c r="B39" s="406" t="s">
        <v>861</v>
      </c>
      <c r="C39" s="407"/>
      <c r="D39" s="407"/>
      <c r="E39" s="407"/>
      <c r="F39" s="407"/>
      <c r="G39" s="407"/>
      <c r="H39" s="407"/>
      <c r="I39" s="407"/>
      <c r="J39" s="407"/>
      <c r="K39" s="407"/>
      <c r="L39" s="407"/>
      <c r="M39" s="407"/>
      <c r="N39" s="407"/>
      <c r="O39" s="408"/>
    </row>
    <row r="40" spans="1:15" ht="15.75" x14ac:dyDescent="0.2">
      <c r="A40" s="332" t="s">
        <v>873</v>
      </c>
      <c r="B40" s="333"/>
      <c r="C40" s="333"/>
      <c r="D40" s="333"/>
      <c r="E40" s="333"/>
      <c r="F40" s="333"/>
      <c r="G40" s="333"/>
      <c r="H40" s="333"/>
      <c r="I40" s="333"/>
      <c r="J40" s="333"/>
      <c r="K40" s="333"/>
      <c r="L40" s="333"/>
      <c r="M40" s="333"/>
      <c r="N40" s="333"/>
      <c r="O40" s="334"/>
    </row>
    <row r="41" spans="1:15" ht="14.25" x14ac:dyDescent="0.2">
      <c r="A41" s="335">
        <v>7</v>
      </c>
      <c r="B41" s="342" t="s">
        <v>862</v>
      </c>
      <c r="C41" s="342" t="s">
        <v>863</v>
      </c>
      <c r="D41" s="16" t="s">
        <v>39</v>
      </c>
      <c r="E41" s="17">
        <v>100</v>
      </c>
      <c r="F41" s="18" t="s">
        <v>17</v>
      </c>
      <c r="G41" s="18" t="s">
        <v>17</v>
      </c>
      <c r="H41" s="18">
        <f>8000*117/100</f>
        <v>9360</v>
      </c>
      <c r="I41" s="21">
        <f>H41</f>
        <v>9360</v>
      </c>
      <c r="J41" s="16" t="s">
        <v>14</v>
      </c>
      <c r="K41" s="344" t="s">
        <v>18</v>
      </c>
      <c r="L41" s="344" t="s">
        <v>529</v>
      </c>
      <c r="M41" s="397">
        <f>I41</f>
        <v>9360</v>
      </c>
      <c r="N41" s="400" t="s">
        <v>22</v>
      </c>
      <c r="O41" s="350">
        <v>283008</v>
      </c>
    </row>
    <row r="42" spans="1:15" ht="25.5" x14ac:dyDescent="0.2">
      <c r="A42" s="340"/>
      <c r="B42" s="373"/>
      <c r="C42" s="373"/>
      <c r="D42" s="207" t="s">
        <v>329</v>
      </c>
      <c r="E42" s="7">
        <v>96</v>
      </c>
      <c r="F42" s="8" t="s">
        <v>17</v>
      </c>
      <c r="G42" s="8" t="s">
        <v>17</v>
      </c>
      <c r="H42" s="8">
        <f>8500*117/100</f>
        <v>9945</v>
      </c>
      <c r="I42" s="8">
        <f>H42</f>
        <v>9945</v>
      </c>
      <c r="J42" s="207" t="s">
        <v>14</v>
      </c>
      <c r="K42" s="365"/>
      <c r="L42" s="365"/>
      <c r="M42" s="398"/>
      <c r="N42" s="401"/>
      <c r="O42" s="378"/>
    </row>
    <row r="43" spans="1:15" ht="25.5" x14ac:dyDescent="0.2">
      <c r="A43" s="340"/>
      <c r="B43" s="373"/>
      <c r="C43" s="373"/>
      <c r="D43" s="207" t="s">
        <v>864</v>
      </c>
      <c r="E43" s="7">
        <v>89</v>
      </c>
      <c r="F43" s="8" t="s">
        <v>17</v>
      </c>
      <c r="G43" s="8" t="s">
        <v>17</v>
      </c>
      <c r="H43" s="8">
        <f>9500*117/100</f>
        <v>11115</v>
      </c>
      <c r="I43" s="8">
        <f>H43</f>
        <v>11115</v>
      </c>
      <c r="J43" s="207" t="s">
        <v>14</v>
      </c>
      <c r="K43" s="365"/>
      <c r="L43" s="365"/>
      <c r="M43" s="398"/>
      <c r="N43" s="401"/>
      <c r="O43" s="378"/>
    </row>
    <row r="44" spans="1:15" ht="25.5" x14ac:dyDescent="0.2">
      <c r="A44" s="340"/>
      <c r="B44" s="343"/>
      <c r="C44" s="343"/>
      <c r="D44" s="192" t="s">
        <v>722</v>
      </c>
      <c r="E44" s="7">
        <v>73</v>
      </c>
      <c r="F44" s="8" t="s">
        <v>17</v>
      </c>
      <c r="G44" s="8" t="s">
        <v>17</v>
      </c>
      <c r="H44" s="8">
        <f>13000*117/100</f>
        <v>15210</v>
      </c>
      <c r="I44" s="8">
        <f>H44</f>
        <v>15210</v>
      </c>
      <c r="J44" s="192" t="s">
        <v>14</v>
      </c>
      <c r="K44" s="345"/>
      <c r="L44" s="345"/>
      <c r="M44" s="399"/>
      <c r="N44" s="402"/>
      <c r="O44" s="351"/>
    </row>
    <row r="45" spans="1:15" ht="13.9" customHeight="1" x14ac:dyDescent="0.2">
      <c r="A45" s="336"/>
      <c r="B45" s="337"/>
      <c r="C45" s="338"/>
      <c r="D45" s="338"/>
      <c r="E45" s="338"/>
      <c r="F45" s="338"/>
      <c r="G45" s="338"/>
      <c r="H45" s="338"/>
      <c r="I45" s="338"/>
      <c r="J45" s="338"/>
      <c r="K45" s="338"/>
      <c r="L45" s="338"/>
      <c r="M45" s="338"/>
      <c r="N45" s="338"/>
      <c r="O45" s="339"/>
    </row>
    <row r="46" spans="1:15" ht="15.75" x14ac:dyDescent="0.2">
      <c r="A46" s="332" t="s">
        <v>874</v>
      </c>
      <c r="B46" s="333"/>
      <c r="C46" s="333"/>
      <c r="D46" s="333"/>
      <c r="E46" s="333"/>
      <c r="F46" s="333"/>
      <c r="G46" s="333"/>
      <c r="H46" s="333"/>
      <c r="I46" s="333"/>
      <c r="J46" s="333"/>
      <c r="K46" s="333"/>
      <c r="L46" s="333"/>
      <c r="M46" s="333"/>
      <c r="N46" s="333"/>
      <c r="O46" s="334"/>
    </row>
    <row r="47" spans="1:15" ht="14.25" x14ac:dyDescent="0.2">
      <c r="A47" s="335">
        <v>8</v>
      </c>
      <c r="B47" s="342" t="s">
        <v>865</v>
      </c>
      <c r="C47" s="342" t="s">
        <v>287</v>
      </c>
      <c r="D47" s="19" t="s">
        <v>40</v>
      </c>
      <c r="E47" s="20">
        <v>100</v>
      </c>
      <c r="F47" s="21" t="s">
        <v>17</v>
      </c>
      <c r="G47" s="21" t="s">
        <v>17</v>
      </c>
      <c r="H47" s="18">
        <f>26500*117/100</f>
        <v>31005</v>
      </c>
      <c r="I47" s="21">
        <f>H47</f>
        <v>31005</v>
      </c>
      <c r="J47" s="19" t="s">
        <v>14</v>
      </c>
      <c r="K47" s="344" t="s">
        <v>18</v>
      </c>
      <c r="L47" s="344" t="s">
        <v>529</v>
      </c>
      <c r="M47" s="397">
        <f>I47</f>
        <v>31005</v>
      </c>
      <c r="N47" s="348" t="s">
        <v>22</v>
      </c>
      <c r="O47" s="350">
        <v>283008</v>
      </c>
    </row>
    <row r="48" spans="1:15" ht="14.25" x14ac:dyDescent="0.2">
      <c r="A48" s="340"/>
      <c r="B48" s="373"/>
      <c r="C48" s="373"/>
      <c r="D48" s="23" t="s">
        <v>866</v>
      </c>
      <c r="E48" s="32">
        <v>96</v>
      </c>
      <c r="F48" s="8" t="s">
        <v>17</v>
      </c>
      <c r="G48" s="8" t="s">
        <v>17</v>
      </c>
      <c r="H48" s="8">
        <f>28000*117/100</f>
        <v>32760</v>
      </c>
      <c r="I48" s="15">
        <f t="shared" ref="I48:I51" si="2">H48</f>
        <v>32760</v>
      </c>
      <c r="J48" s="23" t="s">
        <v>14</v>
      </c>
      <c r="K48" s="365"/>
      <c r="L48" s="365"/>
      <c r="M48" s="398"/>
      <c r="N48" s="369"/>
      <c r="O48" s="378"/>
    </row>
    <row r="49" spans="1:17" ht="25.5" x14ac:dyDescent="0.2">
      <c r="A49" s="340"/>
      <c r="B49" s="373"/>
      <c r="C49" s="373"/>
      <c r="D49" s="23" t="s">
        <v>581</v>
      </c>
      <c r="E49" s="32">
        <v>92</v>
      </c>
      <c r="F49" s="8" t="s">
        <v>17</v>
      </c>
      <c r="G49" s="8" t="s">
        <v>17</v>
      </c>
      <c r="H49" s="8">
        <f>30000*117/100</f>
        <v>35100</v>
      </c>
      <c r="I49" s="15">
        <f t="shared" si="2"/>
        <v>35100</v>
      </c>
      <c r="J49" s="23" t="s">
        <v>14</v>
      </c>
      <c r="K49" s="365"/>
      <c r="L49" s="365"/>
      <c r="M49" s="398"/>
      <c r="N49" s="369"/>
      <c r="O49" s="378"/>
    </row>
    <row r="50" spans="1:17" ht="25.5" x14ac:dyDescent="0.2">
      <c r="A50" s="340"/>
      <c r="B50" s="373"/>
      <c r="C50" s="373"/>
      <c r="D50" s="23" t="s">
        <v>867</v>
      </c>
      <c r="E50" s="32">
        <v>80</v>
      </c>
      <c r="F50" s="8" t="s">
        <v>17</v>
      </c>
      <c r="G50" s="8" t="s">
        <v>17</v>
      </c>
      <c r="H50" s="8">
        <f>37000*117/100</f>
        <v>43290</v>
      </c>
      <c r="I50" s="15">
        <f t="shared" si="2"/>
        <v>43290</v>
      </c>
      <c r="J50" s="23" t="s">
        <v>14</v>
      </c>
      <c r="K50" s="365"/>
      <c r="L50" s="365"/>
      <c r="M50" s="398"/>
      <c r="N50" s="369"/>
      <c r="O50" s="378"/>
    </row>
    <row r="51" spans="1:17" ht="25.5" x14ac:dyDescent="0.2">
      <c r="A51" s="340"/>
      <c r="B51" s="343"/>
      <c r="C51" s="343"/>
      <c r="D51" s="23" t="s">
        <v>738</v>
      </c>
      <c r="E51" s="32">
        <v>74</v>
      </c>
      <c r="F51" s="8" t="s">
        <v>17</v>
      </c>
      <c r="G51" s="8" t="s">
        <v>17</v>
      </c>
      <c r="H51" s="8">
        <f>42000*117/100</f>
        <v>49140</v>
      </c>
      <c r="I51" s="15">
        <f t="shared" si="2"/>
        <v>49140</v>
      </c>
      <c r="J51" s="23" t="s">
        <v>14</v>
      </c>
      <c r="K51" s="345"/>
      <c r="L51" s="345"/>
      <c r="M51" s="399"/>
      <c r="N51" s="349"/>
      <c r="O51" s="351"/>
    </row>
    <row r="52" spans="1:17" ht="14.25" x14ac:dyDescent="0.2">
      <c r="A52" s="336"/>
      <c r="B52" s="337"/>
      <c r="C52" s="338"/>
      <c r="D52" s="338"/>
      <c r="E52" s="338"/>
      <c r="F52" s="338"/>
      <c r="G52" s="338"/>
      <c r="H52" s="338"/>
      <c r="I52" s="338"/>
      <c r="J52" s="338"/>
      <c r="K52" s="338"/>
      <c r="L52" s="338"/>
      <c r="M52" s="338"/>
      <c r="N52" s="338"/>
      <c r="O52" s="339"/>
    </row>
    <row r="53" spans="1:17" ht="15.75" x14ac:dyDescent="0.2">
      <c r="A53" s="332" t="s">
        <v>875</v>
      </c>
      <c r="B53" s="333"/>
      <c r="C53" s="333"/>
      <c r="D53" s="333"/>
      <c r="E53" s="333"/>
      <c r="F53" s="333"/>
      <c r="G53" s="333"/>
      <c r="H53" s="333"/>
      <c r="I53" s="333"/>
      <c r="J53" s="333"/>
      <c r="K53" s="333"/>
      <c r="L53" s="333"/>
      <c r="M53" s="333"/>
      <c r="N53" s="333"/>
      <c r="O53" s="334"/>
    </row>
    <row r="54" spans="1:17" ht="26.45" customHeight="1" x14ac:dyDescent="0.2">
      <c r="A54" s="335">
        <v>9</v>
      </c>
      <c r="B54" s="342" t="s">
        <v>876</v>
      </c>
      <c r="C54" s="342" t="s">
        <v>287</v>
      </c>
      <c r="D54" s="19" t="s">
        <v>303</v>
      </c>
      <c r="E54" s="20">
        <v>100</v>
      </c>
      <c r="F54" s="21" t="s">
        <v>17</v>
      </c>
      <c r="G54" s="21" t="s">
        <v>17</v>
      </c>
      <c r="H54" s="77">
        <f>12000*117/100</f>
        <v>14040</v>
      </c>
      <c r="I54" s="21">
        <f>H54</f>
        <v>14040</v>
      </c>
      <c r="J54" s="19" t="s">
        <v>14</v>
      </c>
      <c r="K54" s="374" t="s">
        <v>18</v>
      </c>
      <c r="L54" s="344" t="s">
        <v>529</v>
      </c>
      <c r="M54" s="376">
        <f>I54</f>
        <v>14040</v>
      </c>
      <c r="N54" s="348" t="s">
        <v>22</v>
      </c>
      <c r="O54" s="350">
        <v>283008</v>
      </c>
      <c r="P54" s="13"/>
      <c r="Q54" s="14"/>
    </row>
    <row r="55" spans="1:17" x14ac:dyDescent="0.2">
      <c r="A55" s="340"/>
      <c r="B55" s="373"/>
      <c r="C55" s="373"/>
      <c r="D55" s="192" t="s">
        <v>127</v>
      </c>
      <c r="E55" s="7">
        <v>54</v>
      </c>
      <c r="F55" s="8" t="s">
        <v>17</v>
      </c>
      <c r="G55" s="8" t="s">
        <v>17</v>
      </c>
      <c r="H55" s="8">
        <f>35000*117/100</f>
        <v>40950</v>
      </c>
      <c r="I55" s="8">
        <f t="shared" ref="I55" si="3">H55</f>
        <v>40950</v>
      </c>
      <c r="J55" s="192" t="s">
        <v>14</v>
      </c>
      <c r="K55" s="375"/>
      <c r="L55" s="365"/>
      <c r="M55" s="377"/>
      <c r="N55" s="369"/>
      <c r="O55" s="378"/>
      <c r="P55" s="13"/>
      <c r="Q55" s="14"/>
    </row>
    <row r="56" spans="1:17" ht="25.5" x14ac:dyDescent="0.2">
      <c r="A56" s="340"/>
      <c r="B56" s="373"/>
      <c r="C56" s="373"/>
      <c r="D56" s="207" t="s">
        <v>69</v>
      </c>
      <c r="E56" s="7">
        <v>50</v>
      </c>
      <c r="F56" s="8" t="s">
        <v>17</v>
      </c>
      <c r="G56" s="8" t="s">
        <v>17</v>
      </c>
      <c r="H56" s="8">
        <f>41000*117/100</f>
        <v>47970</v>
      </c>
      <c r="I56" s="8">
        <f t="shared" ref="I56:I57" si="4">H56</f>
        <v>47970</v>
      </c>
      <c r="J56" s="207" t="s">
        <v>14</v>
      </c>
      <c r="K56" s="375"/>
      <c r="L56" s="365"/>
      <c r="M56" s="377"/>
      <c r="N56" s="369"/>
      <c r="O56" s="378"/>
      <c r="P56" s="13"/>
      <c r="Q56" s="14"/>
    </row>
    <row r="57" spans="1:17" ht="25.5" x14ac:dyDescent="0.2">
      <c r="A57" s="340"/>
      <c r="B57" s="373"/>
      <c r="C57" s="373"/>
      <c r="D57" s="207" t="s">
        <v>128</v>
      </c>
      <c r="E57" s="7">
        <v>39</v>
      </c>
      <c r="F57" s="8" t="s">
        <v>17</v>
      </c>
      <c r="G57" s="8" t="s">
        <v>17</v>
      </c>
      <c r="H57" s="8">
        <f>90000*117/100</f>
        <v>105300</v>
      </c>
      <c r="I57" s="8">
        <f t="shared" si="4"/>
        <v>105300</v>
      </c>
      <c r="J57" s="207" t="s">
        <v>14</v>
      </c>
      <c r="K57" s="375"/>
      <c r="L57" s="365"/>
      <c r="M57" s="377"/>
      <c r="N57" s="369"/>
      <c r="O57" s="378"/>
      <c r="P57" s="13"/>
      <c r="Q57" s="14"/>
    </row>
    <row r="58" spans="1:17" x14ac:dyDescent="0.2">
      <c r="A58" s="340"/>
      <c r="B58" s="343"/>
      <c r="C58" s="343"/>
      <c r="D58" s="192" t="s">
        <v>877</v>
      </c>
      <c r="E58" s="7">
        <v>36</v>
      </c>
      <c r="F58" s="8" t="s">
        <v>17</v>
      </c>
      <c r="G58" s="8" t="s">
        <v>17</v>
      </c>
      <c r="H58" s="8">
        <f>154000*117/100</f>
        <v>180180</v>
      </c>
      <c r="I58" s="8">
        <f>H58</f>
        <v>180180</v>
      </c>
      <c r="J58" s="192" t="s">
        <v>14</v>
      </c>
      <c r="K58" s="393"/>
      <c r="L58" s="345"/>
      <c r="M58" s="389"/>
      <c r="N58" s="349"/>
      <c r="O58" s="351"/>
      <c r="P58" s="13"/>
      <c r="Q58" s="14"/>
    </row>
    <row r="59" spans="1:17" ht="15" customHeight="1" x14ac:dyDescent="0.2">
      <c r="A59" s="336"/>
      <c r="B59" s="337"/>
      <c r="C59" s="338"/>
      <c r="D59" s="338"/>
      <c r="E59" s="338"/>
      <c r="F59" s="338"/>
      <c r="G59" s="338"/>
      <c r="H59" s="338"/>
      <c r="I59" s="338"/>
      <c r="J59" s="338"/>
      <c r="K59" s="338"/>
      <c r="L59" s="338"/>
      <c r="M59" s="338"/>
      <c r="N59" s="338"/>
      <c r="O59" s="339"/>
    </row>
    <row r="60" spans="1:17" ht="15.75" x14ac:dyDescent="0.2">
      <c r="A60" s="332" t="s">
        <v>878</v>
      </c>
      <c r="B60" s="333"/>
      <c r="C60" s="333"/>
      <c r="D60" s="333"/>
      <c r="E60" s="333"/>
      <c r="F60" s="333"/>
      <c r="G60" s="333"/>
      <c r="H60" s="333"/>
      <c r="I60" s="333"/>
      <c r="J60" s="333"/>
      <c r="K60" s="333"/>
      <c r="L60" s="333"/>
      <c r="M60" s="333"/>
      <c r="N60" s="333"/>
      <c r="O60" s="334"/>
    </row>
    <row r="61" spans="1:17" ht="26.45" customHeight="1" x14ac:dyDescent="0.2">
      <c r="A61" s="335">
        <v>10</v>
      </c>
      <c r="B61" s="342" t="s">
        <v>882</v>
      </c>
      <c r="C61" s="342" t="s">
        <v>287</v>
      </c>
      <c r="D61" s="19" t="s">
        <v>879</v>
      </c>
      <c r="E61" s="20">
        <v>100</v>
      </c>
      <c r="F61" s="21" t="s">
        <v>17</v>
      </c>
      <c r="G61" s="21" t="s">
        <v>17</v>
      </c>
      <c r="H61" s="77">
        <f>15000*117/100</f>
        <v>17550</v>
      </c>
      <c r="I61" s="21">
        <f>H61</f>
        <v>17550</v>
      </c>
      <c r="J61" s="19" t="s">
        <v>14</v>
      </c>
      <c r="K61" s="374" t="s">
        <v>18</v>
      </c>
      <c r="L61" s="344" t="s">
        <v>529</v>
      </c>
      <c r="M61" s="376">
        <f>I61</f>
        <v>17550</v>
      </c>
      <c r="N61" s="348"/>
      <c r="O61" s="350" t="s">
        <v>883</v>
      </c>
      <c r="P61" s="13"/>
      <c r="Q61" s="14"/>
    </row>
    <row r="62" spans="1:17" ht="25.5" x14ac:dyDescent="0.2">
      <c r="A62" s="340"/>
      <c r="B62" s="373"/>
      <c r="C62" s="373"/>
      <c r="D62" s="207" t="s">
        <v>880</v>
      </c>
      <c r="E62" s="7">
        <v>88</v>
      </c>
      <c r="F62" s="8" t="s">
        <v>17</v>
      </c>
      <c r="G62" s="8" t="s">
        <v>17</v>
      </c>
      <c r="H62" s="8">
        <f>18000*117/100</f>
        <v>21060</v>
      </c>
      <c r="I62" s="8">
        <f t="shared" ref="I62" si="5">H62</f>
        <v>21060</v>
      </c>
      <c r="J62" s="207" t="s">
        <v>14</v>
      </c>
      <c r="K62" s="375"/>
      <c r="L62" s="365"/>
      <c r="M62" s="377"/>
      <c r="N62" s="369"/>
      <c r="O62" s="378"/>
      <c r="P62" s="13"/>
      <c r="Q62" s="14"/>
    </row>
    <row r="63" spans="1:17" ht="25.5" x14ac:dyDescent="0.2">
      <c r="A63" s="340"/>
      <c r="B63" s="373"/>
      <c r="C63" s="373"/>
      <c r="D63" s="207" t="s">
        <v>599</v>
      </c>
      <c r="E63" s="7">
        <v>88</v>
      </c>
      <c r="F63" s="8" t="s">
        <v>17</v>
      </c>
      <c r="G63" s="8" t="s">
        <v>17</v>
      </c>
      <c r="H63" s="8">
        <f>18000*117/100</f>
        <v>21060</v>
      </c>
      <c r="I63" s="8">
        <f>H63</f>
        <v>21060</v>
      </c>
      <c r="J63" s="207" t="s">
        <v>14</v>
      </c>
      <c r="K63" s="375"/>
      <c r="L63" s="365"/>
      <c r="M63" s="377"/>
      <c r="N63" s="369"/>
      <c r="O63" s="378"/>
      <c r="P63" s="13"/>
      <c r="Q63" s="14"/>
    </row>
    <row r="64" spans="1:17" x14ac:dyDescent="0.2">
      <c r="A64" s="340"/>
      <c r="B64" s="343"/>
      <c r="C64" s="343"/>
      <c r="D64" s="207" t="s">
        <v>881</v>
      </c>
      <c r="E64" s="7">
        <v>85</v>
      </c>
      <c r="F64" s="8" t="s">
        <v>17</v>
      </c>
      <c r="G64" s="8" t="s">
        <v>17</v>
      </c>
      <c r="H64" s="8">
        <f>19000*117/100</f>
        <v>22230</v>
      </c>
      <c r="I64" s="8">
        <f>H64</f>
        <v>22230</v>
      </c>
      <c r="J64" s="207" t="s">
        <v>14</v>
      </c>
      <c r="K64" s="393"/>
      <c r="L64" s="345"/>
      <c r="M64" s="389"/>
      <c r="N64" s="349"/>
      <c r="O64" s="351"/>
      <c r="P64" s="13"/>
      <c r="Q64" s="14"/>
    </row>
    <row r="65" spans="1:17" ht="15" customHeight="1" x14ac:dyDescent="0.2">
      <c r="A65" s="336"/>
      <c r="B65" s="337"/>
      <c r="C65" s="338"/>
      <c r="D65" s="338"/>
      <c r="E65" s="338"/>
      <c r="F65" s="338"/>
      <c r="G65" s="338"/>
      <c r="H65" s="338"/>
      <c r="I65" s="338"/>
      <c r="J65" s="338"/>
      <c r="K65" s="338"/>
      <c r="L65" s="338"/>
      <c r="M65" s="338"/>
      <c r="N65" s="338"/>
      <c r="O65" s="339"/>
    </row>
    <row r="66" spans="1:17" ht="15.75" x14ac:dyDescent="0.2">
      <c r="A66" s="332" t="s">
        <v>884</v>
      </c>
      <c r="B66" s="333"/>
      <c r="C66" s="333"/>
      <c r="D66" s="333"/>
      <c r="E66" s="333"/>
      <c r="F66" s="333"/>
      <c r="G66" s="333"/>
      <c r="H66" s="333"/>
      <c r="I66" s="333"/>
      <c r="J66" s="333"/>
      <c r="K66" s="333"/>
      <c r="L66" s="333"/>
      <c r="M66" s="333"/>
      <c r="N66" s="333"/>
      <c r="O66" s="334"/>
    </row>
    <row r="67" spans="1:17" ht="26.45" customHeight="1" x14ac:dyDescent="0.2">
      <c r="A67" s="335">
        <v>11</v>
      </c>
      <c r="B67" s="342" t="s">
        <v>885</v>
      </c>
      <c r="C67" s="342" t="s">
        <v>287</v>
      </c>
      <c r="D67" s="19" t="s">
        <v>886</v>
      </c>
      <c r="E67" s="20">
        <v>100</v>
      </c>
      <c r="F67" s="21" t="s">
        <v>17</v>
      </c>
      <c r="G67" s="21" t="s">
        <v>17</v>
      </c>
      <c r="H67" s="77">
        <f>8000*117/100</f>
        <v>9360</v>
      </c>
      <c r="I67" s="21">
        <f>H67</f>
        <v>9360</v>
      </c>
      <c r="J67" s="19" t="s">
        <v>14</v>
      </c>
      <c r="K67" s="374" t="s">
        <v>18</v>
      </c>
      <c r="L67" s="344" t="s">
        <v>529</v>
      </c>
      <c r="M67" s="376">
        <f>I67</f>
        <v>9360</v>
      </c>
      <c r="N67" s="348"/>
      <c r="O67" s="350" t="s">
        <v>883</v>
      </c>
      <c r="P67" s="13"/>
      <c r="Q67" s="14"/>
    </row>
    <row r="68" spans="1:17" x14ac:dyDescent="0.2">
      <c r="A68" s="340"/>
      <c r="B68" s="373"/>
      <c r="C68" s="373"/>
      <c r="D68" s="207" t="s">
        <v>39</v>
      </c>
      <c r="E68" s="7">
        <v>94</v>
      </c>
      <c r="F68" s="8" t="s">
        <v>17</v>
      </c>
      <c r="G68" s="8" t="s">
        <v>17</v>
      </c>
      <c r="H68" s="8">
        <f>8000*117/100</f>
        <v>9360</v>
      </c>
      <c r="I68" s="8">
        <f t="shared" ref="I68" si="6">H68</f>
        <v>9360</v>
      </c>
      <c r="J68" s="207" t="s">
        <v>14</v>
      </c>
      <c r="K68" s="375"/>
      <c r="L68" s="365"/>
      <c r="M68" s="377"/>
      <c r="N68" s="369"/>
      <c r="O68" s="378"/>
      <c r="P68" s="13"/>
      <c r="Q68" s="14"/>
    </row>
    <row r="69" spans="1:17" ht="25.5" x14ac:dyDescent="0.2">
      <c r="A69" s="340"/>
      <c r="B69" s="373"/>
      <c r="C69" s="373"/>
      <c r="D69" s="207" t="s">
        <v>720</v>
      </c>
      <c r="E69" s="7">
        <v>87</v>
      </c>
      <c r="F69" s="8" t="s">
        <v>17</v>
      </c>
      <c r="G69" s="8" t="s">
        <v>17</v>
      </c>
      <c r="H69" s="8">
        <f>9800*117/100</f>
        <v>11466</v>
      </c>
      <c r="I69" s="8">
        <f t="shared" ref="I69:I70" si="7">H69</f>
        <v>11466</v>
      </c>
      <c r="J69" s="207" t="s">
        <v>14</v>
      </c>
      <c r="K69" s="375"/>
      <c r="L69" s="365"/>
      <c r="M69" s="377"/>
      <c r="N69" s="369"/>
      <c r="O69" s="378"/>
      <c r="P69" s="13"/>
      <c r="Q69" s="14"/>
    </row>
    <row r="70" spans="1:17" ht="25.5" x14ac:dyDescent="0.2">
      <c r="A70" s="340"/>
      <c r="B70" s="373"/>
      <c r="C70" s="373"/>
      <c r="D70" s="207" t="s">
        <v>722</v>
      </c>
      <c r="E70" s="7">
        <v>86</v>
      </c>
      <c r="F70" s="8" t="s">
        <v>17</v>
      </c>
      <c r="G70" s="8" t="s">
        <v>17</v>
      </c>
      <c r="H70" s="8">
        <f>10000*117/100</f>
        <v>11700</v>
      </c>
      <c r="I70" s="8">
        <f t="shared" si="7"/>
        <v>11700</v>
      </c>
      <c r="J70" s="207" t="s">
        <v>14</v>
      </c>
      <c r="K70" s="375"/>
      <c r="L70" s="365"/>
      <c r="M70" s="377"/>
      <c r="N70" s="369"/>
      <c r="O70" s="378"/>
      <c r="P70" s="13"/>
      <c r="Q70" s="14"/>
    </row>
    <row r="71" spans="1:17" ht="25.5" x14ac:dyDescent="0.2">
      <c r="A71" s="340"/>
      <c r="B71" s="373"/>
      <c r="C71" s="373"/>
      <c r="D71" s="207" t="s">
        <v>721</v>
      </c>
      <c r="E71" s="7">
        <v>79</v>
      </c>
      <c r="F71" s="8" t="s">
        <v>17</v>
      </c>
      <c r="G71" s="8" t="s">
        <v>17</v>
      </c>
      <c r="H71" s="8">
        <f>11500*117/100</f>
        <v>13455</v>
      </c>
      <c r="I71" s="8">
        <f>H71</f>
        <v>13455</v>
      </c>
      <c r="J71" s="207" t="s">
        <v>14</v>
      </c>
      <c r="K71" s="375"/>
      <c r="L71" s="365"/>
      <c r="M71" s="377"/>
      <c r="N71" s="369"/>
      <c r="O71" s="378"/>
      <c r="P71" s="13"/>
      <c r="Q71" s="14"/>
    </row>
    <row r="72" spans="1:17" ht="25.5" x14ac:dyDescent="0.2">
      <c r="A72" s="340"/>
      <c r="B72" s="343"/>
      <c r="C72" s="343"/>
      <c r="D72" s="207" t="s">
        <v>329</v>
      </c>
      <c r="E72" s="7">
        <v>67</v>
      </c>
      <c r="F72" s="8" t="s">
        <v>17</v>
      </c>
      <c r="G72" s="8" t="s">
        <v>17</v>
      </c>
      <c r="H72" s="8">
        <f>15000*117/100</f>
        <v>17550</v>
      </c>
      <c r="I72" s="8">
        <f>H72</f>
        <v>17550</v>
      </c>
      <c r="J72" s="207" t="s">
        <v>14</v>
      </c>
      <c r="K72" s="393"/>
      <c r="L72" s="345"/>
      <c r="M72" s="389"/>
      <c r="N72" s="349"/>
      <c r="O72" s="351"/>
      <c r="P72" s="13"/>
      <c r="Q72" s="14"/>
    </row>
    <row r="73" spans="1:17" ht="15" customHeight="1" x14ac:dyDescent="0.2">
      <c r="A73" s="336"/>
      <c r="B73" s="337"/>
      <c r="C73" s="338"/>
      <c r="D73" s="338"/>
      <c r="E73" s="338"/>
      <c r="F73" s="338"/>
      <c r="G73" s="338"/>
      <c r="H73" s="338"/>
      <c r="I73" s="338"/>
      <c r="J73" s="338"/>
      <c r="K73" s="338"/>
      <c r="L73" s="338"/>
      <c r="M73" s="338"/>
      <c r="N73" s="338"/>
      <c r="O73" s="339"/>
    </row>
    <row r="74" spans="1:17" ht="15.75" x14ac:dyDescent="0.2">
      <c r="A74" s="332" t="s">
        <v>887</v>
      </c>
      <c r="B74" s="333"/>
      <c r="C74" s="333"/>
      <c r="D74" s="333"/>
      <c r="E74" s="333"/>
      <c r="F74" s="333"/>
      <c r="G74" s="333"/>
      <c r="H74" s="333"/>
      <c r="I74" s="333"/>
      <c r="J74" s="333"/>
      <c r="K74" s="333"/>
      <c r="L74" s="333"/>
      <c r="M74" s="333"/>
      <c r="N74" s="333"/>
      <c r="O74" s="334"/>
    </row>
    <row r="75" spans="1:17" ht="26.45" customHeight="1" x14ac:dyDescent="0.2">
      <c r="A75" s="335">
        <v>12</v>
      </c>
      <c r="B75" s="342" t="s">
        <v>888</v>
      </c>
      <c r="C75" s="342" t="s">
        <v>287</v>
      </c>
      <c r="D75" s="19" t="s">
        <v>889</v>
      </c>
      <c r="E75" s="20">
        <v>100</v>
      </c>
      <c r="F75" s="21" t="s">
        <v>17</v>
      </c>
      <c r="G75" s="21" t="s">
        <v>17</v>
      </c>
      <c r="H75" s="77">
        <f>14000*117/100</f>
        <v>16380</v>
      </c>
      <c r="I75" s="21">
        <f>H75</f>
        <v>16380</v>
      </c>
      <c r="J75" s="19" t="s">
        <v>14</v>
      </c>
      <c r="K75" s="374" t="s">
        <v>18</v>
      </c>
      <c r="L75" s="344" t="s">
        <v>529</v>
      </c>
      <c r="M75" s="376">
        <f>I75</f>
        <v>16380</v>
      </c>
      <c r="N75" s="348"/>
      <c r="O75" s="350" t="s">
        <v>883</v>
      </c>
      <c r="P75" s="13"/>
      <c r="Q75" s="14"/>
    </row>
    <row r="76" spans="1:17" ht="38.25" x14ac:dyDescent="0.2">
      <c r="A76" s="340"/>
      <c r="B76" s="343"/>
      <c r="C76" s="343"/>
      <c r="D76" s="207" t="s">
        <v>421</v>
      </c>
      <c r="E76" s="7">
        <v>69</v>
      </c>
      <c r="F76" s="8" t="s">
        <v>17</v>
      </c>
      <c r="G76" s="8" t="s">
        <v>17</v>
      </c>
      <c r="H76" s="8">
        <f>25000*117/100</f>
        <v>29250</v>
      </c>
      <c r="I76" s="8">
        <f t="shared" ref="I76" si="8">H76</f>
        <v>29250</v>
      </c>
      <c r="J76" s="207" t="s">
        <v>14</v>
      </c>
      <c r="K76" s="393"/>
      <c r="L76" s="345"/>
      <c r="M76" s="389"/>
      <c r="N76" s="349"/>
      <c r="O76" s="351"/>
      <c r="P76" s="13"/>
      <c r="Q76" s="14"/>
    </row>
    <row r="77" spans="1:17" ht="15" customHeight="1" x14ac:dyDescent="0.2">
      <c r="A77" s="336"/>
      <c r="B77" s="337" t="s">
        <v>890</v>
      </c>
      <c r="C77" s="338"/>
      <c r="D77" s="338"/>
      <c r="E77" s="338"/>
      <c r="F77" s="338"/>
      <c r="G77" s="338"/>
      <c r="H77" s="338"/>
      <c r="I77" s="338"/>
      <c r="J77" s="338"/>
      <c r="K77" s="338"/>
      <c r="L77" s="338"/>
      <c r="M77" s="338"/>
      <c r="N77" s="338"/>
      <c r="O77" s="339"/>
    </row>
    <row r="78" spans="1:17" ht="15.75" x14ac:dyDescent="0.2">
      <c r="A78" s="332" t="s">
        <v>891</v>
      </c>
      <c r="B78" s="333"/>
      <c r="C78" s="333"/>
      <c r="D78" s="333"/>
      <c r="E78" s="333"/>
      <c r="F78" s="333"/>
      <c r="G78" s="333"/>
      <c r="H78" s="333"/>
      <c r="I78" s="333"/>
      <c r="J78" s="333"/>
      <c r="K78" s="333"/>
      <c r="L78" s="333"/>
      <c r="M78" s="333"/>
      <c r="N78" s="333"/>
      <c r="O78" s="334"/>
    </row>
    <row r="79" spans="1:17" ht="26.45" customHeight="1" x14ac:dyDescent="0.2">
      <c r="A79" s="335">
        <v>13</v>
      </c>
      <c r="B79" s="342" t="s">
        <v>892</v>
      </c>
      <c r="C79" s="342" t="s">
        <v>287</v>
      </c>
      <c r="D79" s="19" t="s">
        <v>893</v>
      </c>
      <c r="E79" s="20">
        <v>100</v>
      </c>
      <c r="F79" s="21" t="s">
        <v>17</v>
      </c>
      <c r="G79" s="21" t="s">
        <v>17</v>
      </c>
      <c r="H79" s="77">
        <f>14000*117/100</f>
        <v>16380</v>
      </c>
      <c r="I79" s="21">
        <f>H79</f>
        <v>16380</v>
      </c>
      <c r="J79" s="19" t="s">
        <v>14</v>
      </c>
      <c r="K79" s="374" t="s">
        <v>18</v>
      </c>
      <c r="L79" s="344" t="s">
        <v>529</v>
      </c>
      <c r="M79" s="376">
        <f>I79</f>
        <v>16380</v>
      </c>
      <c r="N79" s="348"/>
      <c r="O79" s="350" t="s">
        <v>883</v>
      </c>
      <c r="P79" s="13"/>
      <c r="Q79" s="14"/>
    </row>
    <row r="80" spans="1:17" ht="25.5" x14ac:dyDescent="0.2">
      <c r="A80" s="340"/>
      <c r="B80" s="373"/>
      <c r="C80" s="373"/>
      <c r="D80" s="207" t="s">
        <v>894</v>
      </c>
      <c r="E80" s="7">
        <v>84</v>
      </c>
      <c r="F80" s="8" t="s">
        <v>17</v>
      </c>
      <c r="G80" s="8" t="s">
        <v>17</v>
      </c>
      <c r="H80" s="8">
        <f>18000*117/100</f>
        <v>21060</v>
      </c>
      <c r="I80" s="8">
        <f t="shared" ref="I80:I82" si="9">H80</f>
        <v>21060</v>
      </c>
      <c r="J80" s="207" t="s">
        <v>14</v>
      </c>
      <c r="K80" s="375"/>
      <c r="L80" s="365"/>
      <c r="M80" s="377"/>
      <c r="N80" s="369"/>
      <c r="O80" s="378"/>
      <c r="P80" s="13"/>
      <c r="Q80" s="14"/>
    </row>
    <row r="81" spans="1:17" ht="25.5" x14ac:dyDescent="0.2">
      <c r="A81" s="340"/>
      <c r="B81" s="373"/>
      <c r="C81" s="373"/>
      <c r="D81" s="207" t="s">
        <v>895</v>
      </c>
      <c r="E81" s="7">
        <v>79</v>
      </c>
      <c r="F81" s="8" t="s">
        <v>17</v>
      </c>
      <c r="G81" s="8" t="s">
        <v>17</v>
      </c>
      <c r="H81" s="8">
        <f>20000*117/100</f>
        <v>23400</v>
      </c>
      <c r="I81" s="8">
        <f t="shared" si="9"/>
        <v>23400</v>
      </c>
      <c r="J81" s="207" t="s">
        <v>14</v>
      </c>
      <c r="K81" s="375"/>
      <c r="L81" s="365"/>
      <c r="M81" s="377"/>
      <c r="N81" s="369"/>
      <c r="O81" s="378"/>
      <c r="P81" s="13"/>
      <c r="Q81" s="14"/>
    </row>
    <row r="82" spans="1:17" ht="25.5" x14ac:dyDescent="0.2">
      <c r="A82" s="340"/>
      <c r="B82" s="373"/>
      <c r="C82" s="373"/>
      <c r="D82" s="207" t="s">
        <v>896</v>
      </c>
      <c r="E82" s="7">
        <v>63</v>
      </c>
      <c r="F82" s="8" t="s">
        <v>17</v>
      </c>
      <c r="G82" s="8" t="s">
        <v>17</v>
      </c>
      <c r="H82" s="8">
        <f>30000*117/100</f>
        <v>35100</v>
      </c>
      <c r="I82" s="8">
        <f t="shared" si="9"/>
        <v>35100</v>
      </c>
      <c r="J82" s="207" t="s">
        <v>14</v>
      </c>
      <c r="K82" s="375"/>
      <c r="L82" s="365"/>
      <c r="M82" s="377"/>
      <c r="N82" s="369"/>
      <c r="O82" s="378"/>
      <c r="P82" s="13"/>
      <c r="Q82" s="14"/>
    </row>
    <row r="83" spans="1:17" ht="25.5" x14ac:dyDescent="0.2">
      <c r="A83" s="340"/>
      <c r="B83" s="343"/>
      <c r="C83" s="343"/>
      <c r="D83" s="207" t="s">
        <v>897</v>
      </c>
      <c r="E83" s="7">
        <v>53</v>
      </c>
      <c r="F83" s="8" t="s">
        <v>17</v>
      </c>
      <c r="G83" s="8" t="s">
        <v>17</v>
      </c>
      <c r="H83" s="8">
        <f>42000*117/100</f>
        <v>49140</v>
      </c>
      <c r="I83" s="8">
        <f>H83</f>
        <v>49140</v>
      </c>
      <c r="J83" s="207" t="s">
        <v>14</v>
      </c>
      <c r="K83" s="393"/>
      <c r="L83" s="345"/>
      <c r="M83" s="389"/>
      <c r="N83" s="349"/>
      <c r="O83" s="351"/>
      <c r="P83" s="13"/>
      <c r="Q83" s="14"/>
    </row>
    <row r="84" spans="1:17" ht="15" customHeight="1" x14ac:dyDescent="0.2">
      <c r="A84" s="336"/>
      <c r="B84" s="337"/>
      <c r="C84" s="338"/>
      <c r="D84" s="338"/>
      <c r="E84" s="338"/>
      <c r="F84" s="338"/>
      <c r="G84" s="338"/>
      <c r="H84" s="338"/>
      <c r="I84" s="338"/>
      <c r="J84" s="338"/>
      <c r="K84" s="338"/>
      <c r="L84" s="338"/>
      <c r="M84" s="338"/>
      <c r="N84" s="338"/>
      <c r="O84" s="339"/>
    </row>
    <row r="85" spans="1:17" ht="15.75" x14ac:dyDescent="0.2">
      <c r="A85" s="332" t="s">
        <v>898</v>
      </c>
      <c r="B85" s="333"/>
      <c r="C85" s="333"/>
      <c r="D85" s="333"/>
      <c r="E85" s="333"/>
      <c r="F85" s="333"/>
      <c r="G85" s="333"/>
      <c r="H85" s="333"/>
      <c r="I85" s="333"/>
      <c r="J85" s="333"/>
      <c r="K85" s="333"/>
      <c r="L85" s="333"/>
      <c r="M85" s="333"/>
      <c r="N85" s="333"/>
      <c r="O85" s="334"/>
    </row>
    <row r="86" spans="1:17" ht="26.45" customHeight="1" x14ac:dyDescent="0.2">
      <c r="A86" s="335">
        <v>14</v>
      </c>
      <c r="B86" s="342" t="s">
        <v>899</v>
      </c>
      <c r="C86" s="342" t="s">
        <v>287</v>
      </c>
      <c r="D86" s="19" t="s">
        <v>39</v>
      </c>
      <c r="E86" s="20">
        <v>100</v>
      </c>
      <c r="F86" s="21" t="s">
        <v>17</v>
      </c>
      <c r="G86" s="21" t="s">
        <v>17</v>
      </c>
      <c r="H86" s="77">
        <f>4500*117/100</f>
        <v>5265</v>
      </c>
      <c r="I86" s="21">
        <f>H86</f>
        <v>5265</v>
      </c>
      <c r="J86" s="19" t="s">
        <v>14</v>
      </c>
      <c r="K86" s="374" t="s">
        <v>18</v>
      </c>
      <c r="L86" s="344" t="s">
        <v>529</v>
      </c>
      <c r="M86" s="376">
        <f>I86</f>
        <v>5265</v>
      </c>
      <c r="N86" s="348"/>
      <c r="O86" s="350" t="s">
        <v>883</v>
      </c>
      <c r="P86" s="13"/>
      <c r="Q86" s="14"/>
    </row>
    <row r="87" spans="1:17" ht="25.5" x14ac:dyDescent="0.2">
      <c r="A87" s="340"/>
      <c r="B87" s="373"/>
      <c r="C87" s="373"/>
      <c r="D87" s="207" t="s">
        <v>900</v>
      </c>
      <c r="E87" s="7">
        <v>94</v>
      </c>
      <c r="F87" s="8" t="s">
        <v>17</v>
      </c>
      <c r="G87" s="8" t="s">
        <v>17</v>
      </c>
      <c r="H87" s="8">
        <f>4500*117/100</f>
        <v>5265</v>
      </c>
      <c r="I87" s="8">
        <f t="shared" ref="I87:I89" si="10">H87</f>
        <v>5265</v>
      </c>
      <c r="J87" s="207" t="s">
        <v>14</v>
      </c>
      <c r="K87" s="375"/>
      <c r="L87" s="365"/>
      <c r="M87" s="377"/>
      <c r="N87" s="369"/>
      <c r="O87" s="378"/>
      <c r="P87" s="13"/>
      <c r="Q87" s="14"/>
    </row>
    <row r="88" spans="1:17" ht="25.5" x14ac:dyDescent="0.2">
      <c r="A88" s="340"/>
      <c r="B88" s="373"/>
      <c r="C88" s="373"/>
      <c r="D88" s="207" t="s">
        <v>29</v>
      </c>
      <c r="E88" s="7">
        <v>87</v>
      </c>
      <c r="F88" s="8" t="s">
        <v>17</v>
      </c>
      <c r="G88" s="8" t="s">
        <v>17</v>
      </c>
      <c r="H88" s="8">
        <f>5500*117/100</f>
        <v>6435</v>
      </c>
      <c r="I88" s="8">
        <f t="shared" si="10"/>
        <v>6435</v>
      </c>
      <c r="J88" s="207" t="s">
        <v>14</v>
      </c>
      <c r="K88" s="375"/>
      <c r="L88" s="365"/>
      <c r="M88" s="377"/>
      <c r="N88" s="369"/>
      <c r="O88" s="378"/>
      <c r="P88" s="13"/>
      <c r="Q88" s="14"/>
    </row>
    <row r="89" spans="1:17" ht="25.5" x14ac:dyDescent="0.2">
      <c r="A89" s="340"/>
      <c r="B89" s="343"/>
      <c r="C89" s="343"/>
      <c r="D89" s="207" t="s">
        <v>686</v>
      </c>
      <c r="E89" s="7">
        <v>65</v>
      </c>
      <c r="F89" s="8" t="s">
        <v>17</v>
      </c>
      <c r="G89" s="8" t="s">
        <v>17</v>
      </c>
      <c r="H89" s="8">
        <f>9000*117/100</f>
        <v>10530</v>
      </c>
      <c r="I89" s="8">
        <f t="shared" si="10"/>
        <v>10530</v>
      </c>
      <c r="J89" s="207" t="s">
        <v>14</v>
      </c>
      <c r="K89" s="393"/>
      <c r="L89" s="345"/>
      <c r="M89" s="389"/>
      <c r="N89" s="349"/>
      <c r="O89" s="351"/>
      <c r="P89" s="13"/>
      <c r="Q89" s="14"/>
    </row>
    <row r="90" spans="1:17" ht="15" customHeight="1" x14ac:dyDescent="0.2">
      <c r="A90" s="336"/>
      <c r="B90" s="337"/>
      <c r="C90" s="338"/>
      <c r="D90" s="338"/>
      <c r="E90" s="338"/>
      <c r="F90" s="338"/>
      <c r="G90" s="338"/>
      <c r="H90" s="338"/>
      <c r="I90" s="338"/>
      <c r="J90" s="338"/>
      <c r="K90" s="338"/>
      <c r="L90" s="338"/>
      <c r="M90" s="338"/>
      <c r="N90" s="338"/>
      <c r="O90" s="339"/>
    </row>
    <row r="91" spans="1:17" ht="15.75" x14ac:dyDescent="0.2">
      <c r="A91" s="332" t="s">
        <v>901</v>
      </c>
      <c r="B91" s="333"/>
      <c r="C91" s="333"/>
      <c r="D91" s="333"/>
      <c r="E91" s="333"/>
      <c r="F91" s="333"/>
      <c r="G91" s="333"/>
      <c r="H91" s="333"/>
      <c r="I91" s="333"/>
      <c r="J91" s="333"/>
      <c r="K91" s="333"/>
      <c r="L91" s="333"/>
      <c r="M91" s="333"/>
      <c r="N91" s="333"/>
      <c r="O91" s="334"/>
    </row>
    <row r="92" spans="1:17" ht="51" x14ac:dyDescent="0.2">
      <c r="A92" s="335">
        <v>15</v>
      </c>
      <c r="B92" s="197" t="s">
        <v>902</v>
      </c>
      <c r="C92" s="197" t="s">
        <v>287</v>
      </c>
      <c r="D92" s="42" t="s">
        <v>903</v>
      </c>
      <c r="E92" s="43">
        <v>100</v>
      </c>
      <c r="F92" s="44" t="s">
        <v>17</v>
      </c>
      <c r="G92" s="44" t="s">
        <v>17</v>
      </c>
      <c r="H92" s="44">
        <f>50000*117/100</f>
        <v>58500</v>
      </c>
      <c r="I92" s="44">
        <f>H92</f>
        <v>58500</v>
      </c>
      <c r="J92" s="42" t="s">
        <v>14</v>
      </c>
      <c r="K92" s="193" t="s">
        <v>258</v>
      </c>
      <c r="L92" s="193" t="s">
        <v>942</v>
      </c>
      <c r="M92" s="198"/>
      <c r="N92" s="199"/>
      <c r="O92" s="200" t="s">
        <v>883</v>
      </c>
      <c r="P92" s="13"/>
      <c r="Q92" s="14"/>
    </row>
    <row r="93" spans="1:17" ht="14.25" x14ac:dyDescent="0.2">
      <c r="A93" s="336"/>
      <c r="B93" s="337" t="s">
        <v>904</v>
      </c>
      <c r="C93" s="338"/>
      <c r="D93" s="338"/>
      <c r="E93" s="338"/>
      <c r="F93" s="338"/>
      <c r="G93" s="338"/>
      <c r="H93" s="338"/>
      <c r="I93" s="338"/>
      <c r="J93" s="338"/>
      <c r="K93" s="338"/>
      <c r="L93" s="338"/>
      <c r="M93" s="338"/>
      <c r="N93" s="338"/>
      <c r="O93" s="339"/>
    </row>
    <row r="94" spans="1:17" ht="15.75" x14ac:dyDescent="0.2">
      <c r="A94" s="332" t="s">
        <v>908</v>
      </c>
      <c r="B94" s="333"/>
      <c r="C94" s="333"/>
      <c r="D94" s="333"/>
      <c r="E94" s="333"/>
      <c r="F94" s="333"/>
      <c r="G94" s="333"/>
      <c r="H94" s="333"/>
      <c r="I94" s="333"/>
      <c r="J94" s="333"/>
      <c r="K94" s="333"/>
      <c r="L94" s="333"/>
      <c r="M94" s="333"/>
      <c r="N94" s="333"/>
      <c r="O94" s="334"/>
    </row>
    <row r="95" spans="1:17" ht="25.5" customHeight="1" x14ac:dyDescent="0.2">
      <c r="A95" s="359">
        <v>16</v>
      </c>
      <c r="B95" s="362" t="s">
        <v>905</v>
      </c>
      <c r="C95" s="362" t="s">
        <v>287</v>
      </c>
      <c r="D95" s="16" t="s">
        <v>858</v>
      </c>
      <c r="E95" s="17">
        <v>100</v>
      </c>
      <c r="F95" s="18" t="s">
        <v>17</v>
      </c>
      <c r="G95" s="188" t="s">
        <v>17</v>
      </c>
      <c r="H95" s="21">
        <f>11500*117/100</f>
        <v>13455</v>
      </c>
      <c r="I95" s="21">
        <f>H95</f>
        <v>13455</v>
      </c>
      <c r="J95" s="16" t="s">
        <v>14</v>
      </c>
      <c r="K95" s="344" t="s">
        <v>18</v>
      </c>
      <c r="L95" s="344" t="s">
        <v>529</v>
      </c>
      <c r="M95" s="379">
        <f>I95</f>
        <v>13455</v>
      </c>
      <c r="N95" s="348"/>
      <c r="O95" s="386">
        <v>283008</v>
      </c>
    </row>
    <row r="96" spans="1:17" ht="25.5" customHeight="1" x14ac:dyDescent="0.2">
      <c r="A96" s="360"/>
      <c r="B96" s="363"/>
      <c r="C96" s="363"/>
      <c r="D96" s="23" t="s">
        <v>906</v>
      </c>
      <c r="E96" s="32">
        <v>82</v>
      </c>
      <c r="F96" s="15" t="s">
        <v>17</v>
      </c>
      <c r="G96" s="170" t="s">
        <v>17</v>
      </c>
      <c r="H96" s="15">
        <f>15500*117/100</f>
        <v>18135</v>
      </c>
      <c r="I96" s="15">
        <f>H96</f>
        <v>18135</v>
      </c>
      <c r="J96" s="23" t="s">
        <v>14</v>
      </c>
      <c r="K96" s="365"/>
      <c r="L96" s="365"/>
      <c r="M96" s="380"/>
      <c r="N96" s="369"/>
      <c r="O96" s="387"/>
    </row>
    <row r="97" spans="1:17" ht="25.5" customHeight="1" x14ac:dyDescent="0.2">
      <c r="A97" s="360"/>
      <c r="B97" s="363"/>
      <c r="C97" s="363"/>
      <c r="D97" s="23" t="s">
        <v>165</v>
      </c>
      <c r="E97" s="32" t="s">
        <v>943</v>
      </c>
      <c r="F97" s="15" t="s">
        <v>944</v>
      </c>
      <c r="G97" s="170" t="s">
        <v>944</v>
      </c>
      <c r="H97" s="15">
        <f>6500*117/100</f>
        <v>7605</v>
      </c>
      <c r="I97" s="15">
        <f t="shared" ref="I97:I100" si="11">H97</f>
        <v>7605</v>
      </c>
      <c r="J97" s="23" t="s">
        <v>14</v>
      </c>
      <c r="K97" s="365"/>
      <c r="L97" s="365"/>
      <c r="M97" s="380"/>
      <c r="N97" s="369"/>
      <c r="O97" s="387"/>
    </row>
    <row r="98" spans="1:17" ht="25.5" customHeight="1" x14ac:dyDescent="0.2">
      <c r="A98" s="360"/>
      <c r="B98" s="363"/>
      <c r="C98" s="363"/>
      <c r="D98" s="23" t="s">
        <v>945</v>
      </c>
      <c r="E98" s="32" t="s">
        <v>943</v>
      </c>
      <c r="F98" s="15" t="s">
        <v>944</v>
      </c>
      <c r="G98" s="170" t="s">
        <v>944</v>
      </c>
      <c r="H98" s="15">
        <f>9000*117/100</f>
        <v>10530</v>
      </c>
      <c r="I98" s="15">
        <f t="shared" si="11"/>
        <v>10530</v>
      </c>
      <c r="J98" s="23" t="s">
        <v>14</v>
      </c>
      <c r="K98" s="365"/>
      <c r="L98" s="365"/>
      <c r="M98" s="380"/>
      <c r="N98" s="369"/>
      <c r="O98" s="387"/>
    </row>
    <row r="99" spans="1:17" ht="25.5" customHeight="1" x14ac:dyDescent="0.2">
      <c r="A99" s="360"/>
      <c r="B99" s="363"/>
      <c r="C99" s="363"/>
      <c r="D99" s="23" t="s">
        <v>859</v>
      </c>
      <c r="E99" s="32" t="s">
        <v>943</v>
      </c>
      <c r="F99" s="15" t="s">
        <v>944</v>
      </c>
      <c r="G99" s="170" t="s">
        <v>944</v>
      </c>
      <c r="H99" s="15">
        <f>9500*117/100</f>
        <v>11115</v>
      </c>
      <c r="I99" s="15">
        <f t="shared" si="11"/>
        <v>11115</v>
      </c>
      <c r="J99" s="23" t="s">
        <v>14</v>
      </c>
      <c r="K99" s="365"/>
      <c r="L99" s="365"/>
      <c r="M99" s="380"/>
      <c r="N99" s="369"/>
      <c r="O99" s="387"/>
    </row>
    <row r="100" spans="1:17" ht="38.25" x14ac:dyDescent="0.2">
      <c r="A100" s="360"/>
      <c r="B100" s="364"/>
      <c r="C100" s="364"/>
      <c r="D100" s="23" t="s">
        <v>860</v>
      </c>
      <c r="E100" s="32" t="s">
        <v>943</v>
      </c>
      <c r="F100" s="15" t="s">
        <v>944</v>
      </c>
      <c r="G100" s="170" t="s">
        <v>944</v>
      </c>
      <c r="H100" s="15">
        <f>12500*117/100</f>
        <v>14625</v>
      </c>
      <c r="I100" s="15">
        <f t="shared" si="11"/>
        <v>14625</v>
      </c>
      <c r="J100" s="23" t="s">
        <v>14</v>
      </c>
      <c r="K100" s="345"/>
      <c r="L100" s="345"/>
      <c r="M100" s="382"/>
      <c r="N100" s="349"/>
      <c r="O100" s="388"/>
    </row>
    <row r="101" spans="1:17" ht="14.25" customHeight="1" x14ac:dyDescent="0.2">
      <c r="A101" s="361"/>
      <c r="B101" s="406" t="s">
        <v>907</v>
      </c>
      <c r="C101" s="407"/>
      <c r="D101" s="407"/>
      <c r="E101" s="407"/>
      <c r="F101" s="407"/>
      <c r="G101" s="407"/>
      <c r="H101" s="407"/>
      <c r="I101" s="407"/>
      <c r="J101" s="407"/>
      <c r="K101" s="407"/>
      <c r="L101" s="407"/>
      <c r="M101" s="408"/>
      <c r="N101" s="26"/>
      <c r="O101" s="26"/>
    </row>
    <row r="102" spans="1:17" ht="15.75" x14ac:dyDescent="0.2">
      <c r="A102" s="332" t="s">
        <v>909</v>
      </c>
      <c r="B102" s="333"/>
      <c r="C102" s="333"/>
      <c r="D102" s="333"/>
      <c r="E102" s="333"/>
      <c r="F102" s="333"/>
      <c r="G102" s="333"/>
      <c r="H102" s="333"/>
      <c r="I102" s="333"/>
      <c r="J102" s="333"/>
      <c r="K102" s="333"/>
      <c r="L102" s="333"/>
      <c r="M102" s="333"/>
      <c r="N102" s="333"/>
      <c r="O102" s="334"/>
    </row>
    <row r="103" spans="1:17" ht="26.45" customHeight="1" x14ac:dyDescent="0.2">
      <c r="A103" s="335">
        <v>17</v>
      </c>
      <c r="B103" s="342" t="s">
        <v>910</v>
      </c>
      <c r="C103" s="342" t="s">
        <v>287</v>
      </c>
      <c r="D103" s="19" t="s">
        <v>911</v>
      </c>
      <c r="E103" s="20">
        <v>100</v>
      </c>
      <c r="F103" s="21" t="s">
        <v>17</v>
      </c>
      <c r="G103" s="21" t="s">
        <v>17</v>
      </c>
      <c r="H103" s="77">
        <f>45000*117/100</f>
        <v>52650</v>
      </c>
      <c r="I103" s="21">
        <f>H103</f>
        <v>52650</v>
      </c>
      <c r="J103" s="19" t="s">
        <v>14</v>
      </c>
      <c r="K103" s="374" t="s">
        <v>18</v>
      </c>
      <c r="L103" s="344" t="s">
        <v>529</v>
      </c>
      <c r="M103" s="376">
        <f>I103</f>
        <v>52650</v>
      </c>
      <c r="N103" s="348"/>
      <c r="O103" s="350" t="s">
        <v>883</v>
      </c>
      <c r="P103" s="13"/>
      <c r="Q103" s="14"/>
    </row>
    <row r="104" spans="1:17" ht="25.5" x14ac:dyDescent="0.2">
      <c r="A104" s="340"/>
      <c r="B104" s="373"/>
      <c r="C104" s="373"/>
      <c r="D104" s="207" t="s">
        <v>853</v>
      </c>
      <c r="E104" s="7">
        <v>93</v>
      </c>
      <c r="F104" s="8" t="s">
        <v>17</v>
      </c>
      <c r="G104" s="8" t="s">
        <v>17</v>
      </c>
      <c r="H104" s="8">
        <f>50000*117/100</f>
        <v>58500</v>
      </c>
      <c r="I104" s="8">
        <f t="shared" ref="I104:I109" si="12">H104</f>
        <v>58500</v>
      </c>
      <c r="J104" s="207" t="s">
        <v>14</v>
      </c>
      <c r="K104" s="375"/>
      <c r="L104" s="365"/>
      <c r="M104" s="377"/>
      <c r="N104" s="369"/>
      <c r="O104" s="378"/>
      <c r="P104" s="13"/>
      <c r="Q104" s="14"/>
    </row>
    <row r="105" spans="1:17" ht="25.5" x14ac:dyDescent="0.2">
      <c r="A105" s="340"/>
      <c r="B105" s="373"/>
      <c r="C105" s="373"/>
      <c r="D105" s="207" t="s">
        <v>912</v>
      </c>
      <c r="E105" s="7">
        <v>92</v>
      </c>
      <c r="F105" s="8" t="s">
        <v>17</v>
      </c>
      <c r="G105" s="8" t="s">
        <v>17</v>
      </c>
      <c r="H105" s="8">
        <f>51000*117/100</f>
        <v>59670</v>
      </c>
      <c r="I105" s="8">
        <f t="shared" si="12"/>
        <v>59670</v>
      </c>
      <c r="J105" s="207" t="s">
        <v>14</v>
      </c>
      <c r="K105" s="375"/>
      <c r="L105" s="365"/>
      <c r="M105" s="377"/>
      <c r="N105" s="369"/>
      <c r="O105" s="378"/>
      <c r="P105" s="13"/>
      <c r="Q105" s="14"/>
    </row>
    <row r="106" spans="1:17" ht="25.5" x14ac:dyDescent="0.2">
      <c r="A106" s="340"/>
      <c r="B106" s="373"/>
      <c r="C106" s="373"/>
      <c r="D106" s="207" t="s">
        <v>913</v>
      </c>
      <c r="E106" s="7">
        <v>68</v>
      </c>
      <c r="F106" s="8" t="s">
        <v>17</v>
      </c>
      <c r="G106" s="8" t="s">
        <v>17</v>
      </c>
      <c r="H106" s="8">
        <f>82500*117/100</f>
        <v>96525</v>
      </c>
      <c r="I106" s="8">
        <f t="shared" ref="I106:I108" si="13">H106</f>
        <v>96525</v>
      </c>
      <c r="J106" s="207" t="s">
        <v>14</v>
      </c>
      <c r="K106" s="375"/>
      <c r="L106" s="365"/>
      <c r="M106" s="377"/>
      <c r="N106" s="369"/>
      <c r="O106" s="378"/>
      <c r="P106" s="13"/>
      <c r="Q106" s="14"/>
    </row>
    <row r="107" spans="1:17" ht="38.25" x14ac:dyDescent="0.2">
      <c r="A107" s="340"/>
      <c r="B107" s="373"/>
      <c r="C107" s="373"/>
      <c r="D107" s="207" t="s">
        <v>289</v>
      </c>
      <c r="E107" s="7">
        <v>67</v>
      </c>
      <c r="F107" s="8" t="s">
        <v>17</v>
      </c>
      <c r="G107" s="8" t="s">
        <v>17</v>
      </c>
      <c r="H107" s="8">
        <f>85000*117/100</f>
        <v>99450</v>
      </c>
      <c r="I107" s="8">
        <f t="shared" si="13"/>
        <v>99450</v>
      </c>
      <c r="J107" s="207" t="s">
        <v>14</v>
      </c>
      <c r="K107" s="375"/>
      <c r="L107" s="365"/>
      <c r="M107" s="377"/>
      <c r="N107" s="369"/>
      <c r="O107" s="378"/>
      <c r="P107" s="13"/>
      <c r="Q107" s="14"/>
    </row>
    <row r="108" spans="1:17" x14ac:dyDescent="0.2">
      <c r="A108" s="340"/>
      <c r="B108" s="373"/>
      <c r="C108" s="373"/>
      <c r="D108" s="207" t="s">
        <v>324</v>
      </c>
      <c r="E108" s="7">
        <v>66</v>
      </c>
      <c r="F108" s="8" t="s">
        <v>17</v>
      </c>
      <c r="G108" s="8" t="s">
        <v>17</v>
      </c>
      <c r="H108" s="8">
        <f>88000*117/100</f>
        <v>102960</v>
      </c>
      <c r="I108" s="8">
        <f t="shared" si="13"/>
        <v>102960</v>
      </c>
      <c r="J108" s="207" t="s">
        <v>14</v>
      </c>
      <c r="K108" s="375"/>
      <c r="L108" s="365"/>
      <c r="M108" s="377"/>
      <c r="N108" s="369"/>
      <c r="O108" s="378"/>
      <c r="P108" s="13"/>
      <c r="Q108" s="14"/>
    </row>
    <row r="109" spans="1:17" ht="25.5" x14ac:dyDescent="0.2">
      <c r="A109" s="340"/>
      <c r="B109" s="343"/>
      <c r="C109" s="343"/>
      <c r="D109" s="207" t="s">
        <v>545</v>
      </c>
      <c r="E109" s="7">
        <v>61</v>
      </c>
      <c r="F109" s="8" t="s">
        <v>17</v>
      </c>
      <c r="G109" s="8" t="s">
        <v>17</v>
      </c>
      <c r="H109" s="8">
        <f>100000*117/100</f>
        <v>117000</v>
      </c>
      <c r="I109" s="8">
        <f t="shared" si="12"/>
        <v>117000</v>
      </c>
      <c r="J109" s="207" t="s">
        <v>14</v>
      </c>
      <c r="K109" s="393"/>
      <c r="L109" s="345"/>
      <c r="M109" s="389"/>
      <c r="N109" s="349"/>
      <c r="O109" s="351"/>
      <c r="P109" s="13"/>
      <c r="Q109" s="14"/>
    </row>
    <row r="110" spans="1:17" ht="15" customHeight="1" x14ac:dyDescent="0.2">
      <c r="A110" s="336"/>
      <c r="B110" s="337"/>
      <c r="C110" s="338"/>
      <c r="D110" s="338"/>
      <c r="E110" s="338"/>
      <c r="F110" s="338"/>
      <c r="G110" s="338"/>
      <c r="H110" s="338"/>
      <c r="I110" s="338"/>
      <c r="J110" s="338"/>
      <c r="K110" s="338"/>
      <c r="L110" s="338"/>
      <c r="M110" s="338"/>
      <c r="N110" s="338"/>
      <c r="O110" s="339"/>
    </row>
    <row r="111" spans="1:17" ht="15.75" x14ac:dyDescent="0.2">
      <c r="A111" s="332" t="s">
        <v>914</v>
      </c>
      <c r="B111" s="333"/>
      <c r="C111" s="333"/>
      <c r="D111" s="333"/>
      <c r="E111" s="333"/>
      <c r="F111" s="333"/>
      <c r="G111" s="333"/>
      <c r="H111" s="333"/>
      <c r="I111" s="333"/>
      <c r="J111" s="333"/>
      <c r="K111" s="333"/>
      <c r="L111" s="333"/>
      <c r="M111" s="333"/>
      <c r="N111" s="333"/>
      <c r="O111" s="334"/>
    </row>
    <row r="112" spans="1:17" ht="25.5" customHeight="1" x14ac:dyDescent="0.2">
      <c r="A112" s="359">
        <v>18</v>
      </c>
      <c r="B112" s="362" t="s">
        <v>915</v>
      </c>
      <c r="C112" s="362" t="s">
        <v>287</v>
      </c>
      <c r="D112" s="16" t="s">
        <v>40</v>
      </c>
      <c r="E112" s="17">
        <v>100</v>
      </c>
      <c r="F112" s="18" t="s">
        <v>13</v>
      </c>
      <c r="G112" s="188" t="s">
        <v>916</v>
      </c>
      <c r="H112" s="21">
        <f>175*117/100</f>
        <v>204.75</v>
      </c>
      <c r="I112" s="21">
        <f>H112*300</f>
        <v>61425</v>
      </c>
      <c r="J112" s="16" t="s">
        <v>14</v>
      </c>
      <c r="K112" s="344" t="s">
        <v>18</v>
      </c>
      <c r="L112" s="344" t="s">
        <v>529</v>
      </c>
      <c r="M112" s="379">
        <f>I112</f>
        <v>61425</v>
      </c>
      <c r="N112" s="348" t="s">
        <v>22</v>
      </c>
      <c r="O112" s="409" t="s">
        <v>852</v>
      </c>
    </row>
    <row r="113" spans="1:17" ht="25.5" x14ac:dyDescent="0.2">
      <c r="A113" s="360"/>
      <c r="B113" s="363"/>
      <c r="C113" s="363"/>
      <c r="D113" s="23" t="s">
        <v>917</v>
      </c>
      <c r="E113" s="32">
        <v>98</v>
      </c>
      <c r="F113" s="15" t="s">
        <v>13</v>
      </c>
      <c r="G113" s="170" t="s">
        <v>916</v>
      </c>
      <c r="H113" s="15">
        <f>180*117/100</f>
        <v>210.6</v>
      </c>
      <c r="I113" s="15">
        <f>H113*300</f>
        <v>63180</v>
      </c>
      <c r="J113" s="23" t="s">
        <v>14</v>
      </c>
      <c r="K113" s="365"/>
      <c r="L113" s="365"/>
      <c r="M113" s="380"/>
      <c r="N113" s="369"/>
      <c r="O113" s="410"/>
    </row>
    <row r="114" spans="1:17" ht="25.5" x14ac:dyDescent="0.2">
      <c r="A114" s="360"/>
      <c r="B114" s="363"/>
      <c r="C114" s="363"/>
      <c r="D114" s="23" t="s">
        <v>918</v>
      </c>
      <c r="E114" s="32">
        <v>98</v>
      </c>
      <c r="F114" s="15" t="s">
        <v>13</v>
      </c>
      <c r="G114" s="170" t="s">
        <v>916</v>
      </c>
      <c r="H114" s="15">
        <f>180*117/100</f>
        <v>210.6</v>
      </c>
      <c r="I114" s="15">
        <f>H114*300</f>
        <v>63180</v>
      </c>
      <c r="J114" s="23" t="s">
        <v>14</v>
      </c>
      <c r="K114" s="365"/>
      <c r="L114" s="365"/>
      <c r="M114" s="380"/>
      <c r="N114" s="369"/>
      <c r="O114" s="410"/>
    </row>
    <row r="115" spans="1:17" ht="25.5" x14ac:dyDescent="0.2">
      <c r="A115" s="360"/>
      <c r="B115" s="364"/>
      <c r="C115" s="364"/>
      <c r="D115" s="23" t="s">
        <v>867</v>
      </c>
      <c r="E115" s="32">
        <v>78</v>
      </c>
      <c r="F115" s="15" t="s">
        <v>13</v>
      </c>
      <c r="G115" s="170" t="s">
        <v>916</v>
      </c>
      <c r="H115" s="15">
        <f>253*117/100</f>
        <v>296.01</v>
      </c>
      <c r="I115" s="15">
        <f>H115*300</f>
        <v>88803</v>
      </c>
      <c r="J115" s="23" t="s">
        <v>14</v>
      </c>
      <c r="K115" s="345"/>
      <c r="L115" s="345"/>
      <c r="M115" s="382"/>
      <c r="N115" s="349"/>
      <c r="O115" s="411"/>
    </row>
    <row r="116" spans="1:17" ht="14.25" customHeight="1" x14ac:dyDescent="0.2">
      <c r="A116" s="361"/>
      <c r="B116" s="337" t="s">
        <v>919</v>
      </c>
      <c r="C116" s="338"/>
      <c r="D116" s="338"/>
      <c r="E116" s="338"/>
      <c r="F116" s="338"/>
      <c r="G116" s="338"/>
      <c r="H116" s="338"/>
      <c r="I116" s="338"/>
      <c r="J116" s="338"/>
      <c r="K116" s="338"/>
      <c r="L116" s="338"/>
      <c r="M116" s="338"/>
      <c r="N116" s="338"/>
      <c r="O116" s="339"/>
    </row>
    <row r="117" spans="1:17" ht="15.75" x14ac:dyDescent="0.2">
      <c r="A117" s="332" t="s">
        <v>920</v>
      </c>
      <c r="B117" s="333"/>
      <c r="C117" s="333"/>
      <c r="D117" s="333"/>
      <c r="E117" s="333"/>
      <c r="F117" s="333"/>
      <c r="G117" s="333"/>
      <c r="H117" s="333"/>
      <c r="I117" s="333"/>
      <c r="J117" s="333"/>
      <c r="K117" s="333"/>
      <c r="L117" s="333"/>
      <c r="M117" s="333"/>
      <c r="N117" s="333"/>
      <c r="O117" s="334"/>
    </row>
    <row r="118" spans="1:17" ht="38.25" x14ac:dyDescent="0.2">
      <c r="A118" s="335">
        <v>19</v>
      </c>
      <c r="B118" s="202" t="s">
        <v>921</v>
      </c>
      <c r="C118" s="212" t="s">
        <v>923</v>
      </c>
      <c r="D118" s="19" t="s">
        <v>922</v>
      </c>
      <c r="E118" s="20">
        <v>100</v>
      </c>
      <c r="F118" s="21" t="s">
        <v>13</v>
      </c>
      <c r="G118" s="21" t="s">
        <v>946</v>
      </c>
      <c r="H118" s="21">
        <f>400*117/100</f>
        <v>468</v>
      </c>
      <c r="I118" s="21">
        <f>H118*100</f>
        <v>46800</v>
      </c>
      <c r="J118" s="19" t="s">
        <v>14</v>
      </c>
      <c r="K118" s="203" t="s">
        <v>802</v>
      </c>
      <c r="L118" s="203" t="s">
        <v>529</v>
      </c>
      <c r="M118" s="204">
        <f>I118</f>
        <v>46800</v>
      </c>
      <c r="N118" s="205" t="s">
        <v>22</v>
      </c>
      <c r="O118" s="206"/>
      <c r="P118" s="13"/>
      <c r="Q118" s="14"/>
    </row>
    <row r="119" spans="1:17" ht="15" customHeight="1" x14ac:dyDescent="0.2">
      <c r="A119" s="336"/>
      <c r="B119" s="337" t="s">
        <v>924</v>
      </c>
      <c r="C119" s="338"/>
      <c r="D119" s="338"/>
      <c r="E119" s="338"/>
      <c r="F119" s="338"/>
      <c r="G119" s="338"/>
      <c r="H119" s="338"/>
      <c r="I119" s="338"/>
      <c r="J119" s="338"/>
      <c r="K119" s="338"/>
      <c r="L119" s="338"/>
      <c r="M119" s="338"/>
      <c r="N119" s="338"/>
      <c r="O119" s="339"/>
    </row>
    <row r="120" spans="1:17" ht="15.75" x14ac:dyDescent="0.2">
      <c r="A120" s="332" t="s">
        <v>925</v>
      </c>
      <c r="B120" s="333"/>
      <c r="C120" s="333"/>
      <c r="D120" s="333"/>
      <c r="E120" s="333"/>
      <c r="F120" s="333"/>
      <c r="G120" s="333"/>
      <c r="H120" s="333"/>
      <c r="I120" s="333"/>
      <c r="J120" s="333"/>
      <c r="K120" s="333"/>
      <c r="L120" s="333"/>
      <c r="M120" s="333"/>
      <c r="N120" s="333"/>
      <c r="O120" s="334"/>
    </row>
    <row r="121" spans="1:17" ht="25.5" customHeight="1" x14ac:dyDescent="0.2">
      <c r="A121" s="359">
        <v>20</v>
      </c>
      <c r="B121" s="362" t="s">
        <v>926</v>
      </c>
      <c r="C121" s="362" t="s">
        <v>927</v>
      </c>
      <c r="D121" s="16" t="s">
        <v>928</v>
      </c>
      <c r="E121" s="17">
        <v>100</v>
      </c>
      <c r="F121" s="18" t="s">
        <v>17</v>
      </c>
      <c r="G121" s="188" t="s">
        <v>17</v>
      </c>
      <c r="H121" s="21">
        <f>71000*117/100</f>
        <v>83070</v>
      </c>
      <c r="I121" s="21">
        <f>H121</f>
        <v>83070</v>
      </c>
      <c r="J121" s="16" t="s">
        <v>14</v>
      </c>
      <c r="K121" s="344" t="s">
        <v>18</v>
      </c>
      <c r="L121" s="344" t="s">
        <v>529</v>
      </c>
      <c r="M121" s="379">
        <f>I121</f>
        <v>83070</v>
      </c>
      <c r="N121" s="348" t="s">
        <v>22</v>
      </c>
      <c r="O121" s="403">
        <v>1712200750</v>
      </c>
    </row>
    <row r="122" spans="1:17" ht="51" x14ac:dyDescent="0.2">
      <c r="A122" s="360"/>
      <c r="B122" s="363"/>
      <c r="C122" s="363"/>
      <c r="D122" s="23" t="s">
        <v>929</v>
      </c>
      <c r="E122" s="32">
        <v>74</v>
      </c>
      <c r="F122" s="15" t="s">
        <v>17</v>
      </c>
      <c r="G122" s="170" t="s">
        <v>17</v>
      </c>
      <c r="H122" s="15">
        <f>114000*117/100</f>
        <v>133380</v>
      </c>
      <c r="I122" s="15">
        <f>H122</f>
        <v>133380</v>
      </c>
      <c r="J122" s="23" t="s">
        <v>14</v>
      </c>
      <c r="K122" s="365"/>
      <c r="L122" s="365"/>
      <c r="M122" s="380"/>
      <c r="N122" s="369"/>
      <c r="O122" s="404"/>
    </row>
    <row r="123" spans="1:17" ht="14.25" x14ac:dyDescent="0.2">
      <c r="A123" s="360"/>
      <c r="B123" s="364"/>
      <c r="C123" s="364"/>
      <c r="D123" s="23" t="s">
        <v>930</v>
      </c>
      <c r="E123" s="32">
        <v>70</v>
      </c>
      <c r="F123" s="15" t="s">
        <v>17</v>
      </c>
      <c r="G123" s="170" t="s">
        <v>17</v>
      </c>
      <c r="H123" s="15">
        <f>125000*117/100</f>
        <v>146250</v>
      </c>
      <c r="I123" s="15">
        <f>H123</f>
        <v>146250</v>
      </c>
      <c r="J123" s="23" t="s">
        <v>14</v>
      </c>
      <c r="K123" s="345"/>
      <c r="L123" s="345"/>
      <c r="M123" s="382"/>
      <c r="N123" s="349"/>
      <c r="O123" s="405"/>
    </row>
    <row r="124" spans="1:17" ht="14.25" customHeight="1" x14ac:dyDescent="0.2">
      <c r="A124" s="361"/>
      <c r="B124" s="337"/>
      <c r="C124" s="338"/>
      <c r="D124" s="338"/>
      <c r="E124" s="338"/>
      <c r="F124" s="338"/>
      <c r="G124" s="338"/>
      <c r="H124" s="338"/>
      <c r="I124" s="338"/>
      <c r="J124" s="338"/>
      <c r="K124" s="338"/>
      <c r="L124" s="338"/>
      <c r="M124" s="338"/>
      <c r="N124" s="338"/>
      <c r="O124" s="339"/>
    </row>
    <row r="125" spans="1:17" ht="15.75" x14ac:dyDescent="0.2">
      <c r="A125" s="332" t="s">
        <v>931</v>
      </c>
      <c r="B125" s="333"/>
      <c r="C125" s="333"/>
      <c r="D125" s="333"/>
      <c r="E125" s="333"/>
      <c r="F125" s="333"/>
      <c r="G125" s="333"/>
      <c r="H125" s="333"/>
      <c r="I125" s="333"/>
      <c r="J125" s="333"/>
      <c r="K125" s="333"/>
      <c r="L125" s="333"/>
      <c r="M125" s="333"/>
      <c r="N125" s="333"/>
      <c r="O125" s="334"/>
    </row>
    <row r="126" spans="1:17" ht="72" x14ac:dyDescent="0.2">
      <c r="A126" s="335">
        <v>21</v>
      </c>
      <c r="B126" s="202" t="s">
        <v>932</v>
      </c>
      <c r="C126" s="212" t="s">
        <v>78</v>
      </c>
      <c r="D126" s="42" t="s">
        <v>933</v>
      </c>
      <c r="E126" s="43">
        <v>100</v>
      </c>
      <c r="F126" s="44" t="s">
        <v>17</v>
      </c>
      <c r="G126" s="44" t="s">
        <v>17</v>
      </c>
      <c r="H126" s="44">
        <f>84201*117/100</f>
        <v>98515.17</v>
      </c>
      <c r="I126" s="44">
        <f>H126</f>
        <v>98515.17</v>
      </c>
      <c r="J126" s="42" t="s">
        <v>14</v>
      </c>
      <c r="K126" s="208" t="s">
        <v>258</v>
      </c>
      <c r="L126" s="208" t="s">
        <v>947</v>
      </c>
      <c r="M126" s="211"/>
      <c r="N126" s="209" t="s">
        <v>22</v>
      </c>
      <c r="O126" s="210"/>
      <c r="P126" s="13"/>
      <c r="Q126" s="14"/>
    </row>
    <row r="127" spans="1:17" ht="15" customHeight="1" x14ac:dyDescent="0.2">
      <c r="A127" s="336"/>
      <c r="B127" s="337" t="s">
        <v>934</v>
      </c>
      <c r="C127" s="338"/>
      <c r="D127" s="338"/>
      <c r="E127" s="338"/>
      <c r="F127" s="338"/>
      <c r="G127" s="338"/>
      <c r="H127" s="338"/>
      <c r="I127" s="338"/>
      <c r="J127" s="338"/>
      <c r="K127" s="338"/>
      <c r="L127" s="338"/>
      <c r="M127" s="338"/>
      <c r="N127" s="338"/>
      <c r="O127" s="339"/>
    </row>
    <row r="128" spans="1:17" ht="15.75" x14ac:dyDescent="0.2">
      <c r="A128" s="332" t="s">
        <v>935</v>
      </c>
      <c r="B128" s="333"/>
      <c r="C128" s="333"/>
      <c r="D128" s="333"/>
      <c r="E128" s="333"/>
      <c r="F128" s="333"/>
      <c r="G128" s="333"/>
      <c r="H128" s="333"/>
      <c r="I128" s="333"/>
      <c r="J128" s="333"/>
      <c r="K128" s="333"/>
      <c r="L128" s="333"/>
      <c r="M128" s="333"/>
      <c r="N128" s="333"/>
      <c r="O128" s="334"/>
    </row>
    <row r="129" spans="1:15" ht="38.25" x14ac:dyDescent="0.2">
      <c r="A129" s="359">
        <v>22</v>
      </c>
      <c r="B129" s="362" t="s">
        <v>938</v>
      </c>
      <c r="C129" s="362" t="s">
        <v>78</v>
      </c>
      <c r="D129" s="16" t="s">
        <v>936</v>
      </c>
      <c r="E129" s="17">
        <v>100</v>
      </c>
      <c r="F129" s="18" t="s">
        <v>17</v>
      </c>
      <c r="G129" s="188" t="s">
        <v>17</v>
      </c>
      <c r="H129" s="21">
        <f>79325</f>
        <v>79325</v>
      </c>
      <c r="I129" s="21">
        <f>H129</f>
        <v>79325</v>
      </c>
      <c r="J129" s="16" t="s">
        <v>14</v>
      </c>
      <c r="K129" s="344" t="s">
        <v>18</v>
      </c>
      <c r="L129" s="344" t="s">
        <v>529</v>
      </c>
      <c r="M129" s="379">
        <f>I129</f>
        <v>79325</v>
      </c>
      <c r="N129" s="348" t="s">
        <v>22</v>
      </c>
      <c r="O129" s="403">
        <v>1712200750</v>
      </c>
    </row>
    <row r="130" spans="1:15" ht="51" x14ac:dyDescent="0.2">
      <c r="A130" s="360"/>
      <c r="B130" s="363"/>
      <c r="C130" s="363"/>
      <c r="D130" s="23" t="s">
        <v>937</v>
      </c>
      <c r="E130" s="32">
        <v>77</v>
      </c>
      <c r="F130" s="15" t="s">
        <v>17</v>
      </c>
      <c r="G130" s="170" t="s">
        <v>17</v>
      </c>
      <c r="H130" s="15">
        <f>117380</f>
        <v>117380</v>
      </c>
      <c r="I130" s="15">
        <f>H130</f>
        <v>117380</v>
      </c>
      <c r="J130" s="23" t="s">
        <v>14</v>
      </c>
      <c r="K130" s="365"/>
      <c r="L130" s="365"/>
      <c r="M130" s="380"/>
      <c r="N130" s="369"/>
      <c r="O130" s="404"/>
    </row>
    <row r="131" spans="1:15" ht="14.25" x14ac:dyDescent="0.2">
      <c r="A131" s="360"/>
      <c r="B131" s="364"/>
      <c r="C131" s="364"/>
      <c r="D131" s="23" t="s">
        <v>933</v>
      </c>
      <c r="E131" s="32">
        <v>69</v>
      </c>
      <c r="F131" s="15" t="s">
        <v>17</v>
      </c>
      <c r="G131" s="170" t="s">
        <v>17</v>
      </c>
      <c r="H131" s="15">
        <f>141570</f>
        <v>141570</v>
      </c>
      <c r="I131" s="15">
        <f>H131</f>
        <v>141570</v>
      </c>
      <c r="J131" s="23" t="s">
        <v>14</v>
      </c>
      <c r="K131" s="345"/>
      <c r="L131" s="345"/>
      <c r="M131" s="382"/>
      <c r="N131" s="349"/>
      <c r="O131" s="405"/>
    </row>
    <row r="132" spans="1:15" ht="14.25" customHeight="1" x14ac:dyDescent="0.2">
      <c r="A132" s="361"/>
      <c r="B132" s="337"/>
      <c r="C132" s="338"/>
      <c r="D132" s="338"/>
      <c r="E132" s="338"/>
      <c r="F132" s="338"/>
      <c r="G132" s="338"/>
      <c r="H132" s="338"/>
      <c r="I132" s="338"/>
      <c r="J132" s="338"/>
      <c r="K132" s="338"/>
      <c r="L132" s="338"/>
      <c r="M132" s="338"/>
      <c r="N132" s="338"/>
      <c r="O132" s="339"/>
    </row>
    <row r="133" spans="1:15" ht="15.75" x14ac:dyDescent="0.2">
      <c r="A133" s="332" t="s">
        <v>939</v>
      </c>
      <c r="B133" s="333"/>
      <c r="C133" s="333"/>
      <c r="D133" s="333"/>
      <c r="E133" s="333"/>
      <c r="F133" s="333"/>
      <c r="G133" s="333"/>
      <c r="H133" s="333"/>
      <c r="I133" s="333"/>
      <c r="J133" s="333"/>
      <c r="K133" s="333"/>
      <c r="L133" s="333"/>
      <c r="M133" s="333"/>
      <c r="N133" s="333"/>
      <c r="O133" s="334"/>
    </row>
    <row r="134" spans="1:15" ht="14.25" x14ac:dyDescent="0.2">
      <c r="A134" s="359">
        <v>23</v>
      </c>
      <c r="B134" s="362" t="s">
        <v>940</v>
      </c>
      <c r="C134" s="362" t="s">
        <v>52</v>
      </c>
      <c r="D134" s="16" t="s">
        <v>617</v>
      </c>
      <c r="E134" s="17">
        <v>100</v>
      </c>
      <c r="F134" s="18" t="s">
        <v>17</v>
      </c>
      <c r="G134" s="188" t="s">
        <v>17</v>
      </c>
      <c r="H134" s="21">
        <f>70000*117/100</f>
        <v>81900</v>
      </c>
      <c r="I134" s="21">
        <f>H134</f>
        <v>81900</v>
      </c>
      <c r="J134" s="16" t="s">
        <v>14</v>
      </c>
      <c r="K134" s="344" t="s">
        <v>18</v>
      </c>
      <c r="L134" s="344" t="s">
        <v>529</v>
      </c>
      <c r="M134" s="379">
        <f>I134</f>
        <v>81900</v>
      </c>
      <c r="N134" s="348" t="s">
        <v>22</v>
      </c>
      <c r="O134" s="403">
        <v>1712200750</v>
      </c>
    </row>
    <row r="135" spans="1:15" ht="26.25" customHeight="1" x14ac:dyDescent="0.2">
      <c r="A135" s="360"/>
      <c r="B135" s="363"/>
      <c r="C135" s="363"/>
      <c r="D135" s="23" t="s">
        <v>850</v>
      </c>
      <c r="E135" s="32">
        <v>66</v>
      </c>
      <c r="F135" s="15" t="s">
        <v>17</v>
      </c>
      <c r="G135" s="170" t="s">
        <v>17</v>
      </c>
      <c r="H135" s="15">
        <f>147000*117/100</f>
        <v>171990</v>
      </c>
      <c r="I135" s="15">
        <f>H135</f>
        <v>171990</v>
      </c>
      <c r="J135" s="23"/>
      <c r="K135" s="365"/>
      <c r="L135" s="365"/>
      <c r="M135" s="380"/>
      <c r="N135" s="369"/>
      <c r="O135" s="404"/>
    </row>
    <row r="136" spans="1:15" ht="28.5" customHeight="1" x14ac:dyDescent="0.2">
      <c r="A136" s="360"/>
      <c r="B136" s="364"/>
      <c r="C136" s="364"/>
      <c r="D136" s="23" t="s">
        <v>134</v>
      </c>
      <c r="E136" s="32">
        <v>61</v>
      </c>
      <c r="F136" s="15" t="s">
        <v>17</v>
      </c>
      <c r="G136" s="170" t="s">
        <v>17</v>
      </c>
      <c r="H136" s="15">
        <f>160000*117/100</f>
        <v>187200</v>
      </c>
      <c r="I136" s="15">
        <f>H136</f>
        <v>187200</v>
      </c>
      <c r="J136" s="23" t="s">
        <v>14</v>
      </c>
      <c r="K136" s="345"/>
      <c r="L136" s="345"/>
      <c r="M136" s="382"/>
      <c r="N136" s="349"/>
      <c r="O136" s="405"/>
    </row>
    <row r="137" spans="1:15" ht="14.25" customHeight="1" x14ac:dyDescent="0.2">
      <c r="A137" s="361"/>
      <c r="B137" s="337" t="s">
        <v>341</v>
      </c>
      <c r="C137" s="338"/>
      <c r="D137" s="338"/>
      <c r="E137" s="338"/>
      <c r="F137" s="338"/>
      <c r="G137" s="338"/>
      <c r="H137" s="338"/>
      <c r="I137" s="338"/>
      <c r="J137" s="338"/>
      <c r="K137" s="338"/>
      <c r="L137" s="338"/>
      <c r="M137" s="338"/>
      <c r="N137" s="338"/>
      <c r="O137" s="339"/>
    </row>
    <row r="139" spans="1:15" x14ac:dyDescent="0.2">
      <c r="B139" s="28"/>
    </row>
  </sheetData>
  <mergeCells count="208">
    <mergeCell ref="A10:O10"/>
    <mergeCell ref="B16:O16"/>
    <mergeCell ref="O11:O15"/>
    <mergeCell ref="N11:N15"/>
    <mergeCell ref="M11:M15"/>
    <mergeCell ref="L11:L15"/>
    <mergeCell ref="K11:K15"/>
    <mergeCell ref="C11:C15"/>
    <mergeCell ref="B11:B15"/>
    <mergeCell ref="A11:A16"/>
    <mergeCell ref="A133:O133"/>
    <mergeCell ref="A134:A137"/>
    <mergeCell ref="B134:B136"/>
    <mergeCell ref="C134:C136"/>
    <mergeCell ref="K134:K136"/>
    <mergeCell ref="L134:L136"/>
    <mergeCell ref="M134:M136"/>
    <mergeCell ref="N134:N136"/>
    <mergeCell ref="O134:O136"/>
    <mergeCell ref="B137:O137"/>
    <mergeCell ref="A117:O117"/>
    <mergeCell ref="A118:A119"/>
    <mergeCell ref="B119:O119"/>
    <mergeCell ref="A120:O120"/>
    <mergeCell ref="A121:A124"/>
    <mergeCell ref="B121:B123"/>
    <mergeCell ref="C121:C123"/>
    <mergeCell ref="K121:K123"/>
    <mergeCell ref="L121:L123"/>
    <mergeCell ref="M121:M123"/>
    <mergeCell ref="N121:N123"/>
    <mergeCell ref="O121:O123"/>
    <mergeCell ref="B124:O124"/>
    <mergeCell ref="A111:O111"/>
    <mergeCell ref="A112:A116"/>
    <mergeCell ref="B112:B115"/>
    <mergeCell ref="C112:C115"/>
    <mergeCell ref="K112:K115"/>
    <mergeCell ref="L112:L115"/>
    <mergeCell ref="M112:M115"/>
    <mergeCell ref="N112:N115"/>
    <mergeCell ref="O112:O115"/>
    <mergeCell ref="B116:O116"/>
    <mergeCell ref="A102:O102"/>
    <mergeCell ref="A103:A110"/>
    <mergeCell ref="B103:B109"/>
    <mergeCell ref="C103:C109"/>
    <mergeCell ref="K103:K109"/>
    <mergeCell ref="L103:L109"/>
    <mergeCell ref="M103:M109"/>
    <mergeCell ref="N103:N109"/>
    <mergeCell ref="O103:O109"/>
    <mergeCell ref="B110:O110"/>
    <mergeCell ref="A85:O85"/>
    <mergeCell ref="A86:A90"/>
    <mergeCell ref="B86:B89"/>
    <mergeCell ref="C86:C89"/>
    <mergeCell ref="K86:K89"/>
    <mergeCell ref="L86:L89"/>
    <mergeCell ref="M86:M89"/>
    <mergeCell ref="N86:N89"/>
    <mergeCell ref="O86:O89"/>
    <mergeCell ref="B90:O90"/>
    <mergeCell ref="A78:O78"/>
    <mergeCell ref="A79:A84"/>
    <mergeCell ref="B79:B83"/>
    <mergeCell ref="C79:C83"/>
    <mergeCell ref="K79:K83"/>
    <mergeCell ref="L79:L83"/>
    <mergeCell ref="M79:M83"/>
    <mergeCell ref="N79:N83"/>
    <mergeCell ref="O79:O83"/>
    <mergeCell ref="B84:O84"/>
    <mergeCell ref="A74:O74"/>
    <mergeCell ref="A75:A77"/>
    <mergeCell ref="B75:B76"/>
    <mergeCell ref="C75:C76"/>
    <mergeCell ref="K75:K76"/>
    <mergeCell ref="L75:L76"/>
    <mergeCell ref="M75:M76"/>
    <mergeCell ref="N75:N76"/>
    <mergeCell ref="O75:O76"/>
    <mergeCell ref="B77:O77"/>
    <mergeCell ref="O61:O64"/>
    <mergeCell ref="B65:O65"/>
    <mergeCell ref="A66:O66"/>
    <mergeCell ref="A67:A73"/>
    <mergeCell ref="B67:B72"/>
    <mergeCell ref="C67:C72"/>
    <mergeCell ref="K67:K72"/>
    <mergeCell ref="L67:L72"/>
    <mergeCell ref="M67:M72"/>
    <mergeCell ref="N67:N72"/>
    <mergeCell ref="O67:O72"/>
    <mergeCell ref="B73:O73"/>
    <mergeCell ref="A22:O22"/>
    <mergeCell ref="A23:A26"/>
    <mergeCell ref="B23:B25"/>
    <mergeCell ref="C23:C25"/>
    <mergeCell ref="K23:K25"/>
    <mergeCell ref="L23:L25"/>
    <mergeCell ref="M23:M25"/>
    <mergeCell ref="N23:N25"/>
    <mergeCell ref="O23:O25"/>
    <mergeCell ref="B26:O26"/>
    <mergeCell ref="A94:O94"/>
    <mergeCell ref="A95:A101"/>
    <mergeCell ref="B95:B100"/>
    <mergeCell ref="C95:C100"/>
    <mergeCell ref="K95:K100"/>
    <mergeCell ref="L95:L100"/>
    <mergeCell ref="M95:M100"/>
    <mergeCell ref="N95:N100"/>
    <mergeCell ref="O95:O100"/>
    <mergeCell ref="B101:M101"/>
    <mergeCell ref="N54:N58"/>
    <mergeCell ref="O54:O58"/>
    <mergeCell ref="B59:O59"/>
    <mergeCell ref="A91:O91"/>
    <mergeCell ref="A92:A93"/>
    <mergeCell ref="B93:O93"/>
    <mergeCell ref="N47:N51"/>
    <mergeCell ref="O47:O51"/>
    <mergeCell ref="B52:O52"/>
    <mergeCell ref="A53:O53"/>
    <mergeCell ref="A54:A59"/>
    <mergeCell ref="B54:B58"/>
    <mergeCell ref="C54:C58"/>
    <mergeCell ref="K54:K58"/>
    <mergeCell ref="L54:L58"/>
    <mergeCell ref="M54:M58"/>
    <mergeCell ref="A60:O60"/>
    <mergeCell ref="A61:A65"/>
    <mergeCell ref="B61:B64"/>
    <mergeCell ref="C61:C64"/>
    <mergeCell ref="K61:K64"/>
    <mergeCell ref="L61:L64"/>
    <mergeCell ref="M61:M64"/>
    <mergeCell ref="N61:N64"/>
    <mergeCell ref="A46:O46"/>
    <mergeCell ref="A47:A52"/>
    <mergeCell ref="B47:B51"/>
    <mergeCell ref="C47:C51"/>
    <mergeCell ref="K47:K51"/>
    <mergeCell ref="L47:L51"/>
    <mergeCell ref="M47:M51"/>
    <mergeCell ref="A40:O40"/>
    <mergeCell ref="A41:A45"/>
    <mergeCell ref="B41:B44"/>
    <mergeCell ref="C41:C44"/>
    <mergeCell ref="K41:K44"/>
    <mergeCell ref="L41:L44"/>
    <mergeCell ref="M41:M44"/>
    <mergeCell ref="N41:N44"/>
    <mergeCell ref="O41:O44"/>
    <mergeCell ref="B45:O45"/>
    <mergeCell ref="K36:K38"/>
    <mergeCell ref="L36:L38"/>
    <mergeCell ref="M36:M38"/>
    <mergeCell ref="N36:N38"/>
    <mergeCell ref="O36:O38"/>
    <mergeCell ref="A27:O27"/>
    <mergeCell ref="A28:A34"/>
    <mergeCell ref="B28:B33"/>
    <mergeCell ref="C28:C33"/>
    <mergeCell ref="K28:K33"/>
    <mergeCell ref="L28:L33"/>
    <mergeCell ref="M28:M33"/>
    <mergeCell ref="N28:N33"/>
    <mergeCell ref="O28:O33"/>
    <mergeCell ref="B34:O34"/>
    <mergeCell ref="A35:O35"/>
    <mergeCell ref="A36:A39"/>
    <mergeCell ref="B36:B38"/>
    <mergeCell ref="C36:C38"/>
    <mergeCell ref="B39:O39"/>
    <mergeCell ref="A17:O17"/>
    <mergeCell ref="A18:A21"/>
    <mergeCell ref="B18:B20"/>
    <mergeCell ref="C18:C20"/>
    <mergeCell ref="K18:K20"/>
    <mergeCell ref="L18:L20"/>
    <mergeCell ref="M18:M20"/>
    <mergeCell ref="N18:N20"/>
    <mergeCell ref="O18:O20"/>
    <mergeCell ref="B21:O21"/>
    <mergeCell ref="A1:A6"/>
    <mergeCell ref="B1:O1"/>
    <mergeCell ref="B2:O2"/>
    <mergeCell ref="B3:O3"/>
    <mergeCell ref="B4:O4"/>
    <mergeCell ref="B5:O5"/>
    <mergeCell ref="A7:O7"/>
    <mergeCell ref="A8:A9"/>
    <mergeCell ref="B9:O9"/>
    <mergeCell ref="A125:O125"/>
    <mergeCell ref="A126:A127"/>
    <mergeCell ref="B127:O127"/>
    <mergeCell ref="A128:O128"/>
    <mergeCell ref="A129:A132"/>
    <mergeCell ref="B129:B131"/>
    <mergeCell ref="C129:C131"/>
    <mergeCell ref="K129:K131"/>
    <mergeCell ref="L129:L131"/>
    <mergeCell ref="M129:M131"/>
    <mergeCell ref="N129:N131"/>
    <mergeCell ref="O129:O131"/>
    <mergeCell ref="B132:O132"/>
  </mergeCells>
  <phoneticPr fontId="24" type="noConversion"/>
  <pageMargins left="0.25" right="0.25" top="0.75" bottom="0.75" header="0.3" footer="0.3"/>
  <pageSetup paperSize="9" scale="72" fitToHeight="0" orientation="landscape" r:id="rId1"/>
  <rowBreaks count="1" manualBreakCount="1">
    <brk id="39" max="16383" man="1"/>
  </rowBreaks>
  <ignoredErrors>
    <ignoredError sqref="H12 H32 H106 H98" 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B1A901-ED55-4E85-8409-BC9E33D0470B}">
  <sheetPr>
    <pageSetUpPr fitToPage="1"/>
  </sheetPr>
  <dimension ref="A1:Q61"/>
  <sheetViews>
    <sheetView rightToLeft="1" topLeftCell="A55" zoomScaleNormal="100" workbookViewId="0">
      <selection activeCell="A61" sqref="A61:XFD61"/>
    </sheetView>
  </sheetViews>
  <sheetFormatPr defaultColWidth="8.75" defaultRowHeight="15" x14ac:dyDescent="0.2"/>
  <cols>
    <col min="1" max="1" width="4.25" customWidth="1"/>
    <col min="2" max="2" width="21.125" style="9" bestFit="1" customWidth="1"/>
    <col min="4" max="4" width="7.25" customWidth="1"/>
    <col min="5" max="5" width="7.75" customWidth="1"/>
    <col min="6" max="6" width="10.25" bestFit="1" customWidth="1"/>
    <col min="7" max="7" width="12.125" style="10" bestFit="1" customWidth="1"/>
    <col min="8" max="8" width="13.625" style="11" bestFit="1" customWidth="1"/>
    <col min="9" max="9" width="14.625" style="11" bestFit="1" customWidth="1"/>
    <col min="10" max="10" width="9" customWidth="1"/>
    <col min="11" max="11" width="12.875" style="12" customWidth="1"/>
    <col min="12" max="12" width="19.375" style="12" customWidth="1"/>
    <col min="13" max="13" width="15" style="12" customWidth="1"/>
    <col min="14" max="14" width="10.875" style="13" customWidth="1"/>
    <col min="15" max="15" width="13" style="14" customWidth="1"/>
  </cols>
  <sheetData>
    <row r="1" spans="1:15" ht="20.25" x14ac:dyDescent="0.2">
      <c r="A1" s="354"/>
      <c r="B1" s="355" t="s">
        <v>1173</v>
      </c>
      <c r="C1" s="355"/>
      <c r="D1" s="355"/>
      <c r="E1" s="355"/>
      <c r="F1" s="355"/>
      <c r="G1" s="355"/>
      <c r="H1" s="355"/>
      <c r="I1" s="355"/>
      <c r="J1" s="355"/>
      <c r="K1" s="355"/>
      <c r="L1" s="355"/>
      <c r="M1" s="355"/>
      <c r="N1" s="355"/>
      <c r="O1" s="355"/>
    </row>
    <row r="2" spans="1:15" ht="14.25" x14ac:dyDescent="0.2">
      <c r="A2" s="354"/>
      <c r="B2" s="356" t="s">
        <v>198</v>
      </c>
      <c r="C2" s="356"/>
      <c r="D2" s="356"/>
      <c r="E2" s="356"/>
      <c r="F2" s="356"/>
      <c r="G2" s="356"/>
      <c r="H2" s="356"/>
      <c r="I2" s="356"/>
      <c r="J2" s="356"/>
      <c r="K2" s="356"/>
      <c r="L2" s="356"/>
      <c r="M2" s="356"/>
      <c r="N2" s="356"/>
      <c r="O2" s="356"/>
    </row>
    <row r="3" spans="1:15" ht="15.75" x14ac:dyDescent="0.2">
      <c r="A3" s="354"/>
      <c r="B3" s="357" t="s">
        <v>663</v>
      </c>
      <c r="C3" s="357"/>
      <c r="D3" s="357"/>
      <c r="E3" s="357"/>
      <c r="F3" s="357"/>
      <c r="G3" s="357"/>
      <c r="H3" s="357"/>
      <c r="I3" s="357"/>
      <c r="J3" s="357"/>
      <c r="K3" s="357"/>
      <c r="L3" s="357"/>
      <c r="M3" s="357"/>
      <c r="N3" s="357"/>
      <c r="O3" s="357"/>
    </row>
    <row r="4" spans="1:15" ht="14.25" x14ac:dyDescent="0.2">
      <c r="A4" s="354"/>
      <c r="B4" s="358" t="s">
        <v>71</v>
      </c>
      <c r="C4" s="358"/>
      <c r="D4" s="358"/>
      <c r="E4" s="358"/>
      <c r="F4" s="358"/>
      <c r="G4" s="358"/>
      <c r="H4" s="358"/>
      <c r="I4" s="358"/>
      <c r="J4" s="358"/>
      <c r="K4" s="358"/>
      <c r="L4" s="358"/>
      <c r="M4" s="358"/>
      <c r="N4" s="358"/>
      <c r="O4" s="358"/>
    </row>
    <row r="5" spans="1:15" ht="14.25" x14ac:dyDescent="0.2">
      <c r="A5" s="354"/>
      <c r="B5" s="358" t="s">
        <v>70</v>
      </c>
      <c r="C5" s="358"/>
      <c r="D5" s="358"/>
      <c r="E5" s="358"/>
      <c r="F5" s="358"/>
      <c r="G5" s="358"/>
      <c r="H5" s="358"/>
      <c r="I5" s="358"/>
      <c r="J5" s="358"/>
      <c r="K5" s="358"/>
      <c r="L5" s="358"/>
      <c r="M5" s="358"/>
      <c r="N5" s="358"/>
      <c r="O5" s="358"/>
    </row>
    <row r="6" spans="1:15" ht="46.5" customHeight="1" x14ac:dyDescent="0.2">
      <c r="A6" s="354"/>
      <c r="B6" s="1" t="s">
        <v>1</v>
      </c>
      <c r="C6" s="2" t="s">
        <v>2</v>
      </c>
      <c r="D6" s="3" t="s">
        <v>3</v>
      </c>
      <c r="E6" s="3" t="s">
        <v>4</v>
      </c>
      <c r="F6" s="3" t="s">
        <v>5</v>
      </c>
      <c r="G6" s="3" t="s">
        <v>6</v>
      </c>
      <c r="H6" s="4" t="s">
        <v>7</v>
      </c>
      <c r="I6" s="5" t="s">
        <v>8</v>
      </c>
      <c r="J6" s="3" t="s">
        <v>9</v>
      </c>
      <c r="K6" s="3" t="s">
        <v>10</v>
      </c>
      <c r="L6" s="3" t="s">
        <v>525</v>
      </c>
      <c r="M6" s="109" t="s">
        <v>526</v>
      </c>
      <c r="N6" s="6" t="s">
        <v>11</v>
      </c>
      <c r="O6" s="3" t="s">
        <v>12</v>
      </c>
    </row>
    <row r="7" spans="1:15" ht="15.75" x14ac:dyDescent="0.2">
      <c r="A7" s="414" t="s">
        <v>787</v>
      </c>
      <c r="B7" s="414"/>
      <c r="C7" s="414"/>
      <c r="D7" s="414"/>
      <c r="E7" s="414"/>
      <c r="F7" s="414"/>
      <c r="G7" s="414"/>
      <c r="H7" s="414"/>
      <c r="I7" s="414"/>
      <c r="J7" s="414"/>
      <c r="K7" s="414"/>
      <c r="L7" s="414"/>
      <c r="M7" s="414"/>
      <c r="N7" s="414"/>
      <c r="O7" s="414"/>
    </row>
    <row r="8" spans="1:15" ht="25.5" customHeight="1" x14ac:dyDescent="0.2">
      <c r="A8" s="417">
        <v>1</v>
      </c>
      <c r="B8" s="418" t="s">
        <v>776</v>
      </c>
      <c r="C8" s="418" t="s">
        <v>777</v>
      </c>
      <c r="D8" s="16" t="s">
        <v>778</v>
      </c>
      <c r="E8" s="17">
        <v>100</v>
      </c>
      <c r="F8" s="18" t="s">
        <v>13</v>
      </c>
      <c r="G8" s="188" t="s">
        <v>779</v>
      </c>
      <c r="H8" s="21">
        <f>150</f>
        <v>150</v>
      </c>
      <c r="I8" s="21">
        <f>H8*12*4*10</f>
        <v>72000</v>
      </c>
      <c r="J8" s="16" t="s">
        <v>14</v>
      </c>
      <c r="K8" s="344" t="s">
        <v>253</v>
      </c>
      <c r="L8" s="344" t="s">
        <v>1172</v>
      </c>
      <c r="M8" s="416">
        <f>I8</f>
        <v>72000</v>
      </c>
      <c r="N8" s="419" t="s">
        <v>22</v>
      </c>
      <c r="O8" s="420">
        <v>1812200750</v>
      </c>
    </row>
    <row r="9" spans="1:15" ht="24" x14ac:dyDescent="0.2">
      <c r="A9" s="417"/>
      <c r="B9" s="418"/>
      <c r="C9" s="418"/>
      <c r="D9" s="23" t="s">
        <v>780</v>
      </c>
      <c r="E9" s="32">
        <v>96</v>
      </c>
      <c r="F9" s="15" t="s">
        <v>13</v>
      </c>
      <c r="G9" s="170" t="s">
        <v>779</v>
      </c>
      <c r="H9" s="15">
        <f>160</f>
        <v>160</v>
      </c>
      <c r="I9" s="15">
        <f>H9*12*4*10</f>
        <v>76800</v>
      </c>
      <c r="J9" s="23" t="s">
        <v>14</v>
      </c>
      <c r="K9" s="365"/>
      <c r="L9" s="365"/>
      <c r="M9" s="415"/>
      <c r="N9" s="419"/>
      <c r="O9" s="420"/>
    </row>
    <row r="10" spans="1:15" ht="24" x14ac:dyDescent="0.2">
      <c r="A10" s="417"/>
      <c r="B10" s="418"/>
      <c r="C10" s="418"/>
      <c r="D10" s="35" t="s">
        <v>781</v>
      </c>
      <c r="E10" s="36">
        <v>96</v>
      </c>
      <c r="F10" s="171" t="s">
        <v>13</v>
      </c>
      <c r="G10" s="170" t="s">
        <v>779</v>
      </c>
      <c r="H10" s="15">
        <f>160</f>
        <v>160</v>
      </c>
      <c r="I10" s="15">
        <f t="shared" ref="I10:I11" si="0">H10*12*4*10</f>
        <v>76800</v>
      </c>
      <c r="J10" s="172" t="s">
        <v>14</v>
      </c>
      <c r="K10" s="365"/>
      <c r="L10" s="365"/>
      <c r="M10" s="415"/>
      <c r="N10" s="419"/>
      <c r="O10" s="420"/>
    </row>
    <row r="11" spans="1:15" ht="25.5" x14ac:dyDescent="0.2">
      <c r="A11" s="417"/>
      <c r="B11" s="418"/>
      <c r="C11" s="418"/>
      <c r="D11" s="35" t="s">
        <v>782</v>
      </c>
      <c r="E11" s="36">
        <v>94</v>
      </c>
      <c r="F11" s="171" t="s">
        <v>13</v>
      </c>
      <c r="G11" s="170" t="s">
        <v>779</v>
      </c>
      <c r="H11" s="15">
        <f>150</f>
        <v>150</v>
      </c>
      <c r="I11" s="15">
        <f t="shared" si="0"/>
        <v>72000</v>
      </c>
      <c r="J11" s="172" t="s">
        <v>14</v>
      </c>
      <c r="K11" s="345"/>
      <c r="L11" s="345"/>
      <c r="M11" s="415"/>
      <c r="N11" s="419"/>
      <c r="O11" s="420"/>
    </row>
    <row r="12" spans="1:15" ht="14.25" customHeight="1" x14ac:dyDescent="0.2">
      <c r="A12" s="417"/>
      <c r="B12" s="415"/>
      <c r="C12" s="415"/>
      <c r="D12" s="415"/>
      <c r="E12" s="415"/>
      <c r="F12" s="415"/>
      <c r="G12" s="415"/>
      <c r="H12" s="415"/>
      <c r="I12" s="415"/>
      <c r="J12" s="415"/>
      <c r="K12" s="415"/>
      <c r="L12" s="415"/>
      <c r="M12" s="415"/>
      <c r="N12" s="415"/>
      <c r="O12" s="415"/>
    </row>
    <row r="13" spans="1:15" ht="15.75" x14ac:dyDescent="0.2">
      <c r="A13" s="414" t="s">
        <v>789</v>
      </c>
      <c r="B13" s="414"/>
      <c r="C13" s="414"/>
      <c r="D13" s="414"/>
      <c r="E13" s="414"/>
      <c r="F13" s="414"/>
      <c r="G13" s="414"/>
      <c r="H13" s="414"/>
      <c r="I13" s="414"/>
      <c r="J13" s="414"/>
      <c r="K13" s="414"/>
      <c r="L13" s="414"/>
      <c r="M13" s="414"/>
      <c r="N13" s="414"/>
      <c r="O13" s="414"/>
    </row>
    <row r="14" spans="1:15" ht="25.5" customHeight="1" x14ac:dyDescent="0.2">
      <c r="A14" s="417">
        <v>2</v>
      </c>
      <c r="B14" s="418" t="s">
        <v>776</v>
      </c>
      <c r="C14" s="418" t="s">
        <v>777</v>
      </c>
      <c r="D14" s="16" t="s">
        <v>788</v>
      </c>
      <c r="E14" s="17">
        <v>100</v>
      </c>
      <c r="F14" s="18" t="s">
        <v>13</v>
      </c>
      <c r="G14" s="188" t="s">
        <v>779</v>
      </c>
      <c r="H14" s="21">
        <f>150</f>
        <v>150</v>
      </c>
      <c r="I14" s="21">
        <f>H14*12*4*10</f>
        <v>72000</v>
      </c>
      <c r="J14" s="16" t="s">
        <v>14</v>
      </c>
      <c r="K14" s="344" t="s">
        <v>253</v>
      </c>
      <c r="L14" s="344" t="s">
        <v>529</v>
      </c>
      <c r="M14" s="416">
        <f>I14</f>
        <v>72000</v>
      </c>
      <c r="N14" s="419" t="s">
        <v>22</v>
      </c>
      <c r="O14" s="420">
        <v>1812200750</v>
      </c>
    </row>
    <row r="15" spans="1:15" ht="24" x14ac:dyDescent="0.2">
      <c r="A15" s="417"/>
      <c r="B15" s="418"/>
      <c r="C15" s="418"/>
      <c r="D15" s="23" t="s">
        <v>780</v>
      </c>
      <c r="E15" s="32">
        <v>96</v>
      </c>
      <c r="F15" s="15" t="s">
        <v>13</v>
      </c>
      <c r="G15" s="170" t="s">
        <v>779</v>
      </c>
      <c r="H15" s="15">
        <f>160</f>
        <v>160</v>
      </c>
      <c r="I15" s="15">
        <f>H15*12*4*10</f>
        <v>76800</v>
      </c>
      <c r="J15" s="23" t="s">
        <v>14</v>
      </c>
      <c r="K15" s="365"/>
      <c r="L15" s="365"/>
      <c r="M15" s="415"/>
      <c r="N15" s="419"/>
      <c r="O15" s="420"/>
    </row>
    <row r="16" spans="1:15" ht="24" x14ac:dyDescent="0.2">
      <c r="A16" s="417"/>
      <c r="B16" s="418"/>
      <c r="C16" s="418"/>
      <c r="D16" s="35" t="s">
        <v>781</v>
      </c>
      <c r="E16" s="36">
        <v>96</v>
      </c>
      <c r="F16" s="171" t="s">
        <v>13</v>
      </c>
      <c r="G16" s="170" t="s">
        <v>779</v>
      </c>
      <c r="H16" s="15">
        <f>160</f>
        <v>160</v>
      </c>
      <c r="I16" s="15">
        <f t="shared" ref="I16:I17" si="1">H16*12*4*10</f>
        <v>76800</v>
      </c>
      <c r="J16" s="172" t="s">
        <v>14</v>
      </c>
      <c r="K16" s="365"/>
      <c r="L16" s="365"/>
      <c r="M16" s="415"/>
      <c r="N16" s="419"/>
      <c r="O16" s="420"/>
    </row>
    <row r="17" spans="1:15" ht="25.5" x14ac:dyDescent="0.2">
      <c r="A17" s="417"/>
      <c r="B17" s="418"/>
      <c r="C17" s="418"/>
      <c r="D17" s="35" t="s">
        <v>782</v>
      </c>
      <c r="E17" s="36">
        <v>94</v>
      </c>
      <c r="F17" s="171" t="s">
        <v>13</v>
      </c>
      <c r="G17" s="170" t="s">
        <v>779</v>
      </c>
      <c r="H17" s="15">
        <f>150</f>
        <v>150</v>
      </c>
      <c r="I17" s="15">
        <f t="shared" si="1"/>
        <v>72000</v>
      </c>
      <c r="J17" s="172" t="s">
        <v>14</v>
      </c>
      <c r="K17" s="345"/>
      <c r="L17" s="345"/>
      <c r="M17" s="415"/>
      <c r="N17" s="419"/>
      <c r="O17" s="420"/>
    </row>
    <row r="18" spans="1:15" ht="14.25" customHeight="1" x14ac:dyDescent="0.2">
      <c r="A18" s="417"/>
      <c r="B18" s="415"/>
      <c r="C18" s="415"/>
      <c r="D18" s="415"/>
      <c r="E18" s="415"/>
      <c r="F18" s="415"/>
      <c r="G18" s="415"/>
      <c r="H18" s="415"/>
      <c r="I18" s="415"/>
      <c r="J18" s="415"/>
      <c r="K18" s="415"/>
      <c r="L18" s="415"/>
      <c r="M18" s="415"/>
      <c r="N18" s="415"/>
      <c r="O18" s="415"/>
    </row>
    <row r="19" spans="1:15" ht="15.75" x14ac:dyDescent="0.2">
      <c r="A19" s="414" t="s">
        <v>790</v>
      </c>
      <c r="B19" s="414"/>
      <c r="C19" s="414"/>
      <c r="D19" s="414"/>
      <c r="E19" s="414"/>
      <c r="F19" s="414"/>
      <c r="G19" s="414"/>
      <c r="H19" s="414"/>
      <c r="I19" s="414"/>
      <c r="J19" s="414"/>
      <c r="K19" s="414"/>
      <c r="L19" s="414"/>
      <c r="M19" s="414"/>
      <c r="N19" s="414"/>
      <c r="O19" s="414"/>
    </row>
    <row r="20" spans="1:15" ht="25.5" customHeight="1" x14ac:dyDescent="0.2">
      <c r="A20" s="417">
        <v>3</v>
      </c>
      <c r="B20" s="418" t="s">
        <v>783</v>
      </c>
      <c r="C20" s="418" t="s">
        <v>777</v>
      </c>
      <c r="D20" s="16" t="s">
        <v>791</v>
      </c>
      <c r="E20" s="17">
        <v>100</v>
      </c>
      <c r="F20" s="18" t="s">
        <v>13</v>
      </c>
      <c r="G20" s="188" t="s">
        <v>779</v>
      </c>
      <c r="H20" s="21">
        <f>150</f>
        <v>150</v>
      </c>
      <c r="I20" s="21">
        <f>H20*12*4*10</f>
        <v>72000</v>
      </c>
      <c r="J20" s="16" t="s">
        <v>14</v>
      </c>
      <c r="K20" s="344" t="s">
        <v>253</v>
      </c>
      <c r="L20" s="344" t="s">
        <v>529</v>
      </c>
      <c r="M20" s="416">
        <f>I20</f>
        <v>72000</v>
      </c>
      <c r="N20" s="419" t="s">
        <v>22</v>
      </c>
      <c r="O20" s="420">
        <v>1812200750</v>
      </c>
    </row>
    <row r="21" spans="1:15" ht="24" x14ac:dyDescent="0.2">
      <c r="A21" s="417"/>
      <c r="B21" s="418"/>
      <c r="C21" s="418"/>
      <c r="D21" s="23" t="s">
        <v>784</v>
      </c>
      <c r="E21" s="32">
        <v>94</v>
      </c>
      <c r="F21" s="15" t="s">
        <v>13</v>
      </c>
      <c r="G21" s="170" t="s">
        <v>779</v>
      </c>
      <c r="H21" s="15">
        <f>150</f>
        <v>150</v>
      </c>
      <c r="I21" s="15">
        <f t="shared" ref="I21:I23" si="2">H21*12*4*10</f>
        <v>72000</v>
      </c>
      <c r="J21" s="23" t="s">
        <v>14</v>
      </c>
      <c r="K21" s="365"/>
      <c r="L21" s="365"/>
      <c r="M21" s="415"/>
      <c r="N21" s="419"/>
      <c r="O21" s="420"/>
    </row>
    <row r="22" spans="1:15" ht="25.5" x14ac:dyDescent="0.2">
      <c r="A22" s="417"/>
      <c r="B22" s="418"/>
      <c r="C22" s="418"/>
      <c r="D22" s="35" t="s">
        <v>785</v>
      </c>
      <c r="E22" s="36">
        <v>83</v>
      </c>
      <c r="F22" s="171" t="s">
        <v>13</v>
      </c>
      <c r="G22" s="170" t="s">
        <v>779</v>
      </c>
      <c r="H22" s="15">
        <f>200</f>
        <v>200</v>
      </c>
      <c r="I22" s="15">
        <f t="shared" si="2"/>
        <v>96000</v>
      </c>
      <c r="J22" s="172" t="s">
        <v>14</v>
      </c>
      <c r="K22" s="365"/>
      <c r="L22" s="365"/>
      <c r="M22" s="415"/>
      <c r="N22" s="419"/>
      <c r="O22" s="420"/>
    </row>
    <row r="23" spans="1:15" ht="25.5" x14ac:dyDescent="0.2">
      <c r="A23" s="417"/>
      <c r="B23" s="418"/>
      <c r="C23" s="418"/>
      <c r="D23" s="35" t="s">
        <v>786</v>
      </c>
      <c r="E23" s="36">
        <v>83</v>
      </c>
      <c r="F23" s="171" t="s">
        <v>13</v>
      </c>
      <c r="G23" s="170" t="s">
        <v>779</v>
      </c>
      <c r="H23" s="15">
        <f>200</f>
        <v>200</v>
      </c>
      <c r="I23" s="15">
        <f t="shared" si="2"/>
        <v>96000</v>
      </c>
      <c r="J23" s="172" t="s">
        <v>14</v>
      </c>
      <c r="K23" s="345"/>
      <c r="L23" s="345"/>
      <c r="M23" s="415"/>
      <c r="N23" s="419"/>
      <c r="O23" s="420"/>
    </row>
    <row r="24" spans="1:15" ht="14.25" customHeight="1" x14ac:dyDescent="0.2">
      <c r="A24" s="417"/>
      <c r="B24" s="415"/>
      <c r="C24" s="415"/>
      <c r="D24" s="415"/>
      <c r="E24" s="415"/>
      <c r="F24" s="415"/>
      <c r="G24" s="415"/>
      <c r="H24" s="415"/>
      <c r="I24" s="415"/>
      <c r="J24" s="415"/>
      <c r="K24" s="415"/>
      <c r="L24" s="415"/>
      <c r="M24" s="415"/>
      <c r="N24" s="415"/>
      <c r="O24" s="415"/>
    </row>
    <row r="25" spans="1:15" ht="15.75" x14ac:dyDescent="0.2">
      <c r="A25" s="414" t="s">
        <v>792</v>
      </c>
      <c r="B25" s="414"/>
      <c r="C25" s="414"/>
      <c r="D25" s="414"/>
      <c r="E25" s="414"/>
      <c r="F25" s="414"/>
      <c r="G25" s="414"/>
      <c r="H25" s="414"/>
      <c r="I25" s="414"/>
      <c r="J25" s="414"/>
      <c r="K25" s="414"/>
      <c r="L25" s="414"/>
      <c r="M25" s="414"/>
      <c r="N25" s="414"/>
      <c r="O25" s="414"/>
    </row>
    <row r="26" spans="1:15" ht="25.5" customHeight="1" x14ac:dyDescent="0.2">
      <c r="A26" s="417">
        <v>4</v>
      </c>
      <c r="B26" s="418" t="s">
        <v>783</v>
      </c>
      <c r="C26" s="418" t="s">
        <v>777</v>
      </c>
      <c r="D26" s="16" t="s">
        <v>793</v>
      </c>
      <c r="E26" s="17">
        <v>100</v>
      </c>
      <c r="F26" s="18" t="s">
        <v>13</v>
      </c>
      <c r="G26" s="188" t="s">
        <v>779</v>
      </c>
      <c r="H26" s="21">
        <f>150</f>
        <v>150</v>
      </c>
      <c r="I26" s="21">
        <f>H26*12*4*10</f>
        <v>72000</v>
      </c>
      <c r="J26" s="16" t="s">
        <v>14</v>
      </c>
      <c r="K26" s="344" t="s">
        <v>253</v>
      </c>
      <c r="L26" s="344" t="s">
        <v>529</v>
      </c>
      <c r="M26" s="416">
        <f>I26</f>
        <v>72000</v>
      </c>
      <c r="N26" s="419" t="s">
        <v>22</v>
      </c>
      <c r="O26" s="420">
        <v>1812200750</v>
      </c>
    </row>
    <row r="27" spans="1:15" ht="24" x14ac:dyDescent="0.2">
      <c r="A27" s="417"/>
      <c r="B27" s="418"/>
      <c r="C27" s="418"/>
      <c r="D27" s="23" t="s">
        <v>784</v>
      </c>
      <c r="E27" s="32">
        <v>94</v>
      </c>
      <c r="F27" s="15" t="s">
        <v>13</v>
      </c>
      <c r="G27" s="170" t="s">
        <v>779</v>
      </c>
      <c r="H27" s="15">
        <f>150</f>
        <v>150</v>
      </c>
      <c r="I27" s="15">
        <f t="shared" ref="I27:I29" si="3">H27*12*4*10</f>
        <v>72000</v>
      </c>
      <c r="J27" s="23" t="s">
        <v>14</v>
      </c>
      <c r="K27" s="365"/>
      <c r="L27" s="365"/>
      <c r="M27" s="415"/>
      <c r="N27" s="419"/>
      <c r="O27" s="420"/>
    </row>
    <row r="28" spans="1:15" ht="25.5" x14ac:dyDescent="0.2">
      <c r="A28" s="417"/>
      <c r="B28" s="418"/>
      <c r="C28" s="418"/>
      <c r="D28" s="35" t="s">
        <v>785</v>
      </c>
      <c r="E28" s="36">
        <v>83</v>
      </c>
      <c r="F28" s="171" t="s">
        <v>13</v>
      </c>
      <c r="G28" s="170" t="s">
        <v>779</v>
      </c>
      <c r="H28" s="15">
        <f>200</f>
        <v>200</v>
      </c>
      <c r="I28" s="15">
        <f t="shared" si="3"/>
        <v>96000</v>
      </c>
      <c r="J28" s="172" t="s">
        <v>14</v>
      </c>
      <c r="K28" s="365"/>
      <c r="L28" s="365"/>
      <c r="M28" s="415"/>
      <c r="N28" s="419"/>
      <c r="O28" s="420"/>
    </row>
    <row r="29" spans="1:15" ht="25.5" x14ac:dyDescent="0.2">
      <c r="A29" s="417"/>
      <c r="B29" s="418"/>
      <c r="C29" s="418"/>
      <c r="D29" s="35" t="s">
        <v>786</v>
      </c>
      <c r="E29" s="36">
        <v>83</v>
      </c>
      <c r="F29" s="171" t="s">
        <v>13</v>
      </c>
      <c r="G29" s="170" t="s">
        <v>779</v>
      </c>
      <c r="H29" s="15">
        <f>200</f>
        <v>200</v>
      </c>
      <c r="I29" s="15">
        <f t="shared" si="3"/>
        <v>96000</v>
      </c>
      <c r="J29" s="172" t="s">
        <v>14</v>
      </c>
      <c r="K29" s="345"/>
      <c r="L29" s="345"/>
      <c r="M29" s="415"/>
      <c r="N29" s="419"/>
      <c r="O29" s="420"/>
    </row>
    <row r="30" spans="1:15" ht="14.25" customHeight="1" x14ac:dyDescent="0.2">
      <c r="A30" s="417"/>
      <c r="B30" s="421"/>
      <c r="C30" s="421"/>
      <c r="D30" s="421"/>
      <c r="E30" s="421"/>
      <c r="F30" s="421"/>
      <c r="G30" s="421"/>
      <c r="H30" s="421"/>
      <c r="I30" s="421"/>
      <c r="J30" s="421"/>
      <c r="K30" s="421"/>
      <c r="L30" s="421"/>
      <c r="M30" s="421"/>
      <c r="N30" s="26"/>
      <c r="O30" s="26"/>
    </row>
    <row r="31" spans="1:15" ht="15.75" x14ac:dyDescent="0.2">
      <c r="A31" s="414" t="s">
        <v>797</v>
      </c>
      <c r="B31" s="414"/>
      <c r="C31" s="414"/>
      <c r="D31" s="414"/>
      <c r="E31" s="414"/>
      <c r="F31" s="414"/>
      <c r="G31" s="414"/>
      <c r="H31" s="414"/>
      <c r="I31" s="414"/>
      <c r="J31" s="414"/>
      <c r="K31" s="414"/>
      <c r="L31" s="414"/>
      <c r="M31" s="414"/>
      <c r="N31" s="414"/>
      <c r="O31" s="414"/>
    </row>
    <row r="32" spans="1:15" ht="51" x14ac:dyDescent="0.2">
      <c r="A32" s="422">
        <v>5</v>
      </c>
      <c r="B32" s="423" t="s">
        <v>794</v>
      </c>
      <c r="C32" s="423" t="s">
        <v>795</v>
      </c>
      <c r="D32" s="16" t="s">
        <v>172</v>
      </c>
      <c r="E32" s="17">
        <v>98</v>
      </c>
      <c r="F32" s="18" t="s">
        <v>13</v>
      </c>
      <c r="G32" s="18" t="s">
        <v>44</v>
      </c>
      <c r="H32" s="18">
        <f>400*117/100</f>
        <v>468</v>
      </c>
      <c r="I32" s="21">
        <f>H32*100</f>
        <v>46800</v>
      </c>
      <c r="J32" s="16" t="s">
        <v>14</v>
      </c>
      <c r="K32" s="424" t="s">
        <v>253</v>
      </c>
      <c r="L32" s="424" t="s">
        <v>529</v>
      </c>
      <c r="M32" s="425">
        <f>I32</f>
        <v>46800</v>
      </c>
      <c r="N32" s="426" t="s">
        <v>22</v>
      </c>
      <c r="O32" s="427">
        <v>2440132953</v>
      </c>
    </row>
    <row r="33" spans="1:17" ht="25.5" x14ac:dyDescent="0.2">
      <c r="A33" s="422"/>
      <c r="B33" s="423"/>
      <c r="C33" s="423"/>
      <c r="D33" s="31" t="s">
        <v>796</v>
      </c>
      <c r="E33" s="7">
        <v>93</v>
      </c>
      <c r="F33" s="8" t="s">
        <v>13</v>
      </c>
      <c r="G33" s="8" t="s">
        <v>44</v>
      </c>
      <c r="H33" s="8">
        <f>400*117/100</f>
        <v>468</v>
      </c>
      <c r="I33" s="8">
        <f>H33*100</f>
        <v>46800</v>
      </c>
      <c r="J33" s="31" t="s">
        <v>14</v>
      </c>
      <c r="K33" s="424"/>
      <c r="L33" s="424"/>
      <c r="M33" s="425"/>
      <c r="N33" s="426"/>
      <c r="O33" s="427"/>
    </row>
    <row r="34" spans="1:17" ht="13.9" customHeight="1" x14ac:dyDescent="0.2">
      <c r="A34" s="422"/>
      <c r="B34" s="341" t="s">
        <v>803</v>
      </c>
      <c r="C34" s="341"/>
      <c r="D34" s="341"/>
      <c r="E34" s="341"/>
      <c r="F34" s="341"/>
      <c r="G34" s="341"/>
      <c r="H34" s="341"/>
      <c r="I34" s="341"/>
      <c r="J34" s="341"/>
      <c r="K34" s="341"/>
      <c r="L34" s="341"/>
      <c r="M34" s="341"/>
      <c r="N34" s="341"/>
      <c r="O34" s="341"/>
    </row>
    <row r="35" spans="1:17" ht="15.75" x14ac:dyDescent="0.2">
      <c r="A35" s="332" t="s">
        <v>826</v>
      </c>
      <c r="B35" s="333"/>
      <c r="C35" s="333"/>
      <c r="D35" s="333"/>
      <c r="E35" s="333"/>
      <c r="F35" s="333"/>
      <c r="G35" s="333"/>
      <c r="H35" s="333"/>
      <c r="I35" s="333"/>
      <c r="J35" s="333"/>
      <c r="K35" s="333"/>
      <c r="L35" s="333"/>
      <c r="M35" s="333"/>
      <c r="N35" s="333"/>
      <c r="O35" s="334"/>
    </row>
    <row r="36" spans="1:17" ht="76.5" x14ac:dyDescent="0.2">
      <c r="A36" s="335">
        <v>6</v>
      </c>
      <c r="B36" s="180" t="s">
        <v>827</v>
      </c>
      <c r="C36" s="180" t="s">
        <v>828</v>
      </c>
      <c r="D36" s="19" t="s">
        <v>829</v>
      </c>
      <c r="E36" s="20">
        <v>100</v>
      </c>
      <c r="F36" s="21" t="s">
        <v>830</v>
      </c>
      <c r="G36" s="21"/>
      <c r="H36" s="189">
        <v>0.85</v>
      </c>
      <c r="I36" s="21"/>
      <c r="J36" s="19" t="s">
        <v>14</v>
      </c>
      <c r="K36" s="184" t="s">
        <v>802</v>
      </c>
      <c r="L36" s="184" t="s">
        <v>529</v>
      </c>
      <c r="M36" s="181"/>
      <c r="N36" s="182" t="s">
        <v>22</v>
      </c>
      <c r="O36" s="183">
        <v>171100752</v>
      </c>
      <c r="P36" s="13"/>
      <c r="Q36" s="14"/>
    </row>
    <row r="37" spans="1:17" ht="15" customHeight="1" x14ac:dyDescent="0.2">
      <c r="A37" s="336"/>
      <c r="B37" s="341" t="s">
        <v>803</v>
      </c>
      <c r="C37" s="341"/>
      <c r="D37" s="341"/>
      <c r="E37" s="341"/>
      <c r="F37" s="341"/>
      <c r="G37" s="341"/>
      <c r="H37" s="341"/>
      <c r="I37" s="341"/>
      <c r="J37" s="341"/>
      <c r="K37" s="341"/>
      <c r="L37" s="341"/>
      <c r="M37" s="341"/>
      <c r="N37" s="341"/>
      <c r="O37" s="341"/>
    </row>
    <row r="38" spans="1:17" ht="15.75" x14ac:dyDescent="0.2">
      <c r="A38" s="332" t="s">
        <v>804</v>
      </c>
      <c r="B38" s="333"/>
      <c r="C38" s="333"/>
      <c r="D38" s="333"/>
      <c r="E38" s="333"/>
      <c r="F38" s="333"/>
      <c r="G38" s="333"/>
      <c r="H38" s="333"/>
      <c r="I38" s="333"/>
      <c r="J38" s="333"/>
      <c r="K38" s="333"/>
      <c r="L38" s="333"/>
      <c r="M38" s="333"/>
      <c r="N38" s="333"/>
      <c r="O38" s="334"/>
    </row>
    <row r="39" spans="1:17" ht="25.5" x14ac:dyDescent="0.2">
      <c r="A39" s="335">
        <v>7</v>
      </c>
      <c r="B39" s="342" t="s">
        <v>805</v>
      </c>
      <c r="C39" s="342" t="s">
        <v>287</v>
      </c>
      <c r="D39" s="19" t="s">
        <v>69</v>
      </c>
      <c r="E39" s="20">
        <v>100</v>
      </c>
      <c r="F39" s="21" t="s">
        <v>15</v>
      </c>
      <c r="G39" s="21" t="s">
        <v>831</v>
      </c>
      <c r="H39" s="22">
        <v>8.9499999999999996E-2</v>
      </c>
      <c r="I39" s="21">
        <f>H39*5100000*117/100</f>
        <v>534046.5</v>
      </c>
      <c r="J39" s="19" t="s">
        <v>14</v>
      </c>
      <c r="K39" s="344" t="s">
        <v>18</v>
      </c>
      <c r="L39" s="344" t="s">
        <v>529</v>
      </c>
      <c r="M39" s="397">
        <f>I39</f>
        <v>534046.5</v>
      </c>
      <c r="N39" s="348" t="s">
        <v>22</v>
      </c>
      <c r="O39" s="350" t="s">
        <v>809</v>
      </c>
    </row>
    <row r="40" spans="1:17" ht="25.5" x14ac:dyDescent="0.2">
      <c r="A40" s="340"/>
      <c r="B40" s="373"/>
      <c r="C40" s="373"/>
      <c r="D40" s="23" t="s">
        <v>806</v>
      </c>
      <c r="E40" s="32">
        <v>93</v>
      </c>
      <c r="F40" s="8" t="s">
        <v>15</v>
      </c>
      <c r="G40" s="8" t="s">
        <v>831</v>
      </c>
      <c r="H40" s="33">
        <v>9.9000000000000005E-2</v>
      </c>
      <c r="I40" s="15">
        <f>H40*5100000*117/100</f>
        <v>590733</v>
      </c>
      <c r="J40" s="23" t="s">
        <v>14</v>
      </c>
      <c r="K40" s="365"/>
      <c r="L40" s="365"/>
      <c r="M40" s="398"/>
      <c r="N40" s="369"/>
      <c r="O40" s="378"/>
    </row>
    <row r="41" spans="1:17" ht="25.5" x14ac:dyDescent="0.2">
      <c r="A41" s="340"/>
      <c r="B41" s="373"/>
      <c r="C41" s="373"/>
      <c r="D41" s="23" t="s">
        <v>807</v>
      </c>
      <c r="E41" s="32">
        <v>92</v>
      </c>
      <c r="F41" s="8" t="s">
        <v>15</v>
      </c>
      <c r="G41" s="8" t="s">
        <v>831</v>
      </c>
      <c r="H41" s="33">
        <v>0.10100000000000001</v>
      </c>
      <c r="I41" s="15">
        <f t="shared" ref="I41:I44" si="4">H41*5100000*117/100</f>
        <v>602667.00000000012</v>
      </c>
      <c r="J41" s="23" t="s">
        <v>14</v>
      </c>
      <c r="K41" s="365"/>
      <c r="L41" s="365"/>
      <c r="M41" s="398"/>
      <c r="N41" s="369"/>
      <c r="O41" s="378"/>
    </row>
    <row r="42" spans="1:17" ht="25.5" x14ac:dyDescent="0.2">
      <c r="A42" s="340"/>
      <c r="B42" s="373"/>
      <c r="C42" s="373"/>
      <c r="D42" s="23" t="s">
        <v>301</v>
      </c>
      <c r="E42" s="32">
        <v>82</v>
      </c>
      <c r="F42" s="8" t="s">
        <v>15</v>
      </c>
      <c r="G42" s="8" t="s">
        <v>831</v>
      </c>
      <c r="H42" s="33">
        <v>0.12</v>
      </c>
      <c r="I42" s="15">
        <f t="shared" si="4"/>
        <v>716040</v>
      </c>
      <c r="J42" s="23" t="s">
        <v>14</v>
      </c>
      <c r="K42" s="365"/>
      <c r="L42" s="365"/>
      <c r="M42" s="398"/>
      <c r="N42" s="369"/>
      <c r="O42" s="378"/>
    </row>
    <row r="43" spans="1:17" ht="25.5" x14ac:dyDescent="0.2">
      <c r="A43" s="340"/>
      <c r="B43" s="373"/>
      <c r="C43" s="373"/>
      <c r="D43" s="23" t="s">
        <v>24</v>
      </c>
      <c r="E43" s="32">
        <v>72</v>
      </c>
      <c r="F43" s="8" t="s">
        <v>15</v>
      </c>
      <c r="G43" s="8" t="s">
        <v>831</v>
      </c>
      <c r="H43" s="33">
        <v>0.15</v>
      </c>
      <c r="I43" s="15">
        <f t="shared" si="4"/>
        <v>895050</v>
      </c>
      <c r="J43" s="23" t="s">
        <v>14</v>
      </c>
      <c r="K43" s="365"/>
      <c r="L43" s="365"/>
      <c r="M43" s="398"/>
      <c r="N43" s="369"/>
      <c r="O43" s="378"/>
    </row>
    <row r="44" spans="1:17" ht="25.5" x14ac:dyDescent="0.2">
      <c r="A44" s="340"/>
      <c r="B44" s="343"/>
      <c r="C44" s="343"/>
      <c r="D44" s="23" t="s">
        <v>129</v>
      </c>
      <c r="E44" s="32">
        <v>72</v>
      </c>
      <c r="F44" s="8" t="s">
        <v>15</v>
      </c>
      <c r="G44" s="8" t="s">
        <v>831</v>
      </c>
      <c r="H44" s="33">
        <v>0.15</v>
      </c>
      <c r="I44" s="15">
        <f t="shared" si="4"/>
        <v>895050</v>
      </c>
      <c r="J44" s="23" t="s">
        <v>14</v>
      </c>
      <c r="K44" s="345"/>
      <c r="L44" s="345"/>
      <c r="M44" s="399"/>
      <c r="N44" s="349"/>
      <c r="O44" s="351"/>
    </row>
    <row r="45" spans="1:17" ht="14.25" x14ac:dyDescent="0.2">
      <c r="A45" s="336"/>
      <c r="B45" s="337"/>
      <c r="C45" s="338"/>
      <c r="D45" s="338"/>
      <c r="E45" s="338"/>
      <c r="F45" s="338"/>
      <c r="G45" s="338"/>
      <c r="H45" s="338"/>
      <c r="I45" s="338"/>
      <c r="J45" s="338"/>
      <c r="K45" s="338"/>
      <c r="L45" s="338"/>
      <c r="M45" s="338"/>
      <c r="N45" s="338"/>
      <c r="O45" s="339"/>
    </row>
    <row r="46" spans="1:17" ht="15.75" x14ac:dyDescent="0.2">
      <c r="A46" s="332" t="s">
        <v>808</v>
      </c>
      <c r="B46" s="333"/>
      <c r="C46" s="333"/>
      <c r="D46" s="333"/>
      <c r="E46" s="333"/>
      <c r="F46" s="333"/>
      <c r="G46" s="333"/>
      <c r="H46" s="333"/>
      <c r="I46" s="333"/>
      <c r="J46" s="333"/>
      <c r="K46" s="333"/>
      <c r="L46" s="333"/>
      <c r="M46" s="333"/>
      <c r="N46" s="333"/>
      <c r="O46" s="334"/>
    </row>
    <row r="47" spans="1:17" ht="26.45" customHeight="1" x14ac:dyDescent="0.2">
      <c r="A47" s="335">
        <v>8</v>
      </c>
      <c r="B47" s="342" t="s">
        <v>810</v>
      </c>
      <c r="C47" s="342" t="s">
        <v>413</v>
      </c>
      <c r="D47" s="42" t="s">
        <v>43</v>
      </c>
      <c r="E47" s="43">
        <v>100</v>
      </c>
      <c r="F47" s="44" t="s">
        <v>17</v>
      </c>
      <c r="G47" s="44" t="s">
        <v>17</v>
      </c>
      <c r="H47" s="44">
        <f>94605*117/100</f>
        <v>110687.85</v>
      </c>
      <c r="I47" s="44">
        <f>H47</f>
        <v>110687.85</v>
      </c>
      <c r="J47" s="42" t="s">
        <v>14</v>
      </c>
      <c r="K47" s="374" t="s">
        <v>258</v>
      </c>
      <c r="L47" s="344" t="s">
        <v>948</v>
      </c>
      <c r="M47" s="376">
        <f>I47</f>
        <v>110687.85</v>
      </c>
      <c r="N47" s="348"/>
      <c r="O47" s="350">
        <v>2230022953</v>
      </c>
      <c r="P47" s="13"/>
      <c r="Q47" s="14"/>
    </row>
    <row r="48" spans="1:17" ht="25.5" x14ac:dyDescent="0.2">
      <c r="A48" s="340"/>
      <c r="B48" s="373"/>
      <c r="C48" s="373"/>
      <c r="D48" s="179" t="s">
        <v>811</v>
      </c>
      <c r="E48" s="7">
        <v>86</v>
      </c>
      <c r="F48" s="8" t="s">
        <v>17</v>
      </c>
      <c r="G48" s="8" t="s">
        <v>17</v>
      </c>
      <c r="H48" s="8">
        <f>120000*117/100</f>
        <v>140400</v>
      </c>
      <c r="I48" s="8">
        <f t="shared" ref="I48" si="5">H48</f>
        <v>140400</v>
      </c>
      <c r="J48" s="179" t="s">
        <v>14</v>
      </c>
      <c r="K48" s="375"/>
      <c r="L48" s="365"/>
      <c r="M48" s="377"/>
      <c r="N48" s="369"/>
      <c r="O48" s="378"/>
      <c r="P48" s="13"/>
      <c r="Q48" s="14"/>
    </row>
    <row r="49" spans="1:17" ht="25.5" x14ac:dyDescent="0.2">
      <c r="A49" s="340"/>
      <c r="B49" s="373"/>
      <c r="C49" s="373"/>
      <c r="D49" s="179" t="s">
        <v>812</v>
      </c>
      <c r="E49" s="7">
        <v>81</v>
      </c>
      <c r="F49" s="8" t="s">
        <v>17</v>
      </c>
      <c r="G49" s="8" t="s">
        <v>17</v>
      </c>
      <c r="H49" s="8">
        <f>129000*117/100</f>
        <v>150930</v>
      </c>
      <c r="I49" s="8">
        <f>H49</f>
        <v>150930</v>
      </c>
      <c r="J49" s="179" t="s">
        <v>14</v>
      </c>
      <c r="K49" s="375"/>
      <c r="L49" s="365"/>
      <c r="M49" s="377"/>
      <c r="N49" s="369"/>
      <c r="O49" s="378"/>
      <c r="P49" s="13"/>
      <c r="Q49" s="14"/>
    </row>
    <row r="50" spans="1:17" ht="15" customHeight="1" x14ac:dyDescent="0.2">
      <c r="A50" s="336"/>
      <c r="B50" s="341" t="s">
        <v>813</v>
      </c>
      <c r="C50" s="341"/>
      <c r="D50" s="341"/>
      <c r="E50" s="341"/>
      <c r="F50" s="341"/>
      <c r="G50" s="341"/>
      <c r="H50" s="341"/>
      <c r="I50" s="341"/>
      <c r="J50" s="341"/>
      <c r="K50" s="341"/>
      <c r="L50" s="341"/>
      <c r="M50" s="341"/>
      <c r="N50" s="341"/>
      <c r="O50" s="341"/>
    </row>
    <row r="51" spans="1:17" ht="15.75" x14ac:dyDescent="0.2">
      <c r="A51" s="332" t="s">
        <v>814</v>
      </c>
      <c r="B51" s="333"/>
      <c r="C51" s="333"/>
      <c r="D51" s="333"/>
      <c r="E51" s="333"/>
      <c r="F51" s="333"/>
      <c r="G51" s="333"/>
      <c r="H51" s="333"/>
      <c r="I51" s="333"/>
      <c r="J51" s="333"/>
      <c r="K51" s="333"/>
      <c r="L51" s="333"/>
      <c r="M51" s="333"/>
      <c r="N51" s="333"/>
      <c r="O51" s="334"/>
    </row>
    <row r="52" spans="1:17" ht="51" x14ac:dyDescent="0.2">
      <c r="A52" s="335">
        <v>9</v>
      </c>
      <c r="B52" s="180" t="s">
        <v>815</v>
      </c>
      <c r="C52" s="180" t="s">
        <v>52</v>
      </c>
      <c r="D52" s="19" t="s">
        <v>816</v>
      </c>
      <c r="E52" s="20">
        <v>100</v>
      </c>
      <c r="F52" s="21" t="s">
        <v>17</v>
      </c>
      <c r="G52" s="21" t="s">
        <v>17</v>
      </c>
      <c r="H52" s="77">
        <f>52000*117/100</f>
        <v>60840</v>
      </c>
      <c r="I52" s="21">
        <f>H52</f>
        <v>60840</v>
      </c>
      <c r="J52" s="19" t="s">
        <v>14</v>
      </c>
      <c r="K52" s="184" t="s">
        <v>802</v>
      </c>
      <c r="L52" s="184" t="s">
        <v>529</v>
      </c>
      <c r="M52" s="190">
        <f>I52</f>
        <v>60840</v>
      </c>
      <c r="N52" s="182"/>
      <c r="O52" s="183"/>
      <c r="P52" s="13"/>
      <c r="Q52" s="14"/>
    </row>
    <row r="53" spans="1:17" ht="15" customHeight="1" x14ac:dyDescent="0.2">
      <c r="A53" s="336"/>
      <c r="B53" s="341" t="s">
        <v>817</v>
      </c>
      <c r="C53" s="341"/>
      <c r="D53" s="341"/>
      <c r="E53" s="341"/>
      <c r="F53" s="341"/>
      <c r="G53" s="341"/>
      <c r="H53" s="341"/>
      <c r="I53" s="341"/>
      <c r="J53" s="341"/>
      <c r="K53" s="341"/>
      <c r="L53" s="341"/>
      <c r="M53" s="341"/>
      <c r="N53" s="341"/>
      <c r="O53" s="341"/>
    </row>
    <row r="54" spans="1:17" ht="15.75" x14ac:dyDescent="0.2">
      <c r="A54" s="332" t="s">
        <v>818</v>
      </c>
      <c r="B54" s="333"/>
      <c r="C54" s="333"/>
      <c r="D54" s="333"/>
      <c r="E54" s="333"/>
      <c r="F54" s="333"/>
      <c r="G54" s="333"/>
      <c r="H54" s="333"/>
      <c r="I54" s="333"/>
      <c r="J54" s="333"/>
      <c r="K54" s="333"/>
      <c r="L54" s="333"/>
      <c r="M54" s="333"/>
      <c r="N54" s="333"/>
      <c r="O54" s="334"/>
    </row>
    <row r="55" spans="1:17" ht="38.25" x14ac:dyDescent="0.2">
      <c r="A55" s="335">
        <v>10</v>
      </c>
      <c r="B55" s="342" t="s">
        <v>819</v>
      </c>
      <c r="C55" s="342" t="s">
        <v>52</v>
      </c>
      <c r="D55" s="185" t="s">
        <v>820</v>
      </c>
      <c r="E55" s="186">
        <v>100</v>
      </c>
      <c r="F55" s="173" t="s">
        <v>13</v>
      </c>
      <c r="G55" s="173"/>
      <c r="H55" s="187">
        <f>400*117/100</f>
        <v>468</v>
      </c>
      <c r="I55" s="173"/>
      <c r="J55" s="185" t="s">
        <v>14</v>
      </c>
      <c r="K55" s="374"/>
      <c r="L55" s="412" t="s">
        <v>832</v>
      </c>
      <c r="M55" s="376"/>
      <c r="N55" s="348"/>
      <c r="O55" s="350"/>
      <c r="P55" s="13"/>
      <c r="Q55" s="14"/>
    </row>
    <row r="56" spans="1:17" ht="38.25" x14ac:dyDescent="0.2">
      <c r="A56" s="340"/>
      <c r="B56" s="373"/>
      <c r="C56" s="373"/>
      <c r="D56" s="179" t="s">
        <v>821</v>
      </c>
      <c r="E56" s="7">
        <v>92</v>
      </c>
      <c r="F56" s="8" t="s">
        <v>13</v>
      </c>
      <c r="G56" s="8" t="s">
        <v>822</v>
      </c>
      <c r="H56" s="8">
        <f>450*117/100</f>
        <v>526.5</v>
      </c>
      <c r="I56" s="8"/>
      <c r="J56" s="179" t="s">
        <v>14</v>
      </c>
      <c r="K56" s="375"/>
      <c r="L56" s="413"/>
      <c r="M56" s="377"/>
      <c r="N56" s="369"/>
      <c r="O56" s="378"/>
      <c r="P56" s="13"/>
      <c r="Q56" s="14"/>
    </row>
    <row r="57" spans="1:17" ht="25.5" x14ac:dyDescent="0.2">
      <c r="A57" s="340"/>
      <c r="B57" s="373"/>
      <c r="C57" s="373"/>
      <c r="D57" s="179" t="s">
        <v>825</v>
      </c>
      <c r="E57" s="7">
        <v>93</v>
      </c>
      <c r="F57" s="8" t="s">
        <v>13</v>
      </c>
      <c r="G57" s="8" t="s">
        <v>822</v>
      </c>
      <c r="H57" s="8">
        <f>450*117/100</f>
        <v>526.5</v>
      </c>
      <c r="I57" s="8"/>
      <c r="J57" s="179" t="s">
        <v>14</v>
      </c>
      <c r="K57" s="375"/>
      <c r="L57" s="413"/>
      <c r="M57" s="377"/>
      <c r="N57" s="369"/>
      <c r="O57" s="378"/>
      <c r="P57" s="13"/>
      <c r="Q57" s="14"/>
    </row>
    <row r="58" spans="1:17" ht="25.5" x14ac:dyDescent="0.2">
      <c r="A58" s="340"/>
      <c r="B58" s="373"/>
      <c r="C58" s="373"/>
      <c r="D58" s="179" t="s">
        <v>823</v>
      </c>
      <c r="E58" s="7">
        <v>86</v>
      </c>
      <c r="F58" s="8" t="s">
        <v>17</v>
      </c>
      <c r="G58" s="8"/>
      <c r="H58" s="8">
        <f>500*117/100</f>
        <v>585</v>
      </c>
      <c r="I58" s="8"/>
      <c r="J58" s="179" t="s">
        <v>14</v>
      </c>
      <c r="K58" s="375"/>
      <c r="L58" s="413"/>
      <c r="M58" s="377"/>
      <c r="N58" s="369"/>
      <c r="O58" s="378"/>
      <c r="P58" s="13"/>
      <c r="Q58" s="14"/>
    </row>
    <row r="59" spans="1:17" ht="15" customHeight="1" x14ac:dyDescent="0.2">
      <c r="A59" s="336"/>
      <c r="B59" s="341" t="s">
        <v>824</v>
      </c>
      <c r="C59" s="341"/>
      <c r="D59" s="341"/>
      <c r="E59" s="341"/>
      <c r="F59" s="341"/>
      <c r="G59" s="341"/>
      <c r="H59" s="341"/>
      <c r="I59" s="341"/>
      <c r="J59" s="341"/>
      <c r="K59" s="341"/>
      <c r="L59" s="341"/>
      <c r="M59" s="341"/>
      <c r="N59" s="341"/>
      <c r="O59" s="341"/>
    </row>
    <row r="61" spans="1:17" x14ac:dyDescent="0.2">
      <c r="B61" s="28"/>
    </row>
  </sheetData>
  <mergeCells count="92">
    <mergeCell ref="A1:A6"/>
    <mergeCell ref="B1:O1"/>
    <mergeCell ref="B2:O2"/>
    <mergeCell ref="B3:O3"/>
    <mergeCell ref="B4:O4"/>
    <mergeCell ref="B5:O5"/>
    <mergeCell ref="A31:O31"/>
    <mergeCell ref="A32:A34"/>
    <mergeCell ref="B32:B33"/>
    <mergeCell ref="C32:C33"/>
    <mergeCell ref="K32:K33"/>
    <mergeCell ref="L32:L33"/>
    <mergeCell ref="M32:M33"/>
    <mergeCell ref="N32:N33"/>
    <mergeCell ref="O32:O33"/>
    <mergeCell ref="B34:O34"/>
    <mergeCell ref="L14:L17"/>
    <mergeCell ref="M14:M17"/>
    <mergeCell ref="A20:A24"/>
    <mergeCell ref="B20:B23"/>
    <mergeCell ref="C20:C23"/>
    <mergeCell ref="K20:K23"/>
    <mergeCell ref="B18:O18"/>
    <mergeCell ref="O20:O23"/>
    <mergeCell ref="A26:A30"/>
    <mergeCell ref="B26:B29"/>
    <mergeCell ref="C26:C29"/>
    <mergeCell ref="K26:K29"/>
    <mergeCell ref="N26:N29"/>
    <mergeCell ref="O26:O29"/>
    <mergeCell ref="B30:M30"/>
    <mergeCell ref="M26:M29"/>
    <mergeCell ref="L26:L29"/>
    <mergeCell ref="A14:A18"/>
    <mergeCell ref="B14:B17"/>
    <mergeCell ref="C14:C17"/>
    <mergeCell ref="K14:K17"/>
    <mergeCell ref="N14:N17"/>
    <mergeCell ref="O14:O17"/>
    <mergeCell ref="A25:O25"/>
    <mergeCell ref="B24:O24"/>
    <mergeCell ref="L20:L23"/>
    <mergeCell ref="M20:M23"/>
    <mergeCell ref="A19:O19"/>
    <mergeCell ref="N20:N23"/>
    <mergeCell ref="A13:O13"/>
    <mergeCell ref="B12:O12"/>
    <mergeCell ref="M8:M11"/>
    <mergeCell ref="L8:L11"/>
    <mergeCell ref="A7:O7"/>
    <mergeCell ref="A8:A12"/>
    <mergeCell ref="B8:B11"/>
    <mergeCell ref="C8:C11"/>
    <mergeCell ref="K8:K11"/>
    <mergeCell ref="N8:N11"/>
    <mergeCell ref="O8:O11"/>
    <mergeCell ref="A38:O38"/>
    <mergeCell ref="A39:A45"/>
    <mergeCell ref="B39:B44"/>
    <mergeCell ref="C39:C44"/>
    <mergeCell ref="K39:K44"/>
    <mergeCell ref="L39:L44"/>
    <mergeCell ref="M39:M44"/>
    <mergeCell ref="N39:N44"/>
    <mergeCell ref="O39:O44"/>
    <mergeCell ref="B45:O45"/>
    <mergeCell ref="A46:O46"/>
    <mergeCell ref="A47:A50"/>
    <mergeCell ref="B47:B49"/>
    <mergeCell ref="C47:C49"/>
    <mergeCell ref="K47:K49"/>
    <mergeCell ref="L47:L49"/>
    <mergeCell ref="M47:M49"/>
    <mergeCell ref="N47:N49"/>
    <mergeCell ref="O47:O49"/>
    <mergeCell ref="B50:O50"/>
    <mergeCell ref="A35:O35"/>
    <mergeCell ref="A36:A37"/>
    <mergeCell ref="B37:O37"/>
    <mergeCell ref="A54:O54"/>
    <mergeCell ref="A55:A59"/>
    <mergeCell ref="B55:B58"/>
    <mergeCell ref="C55:C58"/>
    <mergeCell ref="K55:K58"/>
    <mergeCell ref="L55:L58"/>
    <mergeCell ref="M55:M58"/>
    <mergeCell ref="N55:N58"/>
    <mergeCell ref="O55:O58"/>
    <mergeCell ref="B59:O59"/>
    <mergeCell ref="A51:O51"/>
    <mergeCell ref="A52:A53"/>
    <mergeCell ref="B53:O53"/>
  </mergeCells>
  <phoneticPr fontId="24" type="noConversion"/>
  <dataValidations count="1">
    <dataValidation type="list" showInputMessage="1" showErrorMessage="1" sqref="F32" xr:uid="{FD1E1D33-9B58-40DF-BE5D-E7C29BADFCD5}">
      <formula1>#REF!</formula1>
    </dataValidation>
  </dataValidations>
  <pageMargins left="0.25" right="0.25" top="0.75" bottom="0.75" header="0.3" footer="0.3"/>
  <pageSetup paperSize="9" scale="73" fitToHeight="0" orientation="landscape" r:id="rId1"/>
  <rowBreaks count="2" manualBreakCount="2">
    <brk id="30" max="16383" man="1"/>
    <brk id="53"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O27"/>
  <sheetViews>
    <sheetView rightToLeft="1" topLeftCell="A28" zoomScaleNormal="100" workbookViewId="0">
      <selection activeCell="A27" sqref="A27:XFD27"/>
    </sheetView>
  </sheetViews>
  <sheetFormatPr defaultColWidth="8.75" defaultRowHeight="15" x14ac:dyDescent="0.2"/>
  <cols>
    <col min="1" max="1" width="4.25" customWidth="1"/>
    <col min="2" max="2" width="21.125" style="9" bestFit="1" customWidth="1"/>
    <col min="4" max="4" width="7.25" customWidth="1"/>
    <col min="5" max="5" width="7.75" customWidth="1"/>
    <col min="6" max="6" width="10.25" bestFit="1" customWidth="1"/>
    <col min="7" max="7" width="12.125" style="10" bestFit="1" customWidth="1"/>
    <col min="8" max="8" width="13.625" style="11" bestFit="1" customWidth="1"/>
    <col min="9" max="9" width="14.625" style="11" bestFit="1" customWidth="1"/>
    <col min="10" max="10" width="9" customWidth="1"/>
    <col min="11" max="11" width="12.875" style="12" customWidth="1"/>
    <col min="12" max="12" width="19.375" style="12" customWidth="1"/>
    <col min="13" max="13" width="15" style="12" customWidth="1"/>
    <col min="14" max="14" width="10.875" style="13" customWidth="1"/>
    <col min="15" max="15" width="13" style="14" customWidth="1"/>
  </cols>
  <sheetData>
    <row r="1" spans="1:15" ht="20.25" x14ac:dyDescent="0.2">
      <c r="A1" s="354"/>
      <c r="B1" s="355" t="s">
        <v>772</v>
      </c>
      <c r="C1" s="355"/>
      <c r="D1" s="355"/>
      <c r="E1" s="355"/>
      <c r="F1" s="355"/>
      <c r="G1" s="355"/>
      <c r="H1" s="355"/>
      <c r="I1" s="355"/>
      <c r="J1" s="355"/>
      <c r="K1" s="355"/>
      <c r="L1" s="355"/>
      <c r="M1" s="355"/>
      <c r="N1" s="355"/>
      <c r="O1" s="355"/>
    </row>
    <row r="2" spans="1:15" ht="14.25" x14ac:dyDescent="0.2">
      <c r="A2" s="354"/>
      <c r="B2" s="356" t="s">
        <v>198</v>
      </c>
      <c r="C2" s="356"/>
      <c r="D2" s="356"/>
      <c r="E2" s="356"/>
      <c r="F2" s="356"/>
      <c r="G2" s="356"/>
      <c r="H2" s="356"/>
      <c r="I2" s="356"/>
      <c r="J2" s="356"/>
      <c r="K2" s="356"/>
      <c r="L2" s="356"/>
      <c r="M2" s="356"/>
      <c r="N2" s="356"/>
      <c r="O2" s="356"/>
    </row>
    <row r="3" spans="1:15" ht="15.75" x14ac:dyDescent="0.2">
      <c r="A3" s="354"/>
      <c r="B3" s="357" t="s">
        <v>517</v>
      </c>
      <c r="C3" s="357"/>
      <c r="D3" s="357"/>
      <c r="E3" s="357"/>
      <c r="F3" s="357"/>
      <c r="G3" s="357"/>
      <c r="H3" s="357"/>
      <c r="I3" s="357"/>
      <c r="J3" s="357"/>
      <c r="K3" s="357"/>
      <c r="L3" s="357"/>
      <c r="M3" s="357"/>
      <c r="N3" s="357"/>
      <c r="O3" s="357"/>
    </row>
    <row r="4" spans="1:15" ht="14.25" x14ac:dyDescent="0.2">
      <c r="A4" s="354"/>
      <c r="B4" s="358" t="s">
        <v>71</v>
      </c>
      <c r="C4" s="358"/>
      <c r="D4" s="358"/>
      <c r="E4" s="358"/>
      <c r="F4" s="358"/>
      <c r="G4" s="358"/>
      <c r="H4" s="358"/>
      <c r="I4" s="358"/>
      <c r="J4" s="358"/>
      <c r="K4" s="358"/>
      <c r="L4" s="358"/>
      <c r="M4" s="358"/>
      <c r="N4" s="358"/>
      <c r="O4" s="358"/>
    </row>
    <row r="5" spans="1:15" ht="14.25" x14ac:dyDescent="0.2">
      <c r="A5" s="354"/>
      <c r="B5" s="358" t="s">
        <v>70</v>
      </c>
      <c r="C5" s="358"/>
      <c r="D5" s="358"/>
      <c r="E5" s="358"/>
      <c r="F5" s="358"/>
      <c r="G5" s="358"/>
      <c r="H5" s="358"/>
      <c r="I5" s="358"/>
      <c r="J5" s="358"/>
      <c r="K5" s="358"/>
      <c r="L5" s="358"/>
      <c r="M5" s="358"/>
      <c r="N5" s="358"/>
      <c r="O5" s="358"/>
    </row>
    <row r="6" spans="1:15" ht="46.5" customHeight="1" x14ac:dyDescent="0.2">
      <c r="A6" s="354"/>
      <c r="B6" s="1" t="s">
        <v>1</v>
      </c>
      <c r="C6" s="2" t="s">
        <v>2</v>
      </c>
      <c r="D6" s="3" t="s">
        <v>3</v>
      </c>
      <c r="E6" s="3" t="s">
        <v>4</v>
      </c>
      <c r="F6" s="3" t="s">
        <v>5</v>
      </c>
      <c r="G6" s="3" t="s">
        <v>6</v>
      </c>
      <c r="H6" s="4" t="s">
        <v>7</v>
      </c>
      <c r="I6" s="5" t="s">
        <v>8</v>
      </c>
      <c r="J6" s="3" t="s">
        <v>9</v>
      </c>
      <c r="K6" s="3" t="s">
        <v>10</v>
      </c>
      <c r="L6" s="3" t="s">
        <v>525</v>
      </c>
      <c r="M6" s="109" t="s">
        <v>526</v>
      </c>
      <c r="N6" s="6" t="s">
        <v>11</v>
      </c>
      <c r="O6" s="3" t="s">
        <v>12</v>
      </c>
    </row>
    <row r="7" spans="1:15" ht="15.75" x14ac:dyDescent="0.2">
      <c r="A7" s="332" t="s">
        <v>762</v>
      </c>
      <c r="B7" s="333"/>
      <c r="C7" s="333"/>
      <c r="D7" s="333"/>
      <c r="E7" s="333"/>
      <c r="F7" s="333"/>
      <c r="G7" s="333"/>
      <c r="H7" s="333"/>
      <c r="I7" s="333"/>
      <c r="J7" s="333"/>
      <c r="K7" s="333"/>
      <c r="L7" s="333"/>
      <c r="M7" s="333"/>
      <c r="N7" s="333"/>
      <c r="O7" s="334"/>
    </row>
    <row r="8" spans="1:15" ht="63.75" x14ac:dyDescent="0.2">
      <c r="A8" s="335">
        <v>1</v>
      </c>
      <c r="B8" s="342" t="s">
        <v>758</v>
      </c>
      <c r="C8" s="342" t="s">
        <v>745</v>
      </c>
      <c r="D8" s="16" t="s">
        <v>759</v>
      </c>
      <c r="E8" s="17">
        <v>100</v>
      </c>
      <c r="F8" s="18" t="s">
        <v>57</v>
      </c>
      <c r="G8" s="18" t="s">
        <v>59</v>
      </c>
      <c r="H8" s="18">
        <f>15000*117/100</f>
        <v>17550</v>
      </c>
      <c r="I8" s="18">
        <f>H8*3</f>
        <v>52650</v>
      </c>
      <c r="J8" s="16" t="s">
        <v>14</v>
      </c>
      <c r="K8" s="412" t="s">
        <v>253</v>
      </c>
      <c r="L8" s="412" t="s">
        <v>529</v>
      </c>
      <c r="M8" s="376">
        <f>I8</f>
        <v>52650</v>
      </c>
      <c r="N8" s="400"/>
      <c r="O8" s="350">
        <v>2440132953</v>
      </c>
    </row>
    <row r="9" spans="1:15" ht="25.5" x14ac:dyDescent="0.2">
      <c r="A9" s="340"/>
      <c r="B9" s="373"/>
      <c r="C9" s="373"/>
      <c r="D9" s="31" t="s">
        <v>763</v>
      </c>
      <c r="E9" s="7">
        <v>95</v>
      </c>
      <c r="F9" s="8" t="s">
        <v>49</v>
      </c>
      <c r="G9" s="8" t="s">
        <v>59</v>
      </c>
      <c r="H9" s="8">
        <f>16000*117/100</f>
        <v>18720</v>
      </c>
      <c r="I9" s="8">
        <f>H9*3</f>
        <v>56160</v>
      </c>
      <c r="J9" s="31" t="s">
        <v>14</v>
      </c>
      <c r="K9" s="413"/>
      <c r="L9" s="413"/>
      <c r="M9" s="377"/>
      <c r="N9" s="401"/>
      <c r="O9" s="378"/>
    </row>
    <row r="10" spans="1:15" ht="38.25" x14ac:dyDescent="0.2">
      <c r="A10" s="340"/>
      <c r="B10" s="373"/>
      <c r="C10" s="373"/>
      <c r="D10" s="31" t="s">
        <v>760</v>
      </c>
      <c r="E10" s="7">
        <v>88</v>
      </c>
      <c r="F10" s="8" t="s">
        <v>49</v>
      </c>
      <c r="G10" s="8" t="s">
        <v>59</v>
      </c>
      <c r="H10" s="8">
        <f>15000*117/100</f>
        <v>17550</v>
      </c>
      <c r="I10" s="8">
        <f>H10*3</f>
        <v>52650</v>
      </c>
      <c r="J10" s="31" t="s">
        <v>14</v>
      </c>
      <c r="K10" s="413"/>
      <c r="L10" s="413"/>
      <c r="M10" s="377"/>
      <c r="N10" s="401"/>
      <c r="O10" s="378"/>
    </row>
    <row r="11" spans="1:15" ht="38.25" x14ac:dyDescent="0.2">
      <c r="A11" s="340"/>
      <c r="B11" s="343"/>
      <c r="C11" s="343"/>
      <c r="D11" s="31" t="s">
        <v>761</v>
      </c>
      <c r="E11" s="7">
        <v>83</v>
      </c>
      <c r="F11" s="8" t="s">
        <v>49</v>
      </c>
      <c r="G11" s="8" t="s">
        <v>59</v>
      </c>
      <c r="H11" s="8">
        <f>20000*117/100</f>
        <v>23400</v>
      </c>
      <c r="I11" s="8">
        <f>H11*3</f>
        <v>70200</v>
      </c>
      <c r="J11" s="31" t="s">
        <v>14</v>
      </c>
      <c r="K11" s="428"/>
      <c r="L11" s="428"/>
      <c r="M11" s="389"/>
      <c r="N11" s="402"/>
      <c r="O11" s="351"/>
    </row>
    <row r="12" spans="1:15" ht="13.9" customHeight="1" x14ac:dyDescent="0.2">
      <c r="A12" s="336"/>
      <c r="B12" s="337" t="s">
        <v>341</v>
      </c>
      <c r="C12" s="338"/>
      <c r="D12" s="338"/>
      <c r="E12" s="338"/>
      <c r="F12" s="338"/>
      <c r="G12" s="338"/>
      <c r="H12" s="338"/>
      <c r="I12" s="338"/>
      <c r="J12" s="338"/>
      <c r="K12" s="338"/>
      <c r="L12" s="338"/>
      <c r="M12" s="338"/>
      <c r="N12" s="338"/>
      <c r="O12" s="339"/>
    </row>
    <row r="13" spans="1:15" ht="15.75" x14ac:dyDescent="0.2">
      <c r="A13" s="332" t="s">
        <v>764</v>
      </c>
      <c r="B13" s="333"/>
      <c r="C13" s="333"/>
      <c r="D13" s="333"/>
      <c r="E13" s="333"/>
      <c r="F13" s="333"/>
      <c r="G13" s="333"/>
      <c r="H13" s="333"/>
      <c r="I13" s="333"/>
      <c r="J13" s="333"/>
      <c r="K13" s="333"/>
      <c r="L13" s="333"/>
      <c r="M13" s="333"/>
      <c r="N13" s="333"/>
      <c r="O13" s="334"/>
    </row>
    <row r="14" spans="1:15" ht="25.5" customHeight="1" x14ac:dyDescent="0.2">
      <c r="A14" s="335">
        <v>2</v>
      </c>
      <c r="B14" s="342" t="s">
        <v>765</v>
      </c>
      <c r="C14" s="342" t="s">
        <v>58</v>
      </c>
      <c r="D14" s="19" t="s">
        <v>767</v>
      </c>
      <c r="E14" s="20">
        <v>100</v>
      </c>
      <c r="F14" s="21" t="s">
        <v>17</v>
      </c>
      <c r="G14" s="21" t="s">
        <v>17</v>
      </c>
      <c r="H14" s="161">
        <f>91000*117/100</f>
        <v>106470</v>
      </c>
      <c r="I14" s="21">
        <f>H14</f>
        <v>106470</v>
      </c>
      <c r="J14" s="19" t="s">
        <v>14</v>
      </c>
      <c r="K14" s="429" t="s">
        <v>253</v>
      </c>
      <c r="L14" s="429" t="s">
        <v>529</v>
      </c>
      <c r="M14" s="376">
        <f>I14</f>
        <v>106470</v>
      </c>
      <c r="N14" s="348"/>
      <c r="O14" s="350" t="s">
        <v>766</v>
      </c>
    </row>
    <row r="15" spans="1:15" s="9" customFormat="1" ht="14.25" x14ac:dyDescent="0.2">
      <c r="A15" s="340"/>
      <c r="B15" s="373"/>
      <c r="C15" s="373"/>
      <c r="D15" s="23" t="s">
        <v>768</v>
      </c>
      <c r="E15" s="32">
        <v>96</v>
      </c>
      <c r="F15" s="15" t="s">
        <v>17</v>
      </c>
      <c r="G15" s="15" t="s">
        <v>17</v>
      </c>
      <c r="H15" s="153">
        <f>96950*117/100</f>
        <v>113431.5</v>
      </c>
      <c r="I15" s="15">
        <f>H15</f>
        <v>113431.5</v>
      </c>
      <c r="J15" s="23" t="s">
        <v>14</v>
      </c>
      <c r="K15" s="430"/>
      <c r="L15" s="430"/>
      <c r="M15" s="377"/>
      <c r="N15" s="369"/>
      <c r="O15" s="378"/>
    </row>
    <row r="16" spans="1:15" s="9" customFormat="1" ht="38.25" x14ac:dyDescent="0.2">
      <c r="A16" s="340"/>
      <c r="B16" s="373"/>
      <c r="C16" s="373"/>
      <c r="D16" s="23" t="s">
        <v>769</v>
      </c>
      <c r="E16" s="32">
        <v>75</v>
      </c>
      <c r="F16" s="15" t="s">
        <v>17</v>
      </c>
      <c r="G16" s="15" t="s">
        <v>17</v>
      </c>
      <c r="H16" s="153">
        <f>142000*117/100</f>
        <v>166140</v>
      </c>
      <c r="I16" s="15">
        <f t="shared" ref="I16:I17" si="0">H16</f>
        <v>166140</v>
      </c>
      <c r="J16" s="23" t="s">
        <v>14</v>
      </c>
      <c r="K16" s="430"/>
      <c r="L16" s="430"/>
      <c r="M16" s="377"/>
      <c r="N16" s="369"/>
      <c r="O16" s="378"/>
    </row>
    <row r="17" spans="1:15" s="9" customFormat="1" ht="38.25" x14ac:dyDescent="0.2">
      <c r="A17" s="340"/>
      <c r="B17" s="343"/>
      <c r="C17" s="343"/>
      <c r="D17" s="23" t="s">
        <v>770</v>
      </c>
      <c r="E17" s="32">
        <v>60</v>
      </c>
      <c r="F17" s="15" t="s">
        <v>17</v>
      </c>
      <c r="G17" s="15" t="s">
        <v>17</v>
      </c>
      <c r="H17" s="153">
        <f>215000*117/100</f>
        <v>251550</v>
      </c>
      <c r="I17" s="15">
        <f t="shared" si="0"/>
        <v>251550</v>
      </c>
      <c r="J17" s="23" t="s">
        <v>14</v>
      </c>
      <c r="K17" s="431"/>
      <c r="L17" s="431"/>
      <c r="M17" s="389"/>
      <c r="N17" s="349"/>
      <c r="O17" s="351"/>
    </row>
    <row r="18" spans="1:15" ht="14.25" customHeight="1" x14ac:dyDescent="0.2">
      <c r="A18" s="336"/>
      <c r="B18" s="337"/>
      <c r="C18" s="338"/>
      <c r="D18" s="338"/>
      <c r="E18" s="338"/>
      <c r="F18" s="338"/>
      <c r="G18" s="338"/>
      <c r="H18" s="338"/>
      <c r="I18" s="338"/>
      <c r="J18" s="338"/>
      <c r="K18" s="338"/>
      <c r="L18" s="338"/>
      <c r="M18" s="338"/>
      <c r="N18" s="338"/>
      <c r="O18" s="339"/>
    </row>
    <row r="19" spans="1:15" ht="15.75" x14ac:dyDescent="0.2">
      <c r="A19" s="332" t="s">
        <v>798</v>
      </c>
      <c r="B19" s="333"/>
      <c r="C19" s="333"/>
      <c r="D19" s="333"/>
      <c r="E19" s="333"/>
      <c r="F19" s="333"/>
      <c r="G19" s="333"/>
      <c r="H19" s="333"/>
      <c r="I19" s="333"/>
      <c r="J19" s="333"/>
      <c r="K19" s="333"/>
      <c r="L19" s="333"/>
      <c r="M19" s="333"/>
      <c r="N19" s="333"/>
      <c r="O19" s="334"/>
    </row>
    <row r="20" spans="1:15" ht="78.75" x14ac:dyDescent="0.2">
      <c r="A20" s="335">
        <v>3</v>
      </c>
      <c r="B20" s="174" t="s">
        <v>799</v>
      </c>
      <c r="C20" s="174" t="s">
        <v>281</v>
      </c>
      <c r="D20" s="16" t="s">
        <v>800</v>
      </c>
      <c r="E20" s="17">
        <v>100</v>
      </c>
      <c r="F20" s="18" t="s">
        <v>57</v>
      </c>
      <c r="G20" s="18" t="s">
        <v>520</v>
      </c>
      <c r="H20" s="18">
        <f>30000*117/100</f>
        <v>35100</v>
      </c>
      <c r="I20" s="18">
        <f>H20*2</f>
        <v>70200</v>
      </c>
      <c r="J20" s="16"/>
      <c r="K20" s="175" t="s">
        <v>802</v>
      </c>
      <c r="L20" s="175" t="s">
        <v>529</v>
      </c>
      <c r="M20" s="176">
        <f>I20</f>
        <v>70200</v>
      </c>
      <c r="N20" s="177"/>
      <c r="O20" s="178">
        <v>2440132953</v>
      </c>
    </row>
    <row r="21" spans="1:15" ht="13.9" customHeight="1" x14ac:dyDescent="0.2">
      <c r="A21" s="336"/>
      <c r="B21" s="337" t="s">
        <v>801</v>
      </c>
      <c r="C21" s="338"/>
      <c r="D21" s="338"/>
      <c r="E21" s="338"/>
      <c r="F21" s="338"/>
      <c r="G21" s="338"/>
      <c r="H21" s="338"/>
      <c r="I21" s="338"/>
      <c r="J21" s="338"/>
      <c r="K21" s="338"/>
      <c r="L21" s="338"/>
      <c r="M21" s="338"/>
      <c r="N21" s="338"/>
      <c r="O21" s="339"/>
    </row>
    <row r="23" spans="1:15" ht="15.75" x14ac:dyDescent="0.2">
      <c r="A23" s="332" t="s">
        <v>650</v>
      </c>
      <c r="B23" s="333"/>
      <c r="C23" s="333"/>
      <c r="D23" s="333"/>
      <c r="E23" s="333"/>
      <c r="F23" s="333"/>
      <c r="G23" s="333"/>
      <c r="H23" s="333"/>
      <c r="I23" s="333"/>
      <c r="J23" s="333"/>
      <c r="K23" s="333"/>
      <c r="L23" s="333"/>
      <c r="M23" s="333"/>
      <c r="N23" s="333"/>
      <c r="O23" s="334"/>
    </row>
    <row r="24" spans="1:15" ht="191.25" x14ac:dyDescent="0.2">
      <c r="A24" s="335">
        <v>21</v>
      </c>
      <c r="B24" s="162" t="s">
        <v>773</v>
      </c>
      <c r="C24" s="167" t="s">
        <v>653</v>
      </c>
      <c r="D24" s="19" t="s">
        <v>654</v>
      </c>
      <c r="E24" s="20">
        <v>100</v>
      </c>
      <c r="F24" s="21" t="s">
        <v>49</v>
      </c>
      <c r="G24" s="21" t="s">
        <v>42</v>
      </c>
      <c r="H24" s="219">
        <f>(20*200)*117/100</f>
        <v>4680</v>
      </c>
      <c r="I24" s="21">
        <f>H24*12</f>
        <v>56160</v>
      </c>
      <c r="J24" s="19" t="s">
        <v>14</v>
      </c>
      <c r="K24" s="165" t="s">
        <v>802</v>
      </c>
      <c r="L24" s="168" t="s">
        <v>949</v>
      </c>
      <c r="M24" s="163"/>
      <c r="N24" s="166" t="s">
        <v>22</v>
      </c>
      <c r="O24" s="164"/>
    </row>
    <row r="25" spans="1:15" ht="27" customHeight="1" x14ac:dyDescent="0.2">
      <c r="A25" s="336"/>
      <c r="B25" s="337" t="s">
        <v>771</v>
      </c>
      <c r="C25" s="338"/>
      <c r="D25" s="338"/>
      <c r="E25" s="338"/>
      <c r="F25" s="338"/>
      <c r="G25" s="338"/>
      <c r="H25" s="338"/>
      <c r="I25" s="338"/>
      <c r="J25" s="338"/>
      <c r="K25" s="338"/>
      <c r="L25" s="338"/>
      <c r="M25" s="338"/>
      <c r="N25" s="338"/>
      <c r="O25" s="339"/>
    </row>
    <row r="27" spans="1:15" x14ac:dyDescent="0.2">
      <c r="B27" s="28"/>
    </row>
  </sheetData>
  <mergeCells count="32">
    <mergeCell ref="A24:A25"/>
    <mergeCell ref="B25:O25"/>
    <mergeCell ref="A19:O19"/>
    <mergeCell ref="A20:A21"/>
    <mergeCell ref="A1:A6"/>
    <mergeCell ref="B1:O1"/>
    <mergeCell ref="B2:O2"/>
    <mergeCell ref="B3:O3"/>
    <mergeCell ref="B4:O4"/>
    <mergeCell ref="B5:O5"/>
    <mergeCell ref="B21:O21"/>
    <mergeCell ref="L14:L17"/>
    <mergeCell ref="K14:K17"/>
    <mergeCell ref="C14:C17"/>
    <mergeCell ref="B14:B17"/>
    <mergeCell ref="A23:O23"/>
    <mergeCell ref="A7:O7"/>
    <mergeCell ref="A14:A18"/>
    <mergeCell ref="A13:O13"/>
    <mergeCell ref="B12:O12"/>
    <mergeCell ref="O8:O11"/>
    <mergeCell ref="N8:N11"/>
    <mergeCell ref="M8:M11"/>
    <mergeCell ref="L8:L11"/>
    <mergeCell ref="K8:K11"/>
    <mergeCell ref="C8:C11"/>
    <mergeCell ref="B8:B11"/>
    <mergeCell ref="A8:A12"/>
    <mergeCell ref="B18:O18"/>
    <mergeCell ref="O14:O17"/>
    <mergeCell ref="N14:N17"/>
    <mergeCell ref="M14:M17"/>
  </mergeCells>
  <pageMargins left="0.25" right="0.25" top="0.75" bottom="0.75" header="0.3" footer="0.3"/>
  <pageSetup paperSize="9" scale="73"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O97"/>
  <sheetViews>
    <sheetView rightToLeft="1" topLeftCell="A85" zoomScaleNormal="100" workbookViewId="0">
      <selection activeCell="A94" sqref="A94:XFD94"/>
    </sheetView>
  </sheetViews>
  <sheetFormatPr defaultColWidth="8.75" defaultRowHeight="15" x14ac:dyDescent="0.2"/>
  <cols>
    <col min="1" max="1" width="4.25" customWidth="1"/>
    <col min="2" max="2" width="21.125" style="9" bestFit="1" customWidth="1"/>
    <col min="4" max="4" width="7.25" customWidth="1"/>
    <col min="5" max="5" width="7.75" customWidth="1"/>
    <col min="6" max="6" width="10.25" bestFit="1" customWidth="1"/>
    <col min="7" max="7" width="12.125" style="10" bestFit="1" customWidth="1"/>
    <col min="8" max="8" width="13.625" style="11" bestFit="1" customWidth="1"/>
    <col min="9" max="9" width="14.625" style="11" bestFit="1" customWidth="1"/>
    <col min="10" max="10" width="9" customWidth="1"/>
    <col min="11" max="11" width="12.875" style="12" customWidth="1"/>
    <col min="12" max="12" width="19.375" style="12" customWidth="1"/>
    <col min="13" max="13" width="15" style="12" customWidth="1"/>
    <col min="14" max="14" width="10.875" style="13" customWidth="1"/>
    <col min="15" max="15" width="13" style="14" customWidth="1"/>
  </cols>
  <sheetData>
    <row r="1" spans="1:15" ht="20.25" x14ac:dyDescent="0.2">
      <c r="A1" s="354"/>
      <c r="B1" s="355" t="s">
        <v>757</v>
      </c>
      <c r="C1" s="355"/>
      <c r="D1" s="355"/>
      <c r="E1" s="355"/>
      <c r="F1" s="355"/>
      <c r="G1" s="355"/>
      <c r="H1" s="355"/>
      <c r="I1" s="355"/>
      <c r="J1" s="355"/>
      <c r="K1" s="355"/>
      <c r="L1" s="355"/>
      <c r="M1" s="355"/>
      <c r="N1" s="355"/>
      <c r="O1" s="355"/>
    </row>
    <row r="2" spans="1:15" ht="14.25" x14ac:dyDescent="0.2">
      <c r="A2" s="354"/>
      <c r="B2" s="356" t="s">
        <v>198</v>
      </c>
      <c r="C2" s="356"/>
      <c r="D2" s="356"/>
      <c r="E2" s="356"/>
      <c r="F2" s="356"/>
      <c r="G2" s="356"/>
      <c r="H2" s="356"/>
      <c r="I2" s="356"/>
      <c r="J2" s="356"/>
      <c r="K2" s="356"/>
      <c r="L2" s="356"/>
      <c r="M2" s="356"/>
      <c r="N2" s="356"/>
      <c r="O2" s="356"/>
    </row>
    <row r="3" spans="1:15" ht="15.75" x14ac:dyDescent="0.2">
      <c r="A3" s="354"/>
      <c r="B3" s="357" t="s">
        <v>663</v>
      </c>
      <c r="C3" s="357"/>
      <c r="D3" s="357"/>
      <c r="E3" s="357"/>
      <c r="F3" s="357"/>
      <c r="G3" s="357"/>
      <c r="H3" s="357"/>
      <c r="I3" s="357"/>
      <c r="J3" s="357"/>
      <c r="K3" s="357"/>
      <c r="L3" s="357"/>
      <c r="M3" s="357"/>
      <c r="N3" s="357"/>
      <c r="O3" s="357"/>
    </row>
    <row r="4" spans="1:15" ht="14.25" x14ac:dyDescent="0.2">
      <c r="A4" s="354"/>
      <c r="B4" s="358" t="s">
        <v>71</v>
      </c>
      <c r="C4" s="358"/>
      <c r="D4" s="358"/>
      <c r="E4" s="358"/>
      <c r="F4" s="358"/>
      <c r="G4" s="358"/>
      <c r="H4" s="358"/>
      <c r="I4" s="358"/>
      <c r="J4" s="358"/>
      <c r="K4" s="358"/>
      <c r="L4" s="358"/>
      <c r="M4" s="358"/>
      <c r="N4" s="358"/>
      <c r="O4" s="358"/>
    </row>
    <row r="5" spans="1:15" ht="14.25" x14ac:dyDescent="0.2">
      <c r="A5" s="354"/>
      <c r="B5" s="358" t="s">
        <v>70</v>
      </c>
      <c r="C5" s="358"/>
      <c r="D5" s="358"/>
      <c r="E5" s="358"/>
      <c r="F5" s="358"/>
      <c r="G5" s="358"/>
      <c r="H5" s="358"/>
      <c r="I5" s="358"/>
      <c r="J5" s="358"/>
      <c r="K5" s="358"/>
      <c r="L5" s="358"/>
      <c r="M5" s="358"/>
      <c r="N5" s="358"/>
      <c r="O5" s="358"/>
    </row>
    <row r="6" spans="1:15" ht="46.5" customHeight="1" x14ac:dyDescent="0.2">
      <c r="A6" s="354"/>
      <c r="B6" s="1" t="s">
        <v>1</v>
      </c>
      <c r="C6" s="2" t="s">
        <v>2</v>
      </c>
      <c r="D6" s="3" t="s">
        <v>3</v>
      </c>
      <c r="E6" s="3" t="s">
        <v>4</v>
      </c>
      <c r="F6" s="3" t="s">
        <v>5</v>
      </c>
      <c r="G6" s="3" t="s">
        <v>6</v>
      </c>
      <c r="H6" s="4" t="s">
        <v>7</v>
      </c>
      <c r="I6" s="5" t="s">
        <v>8</v>
      </c>
      <c r="J6" s="3" t="s">
        <v>9</v>
      </c>
      <c r="K6" s="3" t="s">
        <v>10</v>
      </c>
      <c r="L6" s="3" t="s">
        <v>525</v>
      </c>
      <c r="M6" s="109" t="s">
        <v>526</v>
      </c>
      <c r="N6" s="6" t="s">
        <v>11</v>
      </c>
      <c r="O6" s="3" t="s">
        <v>12</v>
      </c>
    </row>
    <row r="7" spans="1:15" ht="15.75" x14ac:dyDescent="0.2">
      <c r="A7" s="332" t="s">
        <v>681</v>
      </c>
      <c r="B7" s="333"/>
      <c r="C7" s="333"/>
      <c r="D7" s="333"/>
      <c r="E7" s="333"/>
      <c r="F7" s="333"/>
      <c r="G7" s="333"/>
      <c r="H7" s="333"/>
      <c r="I7" s="333"/>
      <c r="J7" s="333"/>
      <c r="K7" s="333"/>
      <c r="L7" s="333"/>
      <c r="M7" s="333"/>
      <c r="N7" s="333"/>
      <c r="O7" s="334"/>
    </row>
    <row r="8" spans="1:15" ht="25.5" customHeight="1" x14ac:dyDescent="0.2">
      <c r="A8" s="335">
        <v>1</v>
      </c>
      <c r="B8" s="342" t="s">
        <v>682</v>
      </c>
      <c r="C8" s="342" t="s">
        <v>683</v>
      </c>
      <c r="D8" s="80" t="s">
        <v>127</v>
      </c>
      <c r="E8" s="81">
        <v>100</v>
      </c>
      <c r="F8" s="82" t="s">
        <v>684</v>
      </c>
      <c r="G8" s="82" t="s">
        <v>42</v>
      </c>
      <c r="H8" s="82">
        <f>175*117/100</f>
        <v>204.75</v>
      </c>
      <c r="I8" s="140">
        <f>H8*90*12</f>
        <v>221130</v>
      </c>
      <c r="J8" s="80" t="s">
        <v>14</v>
      </c>
      <c r="K8" s="344" t="s">
        <v>665</v>
      </c>
      <c r="L8" s="429" t="s">
        <v>688</v>
      </c>
      <c r="M8" s="376">
        <f>H8*150</f>
        <v>30712.5</v>
      </c>
      <c r="N8" s="348" t="s">
        <v>22</v>
      </c>
      <c r="O8" s="350"/>
    </row>
    <row r="9" spans="1:15" ht="25.5" x14ac:dyDescent="0.2">
      <c r="A9" s="340"/>
      <c r="B9" s="373"/>
      <c r="C9" s="373"/>
      <c r="D9" s="31" t="s">
        <v>685</v>
      </c>
      <c r="E9" s="7">
        <v>89</v>
      </c>
      <c r="F9" s="8" t="s">
        <v>684</v>
      </c>
      <c r="G9" s="8" t="s">
        <v>42</v>
      </c>
      <c r="H9" s="8">
        <f>210*117/100</f>
        <v>245.7</v>
      </c>
      <c r="I9" s="142">
        <f t="shared" ref="I9:I10" si="0">H9*90*12</f>
        <v>265356</v>
      </c>
      <c r="J9" s="31" t="s">
        <v>14</v>
      </c>
      <c r="K9" s="365"/>
      <c r="L9" s="430"/>
      <c r="M9" s="377"/>
      <c r="N9" s="369"/>
      <c r="O9" s="378"/>
    </row>
    <row r="10" spans="1:15" ht="25.5" x14ac:dyDescent="0.2">
      <c r="A10" s="340"/>
      <c r="B10" s="373"/>
      <c r="C10" s="373"/>
      <c r="D10" s="31" t="s">
        <v>686</v>
      </c>
      <c r="E10" s="7">
        <v>83</v>
      </c>
      <c r="F10" s="8" t="s">
        <v>684</v>
      </c>
      <c r="G10" s="8" t="s">
        <v>42</v>
      </c>
      <c r="H10" s="8">
        <f>230*117/100</f>
        <v>269.10000000000002</v>
      </c>
      <c r="I10" s="142">
        <f t="shared" si="0"/>
        <v>290628.00000000006</v>
      </c>
      <c r="J10" s="31" t="s">
        <v>14</v>
      </c>
      <c r="K10" s="365"/>
      <c r="L10" s="430"/>
      <c r="M10" s="377"/>
      <c r="N10" s="369"/>
      <c r="O10" s="378"/>
    </row>
    <row r="11" spans="1:15" ht="14.25" customHeight="1" x14ac:dyDescent="0.2">
      <c r="A11" s="336"/>
      <c r="B11" s="337" t="s">
        <v>341</v>
      </c>
      <c r="C11" s="338"/>
      <c r="D11" s="338"/>
      <c r="E11" s="338"/>
      <c r="F11" s="338"/>
      <c r="G11" s="338"/>
      <c r="H11" s="338"/>
      <c r="I11" s="338"/>
      <c r="J11" s="338"/>
      <c r="K11" s="338"/>
      <c r="L11" s="338"/>
      <c r="M11" s="338"/>
      <c r="N11" s="338"/>
      <c r="O11" s="339"/>
    </row>
    <row r="12" spans="1:15" ht="15.75" x14ac:dyDescent="0.2">
      <c r="A12" s="332" t="s">
        <v>690</v>
      </c>
      <c r="B12" s="333"/>
      <c r="C12" s="333"/>
      <c r="D12" s="333"/>
      <c r="E12" s="333"/>
      <c r="F12" s="333"/>
      <c r="G12" s="333"/>
      <c r="H12" s="333"/>
      <c r="I12" s="333"/>
      <c r="J12" s="333"/>
      <c r="K12" s="333"/>
      <c r="L12" s="333"/>
      <c r="M12" s="333"/>
      <c r="N12" s="333"/>
      <c r="O12" s="334"/>
    </row>
    <row r="13" spans="1:15" ht="52.9" customHeight="1" x14ac:dyDescent="0.2">
      <c r="A13" s="335">
        <v>2</v>
      </c>
      <c r="B13" s="342" t="s">
        <v>691</v>
      </c>
      <c r="C13" s="434" t="s">
        <v>53</v>
      </c>
      <c r="D13" s="16" t="s">
        <v>692</v>
      </c>
      <c r="E13" s="17">
        <v>100</v>
      </c>
      <c r="F13" s="18" t="s">
        <v>57</v>
      </c>
      <c r="G13" s="18" t="s">
        <v>90</v>
      </c>
      <c r="H13" s="18">
        <f>15000*117/100</f>
        <v>17550</v>
      </c>
      <c r="I13" s="27">
        <f>H13*6</f>
        <v>105300</v>
      </c>
      <c r="J13" s="16" t="s">
        <v>14</v>
      </c>
      <c r="K13" s="344" t="s">
        <v>253</v>
      </c>
      <c r="L13" s="429" t="s">
        <v>529</v>
      </c>
      <c r="M13" s="376">
        <f>I13</f>
        <v>105300</v>
      </c>
      <c r="N13" s="348" t="s">
        <v>22</v>
      </c>
      <c r="O13" s="350"/>
    </row>
    <row r="14" spans="1:15" ht="25.5" x14ac:dyDescent="0.2">
      <c r="A14" s="340"/>
      <c r="B14" s="373"/>
      <c r="C14" s="435"/>
      <c r="D14" s="31" t="s">
        <v>693</v>
      </c>
      <c r="E14" s="7">
        <v>88</v>
      </c>
      <c r="F14" s="8" t="s">
        <v>49</v>
      </c>
      <c r="G14" s="8" t="s">
        <v>90</v>
      </c>
      <c r="H14" s="8">
        <f>18000*117/100</f>
        <v>21060</v>
      </c>
      <c r="I14" s="142">
        <f>H14*6</f>
        <v>126360</v>
      </c>
      <c r="J14" s="31" t="s">
        <v>14</v>
      </c>
      <c r="K14" s="365"/>
      <c r="L14" s="430"/>
      <c r="M14" s="377"/>
      <c r="N14" s="369"/>
      <c r="O14" s="378"/>
    </row>
    <row r="15" spans="1:15" ht="25.5" x14ac:dyDescent="0.2">
      <c r="A15" s="340"/>
      <c r="B15" s="373"/>
      <c r="C15" s="435"/>
      <c r="D15" s="31" t="s">
        <v>694</v>
      </c>
      <c r="E15" s="7">
        <v>85</v>
      </c>
      <c r="F15" s="8" t="s">
        <v>49</v>
      </c>
      <c r="G15" s="8" t="s">
        <v>90</v>
      </c>
      <c r="H15" s="8">
        <f>19104*117/100</f>
        <v>22351.68</v>
      </c>
      <c r="I15" s="142">
        <f t="shared" ref="I15:I16" si="1">H15*6</f>
        <v>134110.08000000002</v>
      </c>
      <c r="J15" s="31" t="s">
        <v>14</v>
      </c>
      <c r="K15" s="365"/>
      <c r="L15" s="430"/>
      <c r="M15" s="377"/>
      <c r="N15" s="369"/>
      <c r="O15" s="378"/>
    </row>
    <row r="16" spans="1:15" ht="38.25" x14ac:dyDescent="0.2">
      <c r="A16" s="340"/>
      <c r="B16" s="343"/>
      <c r="C16" s="436"/>
      <c r="D16" s="31" t="s">
        <v>695</v>
      </c>
      <c r="E16" s="7">
        <v>74</v>
      </c>
      <c r="F16" s="8" t="s">
        <v>49</v>
      </c>
      <c r="G16" s="8" t="s">
        <v>90</v>
      </c>
      <c r="H16" s="8">
        <f>23760*117/100</f>
        <v>27799.200000000001</v>
      </c>
      <c r="I16" s="142">
        <f t="shared" si="1"/>
        <v>166795.20000000001</v>
      </c>
      <c r="J16" s="31" t="s">
        <v>14</v>
      </c>
      <c r="K16" s="345"/>
      <c r="L16" s="431"/>
      <c r="M16" s="389"/>
      <c r="N16" s="349"/>
      <c r="O16" s="351"/>
    </row>
    <row r="17" spans="1:15" ht="13.9" customHeight="1" x14ac:dyDescent="0.2">
      <c r="A17" s="336"/>
      <c r="B17" s="337"/>
      <c r="C17" s="338"/>
      <c r="D17" s="338"/>
      <c r="E17" s="338"/>
      <c r="F17" s="338"/>
      <c r="G17" s="338"/>
      <c r="H17" s="338"/>
      <c r="I17" s="338"/>
      <c r="J17" s="338"/>
      <c r="K17" s="338"/>
      <c r="L17" s="338"/>
      <c r="M17" s="338"/>
      <c r="N17" s="338"/>
      <c r="O17" s="339"/>
    </row>
    <row r="18" spans="1:15" ht="15.75" x14ac:dyDescent="0.2">
      <c r="A18" s="332" t="s">
        <v>696</v>
      </c>
      <c r="B18" s="333"/>
      <c r="C18" s="333"/>
      <c r="D18" s="333"/>
      <c r="E18" s="333"/>
      <c r="F18" s="333"/>
      <c r="G18" s="333"/>
      <c r="H18" s="333"/>
      <c r="I18" s="333"/>
      <c r="J18" s="333"/>
      <c r="K18" s="333"/>
      <c r="L18" s="333"/>
      <c r="M18" s="333"/>
      <c r="N18" s="333"/>
      <c r="O18" s="334"/>
    </row>
    <row r="19" spans="1:15" ht="63.75" x14ac:dyDescent="0.2">
      <c r="A19" s="335">
        <v>3</v>
      </c>
      <c r="B19" s="143" t="s">
        <v>701</v>
      </c>
      <c r="C19" s="149" t="s">
        <v>697</v>
      </c>
      <c r="D19" s="16" t="s">
        <v>700</v>
      </c>
      <c r="E19" s="17">
        <v>100</v>
      </c>
      <c r="F19" s="18" t="s">
        <v>13</v>
      </c>
      <c r="G19" s="18" t="s">
        <v>63</v>
      </c>
      <c r="H19" s="18">
        <f>290*117/100</f>
        <v>339.3</v>
      </c>
      <c r="I19" s="18">
        <f>H19*150</f>
        <v>50895</v>
      </c>
      <c r="J19" s="16" t="s">
        <v>14</v>
      </c>
      <c r="K19" s="144" t="s">
        <v>21</v>
      </c>
      <c r="L19" s="148" t="s">
        <v>529</v>
      </c>
      <c r="M19" s="145">
        <f>I19</f>
        <v>50895</v>
      </c>
      <c r="N19" s="146" t="s">
        <v>22</v>
      </c>
      <c r="O19" s="147"/>
    </row>
    <row r="20" spans="1:15" ht="15" customHeight="1" x14ac:dyDescent="0.2">
      <c r="A20" s="336"/>
      <c r="B20" s="337" t="s">
        <v>698</v>
      </c>
      <c r="C20" s="338"/>
      <c r="D20" s="338"/>
      <c r="E20" s="338"/>
      <c r="F20" s="338"/>
      <c r="G20" s="338"/>
      <c r="H20" s="338"/>
      <c r="I20" s="338"/>
      <c r="J20" s="338"/>
      <c r="K20" s="338"/>
      <c r="L20" s="338"/>
      <c r="M20" s="338"/>
      <c r="N20" s="338"/>
      <c r="O20" s="339"/>
    </row>
    <row r="21" spans="1:15" ht="15.75" x14ac:dyDescent="0.2">
      <c r="A21" s="332" t="s">
        <v>699</v>
      </c>
      <c r="B21" s="333"/>
      <c r="C21" s="333"/>
      <c r="D21" s="333"/>
      <c r="E21" s="333"/>
      <c r="F21" s="333"/>
      <c r="G21" s="333"/>
      <c r="H21" s="333"/>
      <c r="I21" s="333"/>
      <c r="J21" s="333"/>
      <c r="K21" s="333"/>
      <c r="L21" s="333"/>
      <c r="M21" s="333"/>
      <c r="N21" s="333"/>
      <c r="O21" s="334"/>
    </row>
    <row r="22" spans="1:15" ht="60" x14ac:dyDescent="0.2">
      <c r="A22" s="335">
        <v>4</v>
      </c>
      <c r="B22" s="143" t="s">
        <v>702</v>
      </c>
      <c r="C22" s="149" t="s">
        <v>697</v>
      </c>
      <c r="D22" s="16" t="s">
        <v>703</v>
      </c>
      <c r="E22" s="17">
        <v>100</v>
      </c>
      <c r="F22" s="18" t="s">
        <v>13</v>
      </c>
      <c r="G22" s="18" t="s">
        <v>63</v>
      </c>
      <c r="H22" s="18">
        <f>585*117/100</f>
        <v>684.45</v>
      </c>
      <c r="I22" s="18">
        <f>H22*150</f>
        <v>102667.5</v>
      </c>
      <c r="J22" s="16" t="s">
        <v>14</v>
      </c>
      <c r="K22" s="158" t="s">
        <v>21</v>
      </c>
      <c r="L22" s="148" t="s">
        <v>529</v>
      </c>
      <c r="M22" s="145">
        <f>I22</f>
        <v>102667.5</v>
      </c>
      <c r="N22" s="146" t="s">
        <v>22</v>
      </c>
      <c r="O22" s="147"/>
    </row>
    <row r="23" spans="1:15" ht="15" customHeight="1" x14ac:dyDescent="0.2">
      <c r="A23" s="336"/>
      <c r="B23" s="337" t="s">
        <v>704</v>
      </c>
      <c r="C23" s="338"/>
      <c r="D23" s="338"/>
      <c r="E23" s="338"/>
      <c r="F23" s="338"/>
      <c r="G23" s="338"/>
      <c r="H23" s="338"/>
      <c r="I23" s="338"/>
      <c r="J23" s="338"/>
      <c r="K23" s="338"/>
      <c r="L23" s="338"/>
      <c r="M23" s="338"/>
      <c r="N23" s="338"/>
      <c r="O23" s="339"/>
    </row>
    <row r="24" spans="1:15" ht="15.75" x14ac:dyDescent="0.2">
      <c r="A24" s="332" t="s">
        <v>705</v>
      </c>
      <c r="B24" s="333"/>
      <c r="C24" s="333"/>
      <c r="D24" s="333"/>
      <c r="E24" s="333"/>
      <c r="F24" s="333"/>
      <c r="G24" s="333"/>
      <c r="H24" s="333"/>
      <c r="I24" s="333"/>
      <c r="J24" s="333"/>
      <c r="K24" s="333"/>
      <c r="L24" s="333"/>
      <c r="M24" s="333"/>
      <c r="N24" s="333"/>
      <c r="O24" s="334"/>
    </row>
    <row r="25" spans="1:15" ht="60" x14ac:dyDescent="0.2">
      <c r="A25" s="335">
        <v>5</v>
      </c>
      <c r="B25" s="143" t="s">
        <v>523</v>
      </c>
      <c r="C25" s="149" t="s">
        <v>68</v>
      </c>
      <c r="D25" s="19" t="s">
        <v>91</v>
      </c>
      <c r="E25" s="20">
        <v>75</v>
      </c>
      <c r="F25" s="21" t="s">
        <v>49</v>
      </c>
      <c r="G25" s="21" t="s">
        <v>42</v>
      </c>
      <c r="H25" s="77">
        <f>5460</f>
        <v>5460</v>
      </c>
      <c r="I25" s="21">
        <f>H25*12</f>
        <v>65520</v>
      </c>
      <c r="J25" s="19"/>
      <c r="K25" s="158" t="s">
        <v>21</v>
      </c>
      <c r="L25" s="148" t="s">
        <v>529</v>
      </c>
      <c r="M25" s="145">
        <f>I25</f>
        <v>65520</v>
      </c>
      <c r="N25" s="146" t="s">
        <v>22</v>
      </c>
      <c r="O25" s="147">
        <v>240072961</v>
      </c>
    </row>
    <row r="26" spans="1:15" ht="13.9" customHeight="1" x14ac:dyDescent="0.2">
      <c r="A26" s="336"/>
      <c r="B26" s="337" t="s">
        <v>710</v>
      </c>
      <c r="C26" s="338"/>
      <c r="D26" s="338"/>
      <c r="E26" s="338"/>
      <c r="F26" s="338"/>
      <c r="G26" s="338"/>
      <c r="H26" s="338"/>
      <c r="I26" s="338"/>
      <c r="J26" s="338"/>
      <c r="K26" s="338"/>
      <c r="L26" s="338"/>
      <c r="M26" s="338"/>
      <c r="N26" s="338"/>
      <c r="O26" s="339"/>
    </row>
    <row r="27" spans="1:15" ht="15.75" x14ac:dyDescent="0.2">
      <c r="A27" s="332" t="s">
        <v>711</v>
      </c>
      <c r="B27" s="333"/>
      <c r="C27" s="333"/>
      <c r="D27" s="333"/>
      <c r="E27" s="333"/>
      <c r="F27" s="333"/>
      <c r="G27" s="333"/>
      <c r="H27" s="333"/>
      <c r="I27" s="333"/>
      <c r="J27" s="333"/>
      <c r="K27" s="333"/>
      <c r="L27" s="333"/>
      <c r="M27" s="333"/>
      <c r="N27" s="333"/>
      <c r="O27" s="334"/>
    </row>
    <row r="28" spans="1:15" ht="94.5" x14ac:dyDescent="0.2">
      <c r="A28" s="335">
        <v>6</v>
      </c>
      <c r="B28" s="143" t="s">
        <v>706</v>
      </c>
      <c r="C28" s="149" t="s">
        <v>413</v>
      </c>
      <c r="D28" s="42" t="s">
        <v>707</v>
      </c>
      <c r="E28" s="43">
        <v>100</v>
      </c>
      <c r="F28" s="44" t="s">
        <v>46</v>
      </c>
      <c r="G28" s="44" t="s">
        <v>708</v>
      </c>
      <c r="H28" s="160">
        <v>3.8899999999999997E-2</v>
      </c>
      <c r="I28" s="44">
        <f>3.89/100*(4685580-2000000)*117/100</f>
        <v>122228.80254</v>
      </c>
      <c r="J28" s="42" t="s">
        <v>14</v>
      </c>
      <c r="K28" s="144" t="s">
        <v>258</v>
      </c>
      <c r="L28" s="148" t="s">
        <v>754</v>
      </c>
      <c r="M28" s="145"/>
      <c r="N28" s="146" t="s">
        <v>22</v>
      </c>
      <c r="O28" s="147"/>
    </row>
    <row r="29" spans="1:15" ht="15" customHeight="1" x14ac:dyDescent="0.2">
      <c r="A29" s="336"/>
      <c r="B29" s="337" t="s">
        <v>709</v>
      </c>
      <c r="C29" s="338"/>
      <c r="D29" s="338"/>
      <c r="E29" s="338"/>
      <c r="F29" s="338"/>
      <c r="G29" s="338"/>
      <c r="H29" s="338"/>
      <c r="I29" s="338"/>
      <c r="J29" s="338"/>
      <c r="K29" s="338"/>
      <c r="L29" s="338"/>
      <c r="M29" s="338"/>
      <c r="N29" s="338"/>
      <c r="O29" s="339"/>
    </row>
    <row r="30" spans="1:15" ht="15.75" x14ac:dyDescent="0.2">
      <c r="A30" s="332" t="s">
        <v>712</v>
      </c>
      <c r="B30" s="333"/>
      <c r="C30" s="333"/>
      <c r="D30" s="333"/>
      <c r="E30" s="333"/>
      <c r="F30" s="333"/>
      <c r="G30" s="333"/>
      <c r="H30" s="333"/>
      <c r="I30" s="333"/>
      <c r="J30" s="333"/>
      <c r="K30" s="333"/>
      <c r="L30" s="333"/>
      <c r="M30" s="333"/>
      <c r="N30" s="333"/>
      <c r="O30" s="334"/>
    </row>
    <row r="31" spans="1:15" ht="25.5" customHeight="1" x14ac:dyDescent="0.2">
      <c r="A31" s="335">
        <v>7</v>
      </c>
      <c r="B31" s="342" t="s">
        <v>713</v>
      </c>
      <c r="C31" s="342" t="s">
        <v>287</v>
      </c>
      <c r="D31" s="19" t="s">
        <v>301</v>
      </c>
      <c r="E31" s="20">
        <v>100</v>
      </c>
      <c r="F31" s="21" t="s">
        <v>17</v>
      </c>
      <c r="G31" s="21" t="s">
        <v>17</v>
      </c>
      <c r="H31" s="161">
        <f>23400*117/100</f>
        <v>27378</v>
      </c>
      <c r="I31" s="21">
        <f>H31</f>
        <v>27378</v>
      </c>
      <c r="J31" s="19" t="s">
        <v>14</v>
      </c>
      <c r="K31" s="429" t="s">
        <v>253</v>
      </c>
      <c r="L31" s="429" t="s">
        <v>529</v>
      </c>
      <c r="M31" s="376">
        <f>I31</f>
        <v>27378</v>
      </c>
      <c r="N31" s="348" t="s">
        <v>22</v>
      </c>
      <c r="O31" s="350">
        <v>224004</v>
      </c>
    </row>
    <row r="32" spans="1:15" s="9" customFormat="1" ht="13.9" customHeight="1" x14ac:dyDescent="0.2">
      <c r="A32" s="340"/>
      <c r="B32" s="373"/>
      <c r="C32" s="373"/>
      <c r="D32" s="23" t="s">
        <v>25</v>
      </c>
      <c r="E32" s="32">
        <v>85</v>
      </c>
      <c r="F32" s="15" t="s">
        <v>17</v>
      </c>
      <c r="G32" s="15" t="s">
        <v>17</v>
      </c>
      <c r="H32" s="153">
        <f>30000*117/100</f>
        <v>35100</v>
      </c>
      <c r="I32" s="15">
        <f>H32</f>
        <v>35100</v>
      </c>
      <c r="J32" s="23" t="s">
        <v>14</v>
      </c>
      <c r="K32" s="430"/>
      <c r="L32" s="430"/>
      <c r="M32" s="377"/>
      <c r="N32" s="369"/>
      <c r="O32" s="378"/>
    </row>
    <row r="33" spans="1:15" s="9" customFormat="1" ht="13.9" customHeight="1" x14ac:dyDescent="0.2">
      <c r="A33" s="340"/>
      <c r="B33" s="373"/>
      <c r="C33" s="373"/>
      <c r="D33" s="23" t="s">
        <v>303</v>
      </c>
      <c r="E33" s="32">
        <v>77</v>
      </c>
      <c r="F33" s="15" t="s">
        <v>17</v>
      </c>
      <c r="G33" s="15" t="s">
        <v>17</v>
      </c>
      <c r="H33" s="153">
        <f>35000*117/100</f>
        <v>40950</v>
      </c>
      <c r="I33" s="15">
        <f t="shared" ref="I33:I35" si="2">H33</f>
        <v>40950</v>
      </c>
      <c r="J33" s="23" t="s">
        <v>14</v>
      </c>
      <c r="K33" s="430"/>
      <c r="L33" s="430"/>
      <c r="M33" s="377"/>
      <c r="N33" s="369"/>
      <c r="O33" s="378"/>
    </row>
    <row r="34" spans="1:15" s="9" customFormat="1" ht="13.9" customHeight="1" x14ac:dyDescent="0.2">
      <c r="A34" s="340"/>
      <c r="B34" s="373"/>
      <c r="C34" s="373"/>
      <c r="D34" s="23" t="s">
        <v>24</v>
      </c>
      <c r="E34" s="32">
        <v>66</v>
      </c>
      <c r="F34" s="15" t="s">
        <v>17</v>
      </c>
      <c r="G34" s="15" t="s">
        <v>17</v>
      </c>
      <c r="H34" s="153">
        <f>45000*117/100</f>
        <v>52650</v>
      </c>
      <c r="I34" s="15">
        <f t="shared" si="2"/>
        <v>52650</v>
      </c>
      <c r="J34" s="23" t="s">
        <v>14</v>
      </c>
      <c r="K34" s="430"/>
      <c r="L34" s="430"/>
      <c r="M34" s="377"/>
      <c r="N34" s="369"/>
      <c r="O34" s="378"/>
    </row>
    <row r="35" spans="1:15" s="9" customFormat="1" ht="13.9" customHeight="1" x14ac:dyDescent="0.2">
      <c r="A35" s="340"/>
      <c r="B35" s="343"/>
      <c r="C35" s="343"/>
      <c r="D35" s="23" t="s">
        <v>23</v>
      </c>
      <c r="E35" s="32">
        <v>55</v>
      </c>
      <c r="F35" s="15" t="s">
        <v>17</v>
      </c>
      <c r="G35" s="15" t="s">
        <v>17</v>
      </c>
      <c r="H35" s="153">
        <f>65000*117/100</f>
        <v>76050</v>
      </c>
      <c r="I35" s="15">
        <f t="shared" si="2"/>
        <v>76050</v>
      </c>
      <c r="J35" s="23" t="s">
        <v>14</v>
      </c>
      <c r="K35" s="431"/>
      <c r="L35" s="431"/>
      <c r="M35" s="389"/>
      <c r="N35" s="349"/>
      <c r="O35" s="351"/>
    </row>
    <row r="36" spans="1:15" ht="14.25" customHeight="1" x14ac:dyDescent="0.2">
      <c r="A36" s="336"/>
      <c r="B36" s="337"/>
      <c r="C36" s="338"/>
      <c r="D36" s="338"/>
      <c r="E36" s="338"/>
      <c r="F36" s="338"/>
      <c r="G36" s="338"/>
      <c r="H36" s="338"/>
      <c r="I36" s="338"/>
      <c r="J36" s="338"/>
      <c r="K36" s="338"/>
      <c r="L36" s="338"/>
      <c r="M36" s="338"/>
      <c r="N36" s="338"/>
      <c r="O36" s="339"/>
    </row>
    <row r="37" spans="1:15" ht="15.75" x14ac:dyDescent="0.2">
      <c r="A37" s="332" t="s">
        <v>714</v>
      </c>
      <c r="B37" s="333"/>
      <c r="C37" s="333"/>
      <c r="D37" s="333"/>
      <c r="E37" s="333"/>
      <c r="F37" s="333"/>
      <c r="G37" s="333"/>
      <c r="H37" s="333"/>
      <c r="I37" s="333"/>
      <c r="J37" s="333"/>
      <c r="K37" s="333"/>
      <c r="L37" s="333"/>
      <c r="M37" s="333"/>
      <c r="N37" s="333"/>
      <c r="O37" s="334"/>
    </row>
    <row r="38" spans="1:15" ht="25.5" customHeight="1" x14ac:dyDescent="0.2">
      <c r="A38" s="335">
        <v>8</v>
      </c>
      <c r="B38" s="342" t="s">
        <v>715</v>
      </c>
      <c r="C38" s="342" t="s">
        <v>287</v>
      </c>
      <c r="D38" s="19" t="s">
        <v>716</v>
      </c>
      <c r="E38" s="20">
        <v>100</v>
      </c>
      <c r="F38" s="21" t="s">
        <v>17</v>
      </c>
      <c r="G38" s="21" t="s">
        <v>17</v>
      </c>
      <c r="H38" s="161">
        <f>7700*117/100</f>
        <v>9009</v>
      </c>
      <c r="I38" s="21">
        <f>H38</f>
        <v>9009</v>
      </c>
      <c r="J38" s="19" t="s">
        <v>14</v>
      </c>
      <c r="K38" s="429" t="s">
        <v>253</v>
      </c>
      <c r="L38" s="429" t="s">
        <v>529</v>
      </c>
      <c r="M38" s="376">
        <f>I38</f>
        <v>9009</v>
      </c>
      <c r="N38" s="348" t="s">
        <v>22</v>
      </c>
      <c r="O38" s="350">
        <v>224004</v>
      </c>
    </row>
    <row r="39" spans="1:15" s="9" customFormat="1" ht="25.5" x14ac:dyDescent="0.2">
      <c r="A39" s="340"/>
      <c r="B39" s="373"/>
      <c r="C39" s="373"/>
      <c r="D39" s="23" t="s">
        <v>601</v>
      </c>
      <c r="E39" s="32">
        <v>66</v>
      </c>
      <c r="F39" s="15" t="s">
        <v>17</v>
      </c>
      <c r="G39" s="15" t="s">
        <v>17</v>
      </c>
      <c r="H39" s="153">
        <f>15000*117/100</f>
        <v>17550</v>
      </c>
      <c r="I39" s="15">
        <f>H39</f>
        <v>17550</v>
      </c>
      <c r="J39" s="23" t="s">
        <v>14</v>
      </c>
      <c r="K39" s="430"/>
      <c r="L39" s="430"/>
      <c r="M39" s="377"/>
      <c r="N39" s="369"/>
      <c r="O39" s="378"/>
    </row>
    <row r="40" spans="1:15" s="9" customFormat="1" ht="25.5" x14ac:dyDescent="0.2">
      <c r="A40" s="340"/>
      <c r="B40" s="373"/>
      <c r="C40" s="373"/>
      <c r="D40" s="23" t="s">
        <v>599</v>
      </c>
      <c r="E40" s="32">
        <v>52</v>
      </c>
      <c r="F40" s="15" t="s">
        <v>17</v>
      </c>
      <c r="G40" s="15" t="s">
        <v>17</v>
      </c>
      <c r="H40" s="153">
        <f>25000*117/100</f>
        <v>29250</v>
      </c>
      <c r="I40" s="15">
        <f t="shared" ref="I40:I41" si="3">H40</f>
        <v>29250</v>
      </c>
      <c r="J40" s="23" t="s">
        <v>14</v>
      </c>
      <c r="K40" s="430"/>
      <c r="L40" s="430"/>
      <c r="M40" s="377"/>
      <c r="N40" s="369"/>
      <c r="O40" s="378"/>
    </row>
    <row r="41" spans="1:15" s="9" customFormat="1" ht="25.5" x14ac:dyDescent="0.2">
      <c r="A41" s="340"/>
      <c r="B41" s="343"/>
      <c r="C41" s="343"/>
      <c r="D41" s="23" t="s">
        <v>717</v>
      </c>
      <c r="E41" s="32">
        <v>44</v>
      </c>
      <c r="F41" s="15" t="s">
        <v>17</v>
      </c>
      <c r="G41" s="15" t="s">
        <v>17</v>
      </c>
      <c r="H41" s="153">
        <f>38000*117/100</f>
        <v>44460</v>
      </c>
      <c r="I41" s="15">
        <f t="shared" si="3"/>
        <v>44460</v>
      </c>
      <c r="J41" s="23" t="s">
        <v>14</v>
      </c>
      <c r="K41" s="431"/>
      <c r="L41" s="431"/>
      <c r="M41" s="389"/>
      <c r="N41" s="349"/>
      <c r="O41" s="351"/>
    </row>
    <row r="42" spans="1:15" ht="14.25" customHeight="1" x14ac:dyDescent="0.2">
      <c r="A42" s="336"/>
      <c r="B42" s="337"/>
      <c r="C42" s="338"/>
      <c r="D42" s="338"/>
      <c r="E42" s="338"/>
      <c r="F42" s="338"/>
      <c r="G42" s="338"/>
      <c r="H42" s="338"/>
      <c r="I42" s="338"/>
      <c r="J42" s="338"/>
      <c r="K42" s="338"/>
      <c r="L42" s="338"/>
      <c r="M42" s="338"/>
      <c r="N42" s="338"/>
      <c r="O42" s="339"/>
    </row>
    <row r="43" spans="1:15" ht="15.75" x14ac:dyDescent="0.2">
      <c r="A43" s="332" t="s">
        <v>718</v>
      </c>
      <c r="B43" s="333"/>
      <c r="C43" s="333"/>
      <c r="D43" s="333"/>
      <c r="E43" s="333"/>
      <c r="F43" s="333"/>
      <c r="G43" s="333"/>
      <c r="H43" s="333"/>
      <c r="I43" s="333"/>
      <c r="J43" s="333"/>
      <c r="K43" s="333"/>
      <c r="L43" s="333"/>
      <c r="M43" s="333"/>
      <c r="N43" s="333"/>
      <c r="O43" s="334"/>
    </row>
    <row r="44" spans="1:15" ht="25.5" customHeight="1" x14ac:dyDescent="0.2">
      <c r="A44" s="335">
        <v>9</v>
      </c>
      <c r="B44" s="342" t="s">
        <v>719</v>
      </c>
      <c r="C44" s="342" t="s">
        <v>287</v>
      </c>
      <c r="D44" s="19" t="s">
        <v>39</v>
      </c>
      <c r="E44" s="20">
        <v>100</v>
      </c>
      <c r="F44" s="21" t="s">
        <v>17</v>
      </c>
      <c r="G44" s="21" t="s">
        <v>17</v>
      </c>
      <c r="H44" s="161">
        <f>9200*117/100</f>
        <v>10764</v>
      </c>
      <c r="I44" s="21">
        <f>H44</f>
        <v>10764</v>
      </c>
      <c r="J44" s="19" t="s">
        <v>14</v>
      </c>
      <c r="K44" s="429" t="s">
        <v>253</v>
      </c>
      <c r="L44" s="429" t="s">
        <v>529</v>
      </c>
      <c r="M44" s="376">
        <f>I44</f>
        <v>10764</v>
      </c>
      <c r="N44" s="348" t="s">
        <v>22</v>
      </c>
      <c r="O44" s="350">
        <v>224004</v>
      </c>
    </row>
    <row r="45" spans="1:15" s="9" customFormat="1" ht="25.5" x14ac:dyDescent="0.2">
      <c r="A45" s="340"/>
      <c r="B45" s="373"/>
      <c r="C45" s="373"/>
      <c r="D45" s="23" t="s">
        <v>720</v>
      </c>
      <c r="E45" s="32">
        <v>94</v>
      </c>
      <c r="F45" s="15" t="s">
        <v>17</v>
      </c>
      <c r="G45" s="15" t="s">
        <v>17</v>
      </c>
      <c r="H45" s="153">
        <f>9000*117/100</f>
        <v>10530</v>
      </c>
      <c r="I45" s="15">
        <f>H45</f>
        <v>10530</v>
      </c>
      <c r="J45" s="23" t="s">
        <v>14</v>
      </c>
      <c r="K45" s="430"/>
      <c r="L45" s="430"/>
      <c r="M45" s="377"/>
      <c r="N45" s="369"/>
      <c r="O45" s="378"/>
    </row>
    <row r="46" spans="1:15" s="9" customFormat="1" ht="25.5" x14ac:dyDescent="0.2">
      <c r="A46" s="340"/>
      <c r="B46" s="373"/>
      <c r="C46" s="373"/>
      <c r="D46" s="23" t="s">
        <v>721</v>
      </c>
      <c r="E46" s="32">
        <v>95</v>
      </c>
      <c r="F46" s="15" t="s">
        <v>17</v>
      </c>
      <c r="G46" s="15" t="s">
        <v>17</v>
      </c>
      <c r="H46" s="153">
        <f>9750*117/100</f>
        <v>11407.5</v>
      </c>
      <c r="I46" s="15">
        <f t="shared" ref="I46:I47" si="4">H46</f>
        <v>11407.5</v>
      </c>
      <c r="J46" s="23" t="s">
        <v>14</v>
      </c>
      <c r="K46" s="430"/>
      <c r="L46" s="430"/>
      <c r="M46" s="377"/>
      <c r="N46" s="369"/>
      <c r="O46" s="378"/>
    </row>
    <row r="47" spans="1:15" s="9" customFormat="1" ht="25.5" x14ac:dyDescent="0.2">
      <c r="A47" s="340"/>
      <c r="B47" s="343"/>
      <c r="C47" s="343"/>
      <c r="D47" s="23" t="s">
        <v>722</v>
      </c>
      <c r="E47" s="32">
        <v>75</v>
      </c>
      <c r="F47" s="15" t="s">
        <v>17</v>
      </c>
      <c r="G47" s="15" t="s">
        <v>17</v>
      </c>
      <c r="H47" s="153">
        <f>14000*117/100</f>
        <v>16380</v>
      </c>
      <c r="I47" s="15">
        <f t="shared" si="4"/>
        <v>16380</v>
      </c>
      <c r="J47" s="23" t="s">
        <v>14</v>
      </c>
      <c r="K47" s="431"/>
      <c r="L47" s="431"/>
      <c r="M47" s="389"/>
      <c r="N47" s="349"/>
      <c r="O47" s="351"/>
    </row>
    <row r="48" spans="1:15" ht="14.25" customHeight="1" x14ac:dyDescent="0.2">
      <c r="A48" s="336"/>
      <c r="B48" s="337"/>
      <c r="C48" s="338"/>
      <c r="D48" s="338"/>
      <c r="E48" s="338"/>
      <c r="F48" s="338"/>
      <c r="G48" s="338"/>
      <c r="H48" s="338"/>
      <c r="I48" s="338"/>
      <c r="J48" s="338"/>
      <c r="K48" s="338"/>
      <c r="L48" s="338"/>
      <c r="M48" s="338"/>
      <c r="N48" s="338"/>
      <c r="O48" s="339"/>
    </row>
    <row r="49" spans="1:15" ht="15.75" x14ac:dyDescent="0.2">
      <c r="A49" s="332" t="s">
        <v>723</v>
      </c>
      <c r="B49" s="333"/>
      <c r="C49" s="333"/>
      <c r="D49" s="333"/>
      <c r="E49" s="333"/>
      <c r="F49" s="333"/>
      <c r="G49" s="333"/>
      <c r="H49" s="333"/>
      <c r="I49" s="333"/>
      <c r="J49" s="333"/>
      <c r="K49" s="333"/>
      <c r="L49" s="333"/>
      <c r="M49" s="333"/>
      <c r="N49" s="333"/>
      <c r="O49" s="334"/>
    </row>
    <row r="50" spans="1:15" ht="25.5" customHeight="1" x14ac:dyDescent="0.2">
      <c r="A50" s="335">
        <v>10</v>
      </c>
      <c r="B50" s="342" t="s">
        <v>724</v>
      </c>
      <c r="C50" s="342" t="s">
        <v>287</v>
      </c>
      <c r="D50" s="19" t="s">
        <v>725</v>
      </c>
      <c r="E50" s="20">
        <v>100</v>
      </c>
      <c r="F50" s="21" t="s">
        <v>17</v>
      </c>
      <c r="G50" s="21" t="s">
        <v>17</v>
      </c>
      <c r="H50" s="161">
        <f>8000*117/100</f>
        <v>9360</v>
      </c>
      <c r="I50" s="21">
        <f>H50</f>
        <v>9360</v>
      </c>
      <c r="J50" s="19" t="s">
        <v>14</v>
      </c>
      <c r="K50" s="429" t="s">
        <v>253</v>
      </c>
      <c r="L50" s="429" t="s">
        <v>529</v>
      </c>
      <c r="M50" s="376">
        <f>I50</f>
        <v>9360</v>
      </c>
      <c r="N50" s="348" t="s">
        <v>22</v>
      </c>
      <c r="O50" s="350">
        <v>224004</v>
      </c>
    </row>
    <row r="51" spans="1:15" s="9" customFormat="1" ht="25.5" x14ac:dyDescent="0.2">
      <c r="A51" s="340"/>
      <c r="B51" s="373"/>
      <c r="C51" s="373"/>
      <c r="D51" s="23" t="s">
        <v>310</v>
      </c>
      <c r="E51" s="32">
        <v>77</v>
      </c>
      <c r="F51" s="15" t="s">
        <v>17</v>
      </c>
      <c r="G51" s="15" t="s">
        <v>17</v>
      </c>
      <c r="H51" s="153">
        <f>12000*117/100</f>
        <v>14040</v>
      </c>
      <c r="I51" s="15">
        <f>H51</f>
        <v>14040</v>
      </c>
      <c r="J51" s="23" t="s">
        <v>14</v>
      </c>
      <c r="K51" s="430"/>
      <c r="L51" s="430"/>
      <c r="M51" s="377"/>
      <c r="N51" s="369"/>
      <c r="O51" s="378"/>
    </row>
    <row r="52" spans="1:15" s="9" customFormat="1" ht="25.5" x14ac:dyDescent="0.2">
      <c r="A52" s="340"/>
      <c r="B52" s="373"/>
      <c r="C52" s="373"/>
      <c r="D52" s="23" t="s">
        <v>726</v>
      </c>
      <c r="E52" s="32">
        <v>65</v>
      </c>
      <c r="F52" s="15" t="s">
        <v>17</v>
      </c>
      <c r="G52" s="15" t="s">
        <v>17</v>
      </c>
      <c r="H52" s="153">
        <f>16000*117/100</f>
        <v>18720</v>
      </c>
      <c r="I52" s="15">
        <f t="shared" ref="I52:I54" si="5">H52</f>
        <v>18720</v>
      </c>
      <c r="J52" s="23" t="s">
        <v>14</v>
      </c>
      <c r="K52" s="430"/>
      <c r="L52" s="430"/>
      <c r="M52" s="377"/>
      <c r="N52" s="369"/>
      <c r="O52" s="378"/>
    </row>
    <row r="53" spans="1:15" s="9" customFormat="1" ht="25.5" x14ac:dyDescent="0.2">
      <c r="A53" s="340"/>
      <c r="B53" s="373"/>
      <c r="C53" s="373"/>
      <c r="D53" s="23" t="s">
        <v>727</v>
      </c>
      <c r="E53" s="32">
        <v>58</v>
      </c>
      <c r="F53" s="15" t="s">
        <v>17</v>
      </c>
      <c r="G53" s="15" t="s">
        <v>17</v>
      </c>
      <c r="H53" s="153">
        <f>19200*117/100</f>
        <v>22464</v>
      </c>
      <c r="I53" s="15">
        <f t="shared" ref="I53" si="6">H53</f>
        <v>22464</v>
      </c>
      <c r="J53" s="23" t="s">
        <v>14</v>
      </c>
      <c r="K53" s="430"/>
      <c r="L53" s="430"/>
      <c r="M53" s="377"/>
      <c r="N53" s="369"/>
      <c r="O53" s="378"/>
    </row>
    <row r="54" spans="1:15" s="9" customFormat="1" ht="25.5" x14ac:dyDescent="0.2">
      <c r="A54" s="340"/>
      <c r="B54" s="343"/>
      <c r="C54" s="343"/>
      <c r="D54" s="23" t="s">
        <v>33</v>
      </c>
      <c r="E54" s="32">
        <v>41</v>
      </c>
      <c r="F54" s="15" t="s">
        <v>17</v>
      </c>
      <c r="G54" s="15" t="s">
        <v>17</v>
      </c>
      <c r="H54" s="153">
        <f>50000*117/100</f>
        <v>58500</v>
      </c>
      <c r="I54" s="15">
        <f t="shared" si="5"/>
        <v>58500</v>
      </c>
      <c r="J54" s="23" t="s">
        <v>14</v>
      </c>
      <c r="K54" s="431"/>
      <c r="L54" s="431"/>
      <c r="M54" s="389"/>
      <c r="N54" s="349"/>
      <c r="O54" s="351"/>
    </row>
    <row r="55" spans="1:15" ht="14.25" customHeight="1" x14ac:dyDescent="0.2">
      <c r="A55" s="336"/>
      <c r="B55" s="337"/>
      <c r="C55" s="338"/>
      <c r="D55" s="338"/>
      <c r="E55" s="338"/>
      <c r="F55" s="338"/>
      <c r="G55" s="338"/>
      <c r="H55" s="338"/>
      <c r="I55" s="338"/>
      <c r="J55" s="338"/>
      <c r="K55" s="338"/>
      <c r="L55" s="338"/>
      <c r="M55" s="338"/>
      <c r="N55" s="338"/>
      <c r="O55" s="339"/>
    </row>
    <row r="56" spans="1:15" ht="15.75" x14ac:dyDescent="0.2">
      <c r="A56" s="332" t="s">
        <v>728</v>
      </c>
      <c r="B56" s="333"/>
      <c r="C56" s="333"/>
      <c r="D56" s="333"/>
      <c r="E56" s="333"/>
      <c r="F56" s="333"/>
      <c r="G56" s="333"/>
      <c r="H56" s="333"/>
      <c r="I56" s="333"/>
      <c r="J56" s="333"/>
      <c r="K56" s="333"/>
      <c r="L56" s="333"/>
      <c r="M56" s="333"/>
      <c r="N56" s="333"/>
      <c r="O56" s="334"/>
    </row>
    <row r="57" spans="1:15" ht="25.5" customHeight="1" x14ac:dyDescent="0.2">
      <c r="A57" s="335">
        <v>11</v>
      </c>
      <c r="B57" s="342" t="s">
        <v>751</v>
      </c>
      <c r="C57" s="342" t="s">
        <v>287</v>
      </c>
      <c r="D57" s="19" t="s">
        <v>729</v>
      </c>
      <c r="E57" s="20">
        <v>100</v>
      </c>
      <c r="F57" s="21" t="s">
        <v>17</v>
      </c>
      <c r="G57" s="21" t="s">
        <v>17</v>
      </c>
      <c r="H57" s="161">
        <f>4500*117/100</f>
        <v>5265</v>
      </c>
      <c r="I57" s="21">
        <f>H57</f>
        <v>5265</v>
      </c>
      <c r="J57" s="19" t="s">
        <v>14</v>
      </c>
      <c r="K57" s="429" t="s">
        <v>253</v>
      </c>
      <c r="L57" s="429" t="s">
        <v>529</v>
      </c>
      <c r="M57" s="376">
        <f>I57</f>
        <v>5265</v>
      </c>
      <c r="N57" s="348" t="s">
        <v>22</v>
      </c>
      <c r="O57" s="350">
        <v>224004</v>
      </c>
    </row>
    <row r="58" spans="1:15" s="9" customFormat="1" ht="25.5" x14ac:dyDescent="0.2">
      <c r="A58" s="340"/>
      <c r="B58" s="373"/>
      <c r="C58" s="373"/>
      <c r="D58" s="23" t="s">
        <v>730</v>
      </c>
      <c r="E58" s="32">
        <v>93</v>
      </c>
      <c r="F58" s="15" t="s">
        <v>17</v>
      </c>
      <c r="G58" s="15" t="s">
        <v>17</v>
      </c>
      <c r="H58" s="153">
        <f>5000*117/100</f>
        <v>5850</v>
      </c>
      <c r="I58" s="15">
        <f>H58</f>
        <v>5850</v>
      </c>
      <c r="J58" s="23" t="s">
        <v>14</v>
      </c>
      <c r="K58" s="430"/>
      <c r="L58" s="430"/>
      <c r="M58" s="377"/>
      <c r="N58" s="369"/>
      <c r="O58" s="378"/>
    </row>
    <row r="59" spans="1:15" s="9" customFormat="1" ht="13.9" customHeight="1" x14ac:dyDescent="0.2">
      <c r="A59" s="340"/>
      <c r="B59" s="373"/>
      <c r="C59" s="373"/>
      <c r="D59" s="23" t="s">
        <v>731</v>
      </c>
      <c r="E59" s="32">
        <v>83</v>
      </c>
      <c r="F59" s="15" t="s">
        <v>17</v>
      </c>
      <c r="G59" s="15" t="s">
        <v>17</v>
      </c>
      <c r="H59" s="153">
        <f>6000*117/100</f>
        <v>7020</v>
      </c>
      <c r="I59" s="15">
        <f t="shared" ref="I59:I61" si="7">H59</f>
        <v>7020</v>
      </c>
      <c r="J59" s="23" t="s">
        <v>14</v>
      </c>
      <c r="K59" s="430"/>
      <c r="L59" s="430"/>
      <c r="M59" s="377"/>
      <c r="N59" s="369"/>
      <c r="O59" s="378"/>
    </row>
    <row r="60" spans="1:15" s="9" customFormat="1" ht="25.5" x14ac:dyDescent="0.2">
      <c r="A60" s="340"/>
      <c r="B60" s="373"/>
      <c r="C60" s="373"/>
      <c r="D60" s="23" t="s">
        <v>732</v>
      </c>
      <c r="E60" s="32">
        <v>78</v>
      </c>
      <c r="F60" s="15" t="s">
        <v>17</v>
      </c>
      <c r="G60" s="15" t="s">
        <v>17</v>
      </c>
      <c r="H60" s="153">
        <f>6500*117/100</f>
        <v>7605</v>
      </c>
      <c r="I60" s="15">
        <f t="shared" si="7"/>
        <v>7605</v>
      </c>
      <c r="J60" s="23" t="s">
        <v>14</v>
      </c>
      <c r="K60" s="430"/>
      <c r="L60" s="430"/>
      <c r="M60" s="377"/>
      <c r="N60" s="369"/>
      <c r="O60" s="378"/>
    </row>
    <row r="61" spans="1:15" s="9" customFormat="1" ht="25.5" x14ac:dyDescent="0.2">
      <c r="A61" s="340"/>
      <c r="B61" s="343"/>
      <c r="C61" s="343"/>
      <c r="D61" s="23" t="s">
        <v>733</v>
      </c>
      <c r="E61" s="32">
        <v>54</v>
      </c>
      <c r="F61" s="15" t="s">
        <v>17</v>
      </c>
      <c r="G61" s="15" t="s">
        <v>17</v>
      </c>
      <c r="H61" s="153">
        <f>12960*117/100</f>
        <v>15163.2</v>
      </c>
      <c r="I61" s="15">
        <f t="shared" si="7"/>
        <v>15163.2</v>
      </c>
      <c r="J61" s="23" t="s">
        <v>14</v>
      </c>
      <c r="K61" s="431"/>
      <c r="L61" s="431"/>
      <c r="M61" s="389"/>
      <c r="N61" s="349"/>
      <c r="O61" s="351"/>
    </row>
    <row r="62" spans="1:15" ht="14.25" customHeight="1" x14ac:dyDescent="0.2">
      <c r="A62" s="336"/>
      <c r="B62" s="337"/>
      <c r="C62" s="338"/>
      <c r="D62" s="338"/>
      <c r="E62" s="338"/>
      <c r="F62" s="338"/>
      <c r="G62" s="338"/>
      <c r="H62" s="338"/>
      <c r="I62" s="338"/>
      <c r="J62" s="338"/>
      <c r="K62" s="338"/>
      <c r="L62" s="338"/>
      <c r="M62" s="338"/>
      <c r="N62" s="338"/>
      <c r="O62" s="339"/>
    </row>
    <row r="63" spans="1:15" ht="15.75" x14ac:dyDescent="0.2">
      <c r="A63" s="332" t="s">
        <v>735</v>
      </c>
      <c r="B63" s="333"/>
      <c r="C63" s="333"/>
      <c r="D63" s="333"/>
      <c r="E63" s="333"/>
      <c r="F63" s="333"/>
      <c r="G63" s="333"/>
      <c r="H63" s="333"/>
      <c r="I63" s="333"/>
      <c r="J63" s="333"/>
      <c r="K63" s="333"/>
      <c r="L63" s="333"/>
      <c r="M63" s="333"/>
      <c r="N63" s="333"/>
      <c r="O63" s="334"/>
    </row>
    <row r="64" spans="1:15" ht="25.5" customHeight="1" x14ac:dyDescent="0.2">
      <c r="A64" s="335">
        <v>12</v>
      </c>
      <c r="B64" s="342" t="s">
        <v>734</v>
      </c>
      <c r="C64" s="342" t="s">
        <v>287</v>
      </c>
      <c r="D64" s="19" t="s">
        <v>40</v>
      </c>
      <c r="E64" s="20">
        <v>100</v>
      </c>
      <c r="F64" s="21" t="s">
        <v>17</v>
      </c>
      <c r="G64" s="21" t="s">
        <v>17</v>
      </c>
      <c r="H64" s="161">
        <f>18500*117/100</f>
        <v>21645</v>
      </c>
      <c r="I64" s="21">
        <f>H64</f>
        <v>21645</v>
      </c>
      <c r="J64" s="19" t="s">
        <v>14</v>
      </c>
      <c r="K64" s="429" t="s">
        <v>253</v>
      </c>
      <c r="L64" s="429" t="s">
        <v>529</v>
      </c>
      <c r="M64" s="376">
        <f>I64</f>
        <v>21645</v>
      </c>
      <c r="N64" s="348" t="s">
        <v>22</v>
      </c>
      <c r="O64" s="350">
        <v>224004</v>
      </c>
    </row>
    <row r="65" spans="1:15" s="9" customFormat="1" ht="13.9" customHeight="1" x14ac:dyDescent="0.2">
      <c r="A65" s="340"/>
      <c r="B65" s="373"/>
      <c r="C65" s="373"/>
      <c r="D65" s="23" t="s">
        <v>736</v>
      </c>
      <c r="E65" s="32">
        <v>95</v>
      </c>
      <c r="F65" s="15" t="s">
        <v>17</v>
      </c>
      <c r="G65" s="15" t="s">
        <v>17</v>
      </c>
      <c r="H65" s="153">
        <f>19700*117/100</f>
        <v>23049</v>
      </c>
      <c r="I65" s="15">
        <f>H65</f>
        <v>23049</v>
      </c>
      <c r="J65" s="23" t="s">
        <v>14</v>
      </c>
      <c r="K65" s="430"/>
      <c r="L65" s="430"/>
      <c r="M65" s="377"/>
      <c r="N65" s="369"/>
      <c r="O65" s="378"/>
    </row>
    <row r="66" spans="1:15" s="9" customFormat="1" ht="13.9" customHeight="1" x14ac:dyDescent="0.2">
      <c r="A66" s="340"/>
      <c r="B66" s="373"/>
      <c r="C66" s="373"/>
      <c r="D66" s="23" t="s">
        <v>737</v>
      </c>
      <c r="E66" s="32">
        <v>95</v>
      </c>
      <c r="F66" s="15" t="s">
        <v>17</v>
      </c>
      <c r="G66" s="15" t="s">
        <v>17</v>
      </c>
      <c r="H66" s="153">
        <f>20000*117/100</f>
        <v>23400</v>
      </c>
      <c r="I66" s="15">
        <f t="shared" ref="I66:I67" si="8">H66</f>
        <v>23400</v>
      </c>
      <c r="J66" s="23" t="s">
        <v>14</v>
      </c>
      <c r="K66" s="430"/>
      <c r="L66" s="430"/>
      <c r="M66" s="377"/>
      <c r="N66" s="369"/>
      <c r="O66" s="378"/>
    </row>
    <row r="67" spans="1:15" s="9" customFormat="1" ht="25.5" x14ac:dyDescent="0.2">
      <c r="A67" s="340"/>
      <c r="B67" s="343"/>
      <c r="C67" s="343"/>
      <c r="D67" s="23" t="s">
        <v>738</v>
      </c>
      <c r="E67" s="32">
        <v>82</v>
      </c>
      <c r="F67" s="15" t="s">
        <v>17</v>
      </c>
      <c r="G67" s="15" t="s">
        <v>17</v>
      </c>
      <c r="H67" s="153">
        <f>25000*117/100</f>
        <v>29250</v>
      </c>
      <c r="I67" s="15">
        <f t="shared" si="8"/>
        <v>29250</v>
      </c>
      <c r="J67" s="23" t="s">
        <v>14</v>
      </c>
      <c r="K67" s="431"/>
      <c r="L67" s="431"/>
      <c r="M67" s="389"/>
      <c r="N67" s="349"/>
      <c r="O67" s="351"/>
    </row>
    <row r="68" spans="1:15" ht="14.25" customHeight="1" x14ac:dyDescent="0.2">
      <c r="A68" s="336"/>
      <c r="B68" s="337"/>
      <c r="C68" s="338"/>
      <c r="D68" s="338"/>
      <c r="E68" s="338"/>
      <c r="F68" s="338"/>
      <c r="G68" s="338"/>
      <c r="H68" s="338"/>
      <c r="I68" s="338"/>
      <c r="J68" s="338"/>
      <c r="K68" s="338"/>
      <c r="L68" s="338"/>
      <c r="M68" s="338"/>
      <c r="N68" s="338"/>
      <c r="O68" s="339"/>
    </row>
    <row r="69" spans="1:15" ht="15.75" x14ac:dyDescent="0.2">
      <c r="A69" s="332" t="s">
        <v>739</v>
      </c>
      <c r="B69" s="333"/>
      <c r="C69" s="333"/>
      <c r="D69" s="333"/>
      <c r="E69" s="333"/>
      <c r="F69" s="333"/>
      <c r="G69" s="333"/>
      <c r="H69" s="333"/>
      <c r="I69" s="333"/>
      <c r="J69" s="333"/>
      <c r="K69" s="333"/>
      <c r="L69" s="333"/>
      <c r="M69" s="333"/>
      <c r="N69" s="333"/>
      <c r="O69" s="334"/>
    </row>
    <row r="70" spans="1:15" ht="25.5" customHeight="1" x14ac:dyDescent="0.2">
      <c r="A70" s="335">
        <v>13</v>
      </c>
      <c r="B70" s="342" t="s">
        <v>740</v>
      </c>
      <c r="C70" s="342" t="s">
        <v>287</v>
      </c>
      <c r="D70" s="19" t="s">
        <v>741</v>
      </c>
      <c r="E70" s="20">
        <v>100</v>
      </c>
      <c r="F70" s="21" t="s">
        <v>17</v>
      </c>
      <c r="G70" s="21" t="s">
        <v>17</v>
      </c>
      <c r="H70" s="161">
        <f>13000*117/100</f>
        <v>15210</v>
      </c>
      <c r="I70" s="21">
        <f>H70</f>
        <v>15210</v>
      </c>
      <c r="J70" s="19" t="s">
        <v>14</v>
      </c>
      <c r="K70" s="429" t="s">
        <v>253</v>
      </c>
      <c r="L70" s="429" t="s">
        <v>529</v>
      </c>
      <c r="M70" s="376">
        <f>I70</f>
        <v>15210</v>
      </c>
      <c r="N70" s="348" t="s">
        <v>22</v>
      </c>
      <c r="O70" s="350">
        <v>224004</v>
      </c>
    </row>
    <row r="71" spans="1:15" s="9" customFormat="1" ht="13.9" customHeight="1" x14ac:dyDescent="0.2">
      <c r="A71" s="340"/>
      <c r="B71" s="373"/>
      <c r="C71" s="373"/>
      <c r="D71" s="23" t="s">
        <v>742</v>
      </c>
      <c r="E71" s="32">
        <v>93</v>
      </c>
      <c r="F71" s="15" t="s">
        <v>17</v>
      </c>
      <c r="G71" s="15" t="s">
        <v>17</v>
      </c>
      <c r="H71" s="153">
        <f>14500*117/100</f>
        <v>16965</v>
      </c>
      <c r="I71" s="15">
        <f>H71</f>
        <v>16965</v>
      </c>
      <c r="J71" s="23" t="s">
        <v>14</v>
      </c>
      <c r="K71" s="430"/>
      <c r="L71" s="430"/>
      <c r="M71" s="377"/>
      <c r="N71" s="369"/>
      <c r="O71" s="378"/>
    </row>
    <row r="72" spans="1:15" s="9" customFormat="1" ht="25.5" x14ac:dyDescent="0.2">
      <c r="A72" s="340"/>
      <c r="B72" s="373"/>
      <c r="C72" s="373"/>
      <c r="D72" s="23" t="s">
        <v>81</v>
      </c>
      <c r="E72" s="32">
        <v>91</v>
      </c>
      <c r="F72" s="15" t="s">
        <v>17</v>
      </c>
      <c r="G72" s="15" t="s">
        <v>17</v>
      </c>
      <c r="H72" s="153">
        <f>14800*117/100</f>
        <v>17316</v>
      </c>
      <c r="I72" s="15">
        <f t="shared" ref="I72:I73" si="9">H72</f>
        <v>17316</v>
      </c>
      <c r="J72" s="23" t="s">
        <v>14</v>
      </c>
      <c r="K72" s="430"/>
      <c r="L72" s="430"/>
      <c r="M72" s="377"/>
      <c r="N72" s="369"/>
      <c r="O72" s="378"/>
    </row>
    <row r="73" spans="1:15" s="9" customFormat="1" ht="25.5" x14ac:dyDescent="0.2">
      <c r="A73" s="340"/>
      <c r="B73" s="343"/>
      <c r="C73" s="343"/>
      <c r="D73" s="23" t="s">
        <v>743</v>
      </c>
      <c r="E73" s="32">
        <v>84</v>
      </c>
      <c r="F73" s="15" t="s">
        <v>17</v>
      </c>
      <c r="G73" s="15" t="s">
        <v>17</v>
      </c>
      <c r="H73" s="153">
        <f>16800*117/100</f>
        <v>19656</v>
      </c>
      <c r="I73" s="15">
        <f t="shared" si="9"/>
        <v>19656</v>
      </c>
      <c r="J73" s="23" t="s">
        <v>14</v>
      </c>
      <c r="K73" s="431"/>
      <c r="L73" s="431"/>
      <c r="M73" s="389"/>
      <c r="N73" s="349"/>
      <c r="O73" s="351"/>
    </row>
    <row r="74" spans="1:15" ht="14.25" customHeight="1" x14ac:dyDescent="0.2">
      <c r="A74" s="336"/>
      <c r="B74" s="337"/>
      <c r="C74" s="338"/>
      <c r="D74" s="338"/>
      <c r="E74" s="338"/>
      <c r="F74" s="338"/>
      <c r="G74" s="338"/>
      <c r="H74" s="338"/>
      <c r="I74" s="338"/>
      <c r="J74" s="338"/>
      <c r="K74" s="338"/>
      <c r="L74" s="338"/>
      <c r="M74" s="338"/>
      <c r="N74" s="338"/>
      <c r="O74" s="339"/>
    </row>
    <row r="75" spans="1:15" ht="15.75" x14ac:dyDescent="0.2">
      <c r="A75" s="332" t="s">
        <v>749</v>
      </c>
      <c r="B75" s="333"/>
      <c r="C75" s="333"/>
      <c r="D75" s="333"/>
      <c r="E75" s="333"/>
      <c r="F75" s="333"/>
      <c r="G75" s="333"/>
      <c r="H75" s="333"/>
      <c r="I75" s="333"/>
      <c r="J75" s="333"/>
      <c r="K75" s="333"/>
      <c r="L75" s="333"/>
      <c r="M75" s="333"/>
      <c r="N75" s="333"/>
      <c r="O75" s="334"/>
    </row>
    <row r="76" spans="1:15" ht="26.45" customHeight="1" x14ac:dyDescent="0.2">
      <c r="A76" s="335">
        <v>14</v>
      </c>
      <c r="B76" s="342" t="s">
        <v>56</v>
      </c>
      <c r="C76" s="342" t="s">
        <v>745</v>
      </c>
      <c r="D76" s="16" t="s">
        <v>744</v>
      </c>
      <c r="E76" s="17">
        <v>86</v>
      </c>
      <c r="F76" s="18" t="s">
        <v>57</v>
      </c>
      <c r="G76" s="18" t="s">
        <v>752</v>
      </c>
      <c r="H76" s="18">
        <f>18000*117/100</f>
        <v>21060</v>
      </c>
      <c r="I76" s="18">
        <f>H76*5.5</f>
        <v>115830</v>
      </c>
      <c r="J76" s="16" t="s">
        <v>14</v>
      </c>
      <c r="K76" s="412" t="s">
        <v>253</v>
      </c>
      <c r="L76" s="412" t="s">
        <v>529</v>
      </c>
      <c r="M76" s="376">
        <f>I76</f>
        <v>115830</v>
      </c>
      <c r="N76" s="400" t="s">
        <v>22</v>
      </c>
      <c r="O76" s="350">
        <v>1614000550</v>
      </c>
    </row>
    <row r="77" spans="1:15" ht="25.5" x14ac:dyDescent="0.2">
      <c r="A77" s="340"/>
      <c r="B77" s="373"/>
      <c r="C77" s="373"/>
      <c r="D77" s="31" t="s">
        <v>747</v>
      </c>
      <c r="E77" s="7">
        <v>85</v>
      </c>
      <c r="F77" s="8" t="s">
        <v>49</v>
      </c>
      <c r="G77" s="8" t="s">
        <v>752</v>
      </c>
      <c r="H77" s="8">
        <f>16965</f>
        <v>16965</v>
      </c>
      <c r="I77" s="8">
        <f>H77*5.5</f>
        <v>93307.5</v>
      </c>
      <c r="J77" s="31"/>
      <c r="K77" s="413"/>
      <c r="L77" s="413"/>
      <c r="M77" s="377"/>
      <c r="N77" s="401"/>
      <c r="O77" s="378"/>
    </row>
    <row r="78" spans="1:15" ht="25.5" x14ac:dyDescent="0.2">
      <c r="A78" s="340"/>
      <c r="B78" s="373"/>
      <c r="C78" s="373"/>
      <c r="D78" s="31" t="s">
        <v>746</v>
      </c>
      <c r="E78" s="7">
        <v>63</v>
      </c>
      <c r="F78" s="8" t="s">
        <v>49</v>
      </c>
      <c r="G78" s="8" t="s">
        <v>752</v>
      </c>
      <c r="H78" s="8">
        <f>30361</f>
        <v>30361</v>
      </c>
      <c r="I78" s="8">
        <f t="shared" ref="I78:I79" si="10">H78*5.5</f>
        <v>166985.5</v>
      </c>
      <c r="J78" s="31"/>
      <c r="K78" s="413"/>
      <c r="L78" s="413"/>
      <c r="M78" s="377"/>
      <c r="N78" s="401"/>
      <c r="O78" s="378"/>
    </row>
    <row r="79" spans="1:15" ht="25.5" x14ac:dyDescent="0.2">
      <c r="A79" s="340"/>
      <c r="B79" s="343"/>
      <c r="C79" s="343"/>
      <c r="D79" s="31" t="s">
        <v>748</v>
      </c>
      <c r="E79" s="7">
        <v>45</v>
      </c>
      <c r="F79" s="8" t="s">
        <v>49</v>
      </c>
      <c r="G79" s="8" t="s">
        <v>752</v>
      </c>
      <c r="H79" s="8">
        <f>39195</f>
        <v>39195</v>
      </c>
      <c r="I79" s="8">
        <f t="shared" si="10"/>
        <v>215572.5</v>
      </c>
      <c r="J79" s="31"/>
      <c r="K79" s="428"/>
      <c r="L79" s="428"/>
      <c r="M79" s="389"/>
      <c r="N79" s="402"/>
      <c r="O79" s="351"/>
    </row>
    <row r="80" spans="1:15" ht="13.9" customHeight="1" x14ac:dyDescent="0.2">
      <c r="A80" s="336"/>
      <c r="B80" s="437"/>
      <c r="C80" s="438"/>
      <c r="D80" s="438"/>
      <c r="E80" s="438"/>
      <c r="F80" s="438"/>
      <c r="G80" s="438"/>
      <c r="H80" s="438"/>
      <c r="I80" s="438"/>
      <c r="J80" s="438"/>
      <c r="K80" s="438"/>
      <c r="L80" s="438"/>
      <c r="M80" s="438"/>
      <c r="N80" s="438"/>
      <c r="O80" s="439"/>
    </row>
    <row r="81" spans="1:15" ht="15.75" x14ac:dyDescent="0.2">
      <c r="A81" s="157"/>
      <c r="B81" s="155" t="s">
        <v>750</v>
      </c>
      <c r="C81" s="155"/>
      <c r="D81" s="155"/>
      <c r="E81" s="155"/>
      <c r="F81" s="155"/>
      <c r="G81" s="155"/>
      <c r="H81" s="155"/>
      <c r="I81" s="155"/>
      <c r="J81" s="155"/>
      <c r="K81" s="155"/>
      <c r="L81" s="155"/>
      <c r="M81" s="155"/>
      <c r="N81" s="155"/>
      <c r="O81" s="156"/>
    </row>
    <row r="82" spans="1:15" ht="15.75" x14ac:dyDescent="0.2">
      <c r="A82" s="332" t="s">
        <v>585</v>
      </c>
      <c r="B82" s="333"/>
      <c r="C82" s="333"/>
      <c r="D82" s="333"/>
      <c r="E82" s="333"/>
      <c r="F82" s="333"/>
      <c r="G82" s="333"/>
      <c r="H82" s="333"/>
      <c r="I82" s="333"/>
      <c r="J82" s="333"/>
      <c r="K82" s="333"/>
      <c r="L82" s="333"/>
      <c r="M82" s="333"/>
      <c r="N82" s="333"/>
      <c r="O82" s="334"/>
    </row>
    <row r="83" spans="1:15" ht="26.45" customHeight="1" x14ac:dyDescent="0.2">
      <c r="A83" s="335">
        <v>6</v>
      </c>
      <c r="B83" s="342" t="s">
        <v>592</v>
      </c>
      <c r="C83" s="342" t="s">
        <v>287</v>
      </c>
      <c r="D83" s="23" t="s">
        <v>84</v>
      </c>
      <c r="E83" s="32">
        <v>94</v>
      </c>
      <c r="F83" s="15" t="s">
        <v>15</v>
      </c>
      <c r="G83" s="15" t="s">
        <v>753</v>
      </c>
      <c r="H83" s="67" t="s">
        <v>17</v>
      </c>
      <c r="I83" s="15">
        <f>98500*117/100</f>
        <v>115245</v>
      </c>
      <c r="J83" s="23" t="s">
        <v>14</v>
      </c>
      <c r="K83" s="429" t="s">
        <v>18</v>
      </c>
      <c r="L83" s="344" t="s">
        <v>755</v>
      </c>
      <c r="M83" s="376">
        <f>I84</f>
        <v>115830</v>
      </c>
      <c r="N83" s="348"/>
      <c r="O83" s="350" t="s">
        <v>562</v>
      </c>
    </row>
    <row r="84" spans="1:15" ht="25.5" x14ac:dyDescent="0.2">
      <c r="A84" s="340"/>
      <c r="B84" s="373"/>
      <c r="C84" s="373"/>
      <c r="D84" s="19" t="s">
        <v>575</v>
      </c>
      <c r="E84" s="20">
        <v>100</v>
      </c>
      <c r="F84" s="21" t="s">
        <v>15</v>
      </c>
      <c r="G84" s="21" t="s">
        <v>753</v>
      </c>
      <c r="H84" s="22">
        <v>0.03</v>
      </c>
      <c r="I84" s="21">
        <f>H84*3300000*117/100</f>
        <v>115830</v>
      </c>
      <c r="J84" s="19" t="s">
        <v>14</v>
      </c>
      <c r="K84" s="430"/>
      <c r="L84" s="365"/>
      <c r="M84" s="377"/>
      <c r="N84" s="369"/>
      <c r="O84" s="378"/>
    </row>
    <row r="85" spans="1:15" ht="25.5" x14ac:dyDescent="0.2">
      <c r="A85" s="340"/>
      <c r="B85" s="373"/>
      <c r="C85" s="373"/>
      <c r="D85" s="23" t="s">
        <v>593</v>
      </c>
      <c r="E85" s="32">
        <v>83</v>
      </c>
      <c r="F85" s="8" t="s">
        <v>15</v>
      </c>
      <c r="G85" s="15" t="s">
        <v>47</v>
      </c>
      <c r="H85" s="33">
        <v>0.04</v>
      </c>
      <c r="I85" s="15">
        <f t="shared" ref="I85:I88" si="11">H85*3300000*117/100</f>
        <v>154440</v>
      </c>
      <c r="J85" s="23" t="s">
        <v>14</v>
      </c>
      <c r="K85" s="430"/>
      <c r="L85" s="365"/>
      <c r="M85" s="377"/>
      <c r="N85" s="369"/>
      <c r="O85" s="378"/>
    </row>
    <row r="86" spans="1:15" ht="25.5" x14ac:dyDescent="0.2">
      <c r="A86" s="340"/>
      <c r="B86" s="373"/>
      <c r="C86" s="373"/>
      <c r="D86" s="23" t="s">
        <v>594</v>
      </c>
      <c r="E86" s="32">
        <v>77</v>
      </c>
      <c r="F86" s="8" t="s">
        <v>15</v>
      </c>
      <c r="G86" s="15" t="s">
        <v>47</v>
      </c>
      <c r="H86" s="33">
        <v>4.4999999999999998E-2</v>
      </c>
      <c r="I86" s="15">
        <f t="shared" si="11"/>
        <v>173745</v>
      </c>
      <c r="J86" s="23" t="s">
        <v>14</v>
      </c>
      <c r="K86" s="430"/>
      <c r="L86" s="365"/>
      <c r="M86" s="377"/>
      <c r="N86" s="369"/>
      <c r="O86" s="378"/>
    </row>
    <row r="87" spans="1:15" ht="25.5" x14ac:dyDescent="0.2">
      <c r="A87" s="340"/>
      <c r="B87" s="373"/>
      <c r="C87" s="373"/>
      <c r="D87" s="23" t="s">
        <v>595</v>
      </c>
      <c r="E87" s="32">
        <v>77</v>
      </c>
      <c r="F87" s="8" t="s">
        <v>15</v>
      </c>
      <c r="G87" s="15" t="s">
        <v>47</v>
      </c>
      <c r="H87" s="33">
        <v>4.4999999999999998E-2</v>
      </c>
      <c r="I87" s="15">
        <f t="shared" si="11"/>
        <v>173745</v>
      </c>
      <c r="J87" s="23" t="s">
        <v>14</v>
      </c>
      <c r="K87" s="430"/>
      <c r="L87" s="365"/>
      <c r="M87" s="377"/>
      <c r="N87" s="369"/>
      <c r="O87" s="378"/>
    </row>
    <row r="88" spans="1:15" ht="25.5" x14ac:dyDescent="0.2">
      <c r="A88" s="340"/>
      <c r="B88" s="343"/>
      <c r="C88" s="343"/>
      <c r="D88" s="23" t="s">
        <v>93</v>
      </c>
      <c r="E88" s="32">
        <v>74</v>
      </c>
      <c r="F88" s="8" t="s">
        <v>15</v>
      </c>
      <c r="G88" s="15" t="s">
        <v>47</v>
      </c>
      <c r="H88" s="33">
        <v>4.8000000000000001E-2</v>
      </c>
      <c r="I88" s="15">
        <f t="shared" si="11"/>
        <v>185328</v>
      </c>
      <c r="J88" s="23" t="s">
        <v>14</v>
      </c>
      <c r="K88" s="431"/>
      <c r="L88" s="345"/>
      <c r="M88" s="389"/>
      <c r="N88" s="349"/>
      <c r="O88" s="351"/>
    </row>
    <row r="89" spans="1:15" ht="13.9" customHeight="1" x14ac:dyDescent="0.2">
      <c r="A89" s="336"/>
      <c r="B89" s="337"/>
      <c r="C89" s="338"/>
      <c r="D89" s="338"/>
      <c r="E89" s="338"/>
      <c r="F89" s="338"/>
      <c r="G89" s="338"/>
      <c r="H89" s="338"/>
      <c r="I89" s="338"/>
      <c r="J89" s="338"/>
      <c r="K89" s="338"/>
      <c r="L89" s="338"/>
      <c r="M89" s="338"/>
      <c r="N89" s="338"/>
      <c r="O89" s="339"/>
    </row>
    <row r="90" spans="1:15" ht="15.75" x14ac:dyDescent="0.2">
      <c r="A90" s="332" t="s">
        <v>552</v>
      </c>
      <c r="B90" s="333"/>
      <c r="C90" s="333"/>
      <c r="D90" s="333"/>
      <c r="E90" s="333"/>
      <c r="F90" s="333"/>
      <c r="G90" s="333"/>
      <c r="H90" s="333"/>
      <c r="I90" s="333"/>
      <c r="J90" s="333"/>
      <c r="K90" s="333"/>
      <c r="L90" s="333"/>
      <c r="M90" s="333"/>
      <c r="N90" s="333"/>
      <c r="O90" s="334"/>
    </row>
    <row r="91" spans="1:15" ht="96" x14ac:dyDescent="0.2">
      <c r="A91" s="432">
        <v>5</v>
      </c>
      <c r="B91" s="150" t="s">
        <v>64</v>
      </c>
      <c r="C91" s="150" t="s">
        <v>65</v>
      </c>
      <c r="D91" s="16" t="s">
        <v>66</v>
      </c>
      <c r="E91" s="17">
        <v>100</v>
      </c>
      <c r="F91" s="18" t="s">
        <v>17</v>
      </c>
      <c r="G91" s="18" t="s">
        <v>17</v>
      </c>
      <c r="H91" s="18">
        <f>78000*117/100</f>
        <v>91260</v>
      </c>
      <c r="I91" s="18">
        <f>H91</f>
        <v>91260</v>
      </c>
      <c r="J91" s="16" t="s">
        <v>14</v>
      </c>
      <c r="K91" s="152" t="s">
        <v>21</v>
      </c>
      <c r="L91" s="159" t="s">
        <v>756</v>
      </c>
      <c r="M91" s="152"/>
      <c r="N91" s="151" t="s">
        <v>22</v>
      </c>
      <c r="O91" s="123" t="s">
        <v>551</v>
      </c>
    </row>
    <row r="92" spans="1:15" ht="13.9" customHeight="1" x14ac:dyDescent="0.2">
      <c r="A92" s="433"/>
      <c r="B92" s="337" t="s">
        <v>550</v>
      </c>
      <c r="C92" s="338"/>
      <c r="D92" s="338"/>
      <c r="E92" s="338"/>
      <c r="F92" s="338"/>
      <c r="G92" s="338"/>
      <c r="H92" s="338"/>
      <c r="I92" s="338"/>
      <c r="J92" s="338"/>
      <c r="K92" s="338"/>
      <c r="L92" s="338"/>
      <c r="M92" s="338"/>
      <c r="N92" s="338"/>
      <c r="O92" s="339"/>
    </row>
    <row r="93" spans="1:15" ht="15.75" x14ac:dyDescent="0.2">
      <c r="A93" s="25"/>
      <c r="B93" s="154"/>
      <c r="C93" s="154"/>
      <c r="D93" s="154"/>
      <c r="E93" s="154"/>
      <c r="F93" s="154"/>
      <c r="G93" s="154"/>
      <c r="H93" s="154"/>
      <c r="I93" s="154"/>
      <c r="J93" s="154"/>
      <c r="K93" s="154"/>
      <c r="L93" s="154"/>
      <c r="M93" s="154"/>
      <c r="N93" s="154"/>
      <c r="O93" s="154"/>
    </row>
    <row r="94" spans="1:15" x14ac:dyDescent="0.2">
      <c r="B94" s="28"/>
    </row>
    <row r="97" ht="14.25" customHeight="1" x14ac:dyDescent="0.2"/>
  </sheetData>
  <mergeCells count="131">
    <mergeCell ref="A82:O82"/>
    <mergeCell ref="A83:A89"/>
    <mergeCell ref="B83:B88"/>
    <mergeCell ref="C83:C88"/>
    <mergeCell ref="K83:K88"/>
    <mergeCell ref="L83:L88"/>
    <mergeCell ref="M83:M88"/>
    <mergeCell ref="N83:N88"/>
    <mergeCell ref="O83:O88"/>
    <mergeCell ref="B89:O89"/>
    <mergeCell ref="A76:A80"/>
    <mergeCell ref="B76:B79"/>
    <mergeCell ref="C76:C79"/>
    <mergeCell ref="K76:K79"/>
    <mergeCell ref="N76:N79"/>
    <mergeCell ref="O76:O79"/>
    <mergeCell ref="M76:M79"/>
    <mergeCell ref="L76:L79"/>
    <mergeCell ref="B80:O80"/>
    <mergeCell ref="A75:O75"/>
    <mergeCell ref="A69:O69"/>
    <mergeCell ref="A70:A74"/>
    <mergeCell ref="B70:B73"/>
    <mergeCell ref="C70:C73"/>
    <mergeCell ref="K70:K73"/>
    <mergeCell ref="L70:L73"/>
    <mergeCell ref="M70:M73"/>
    <mergeCell ref="N70:N73"/>
    <mergeCell ref="O70:O73"/>
    <mergeCell ref="B74:O74"/>
    <mergeCell ref="A63:O63"/>
    <mergeCell ref="A64:A68"/>
    <mergeCell ref="B64:B67"/>
    <mergeCell ref="C64:C67"/>
    <mergeCell ref="K64:K67"/>
    <mergeCell ref="L64:L67"/>
    <mergeCell ref="M64:M67"/>
    <mergeCell ref="N64:N67"/>
    <mergeCell ref="O64:O67"/>
    <mergeCell ref="B68:O68"/>
    <mergeCell ref="A56:O56"/>
    <mergeCell ref="A57:A62"/>
    <mergeCell ref="B57:B61"/>
    <mergeCell ref="C57:C61"/>
    <mergeCell ref="K57:K61"/>
    <mergeCell ref="L57:L61"/>
    <mergeCell ref="M57:M61"/>
    <mergeCell ref="N57:N61"/>
    <mergeCell ref="O57:O61"/>
    <mergeCell ref="B62:O62"/>
    <mergeCell ref="C44:C47"/>
    <mergeCell ref="K44:K47"/>
    <mergeCell ref="L44:L47"/>
    <mergeCell ref="M44:M47"/>
    <mergeCell ref="N44:N47"/>
    <mergeCell ref="O44:O47"/>
    <mergeCell ref="B48:O48"/>
    <mergeCell ref="B55:O55"/>
    <mergeCell ref="A50:A55"/>
    <mergeCell ref="A1:A6"/>
    <mergeCell ref="B1:O1"/>
    <mergeCell ref="B2:O2"/>
    <mergeCell ref="B3:O3"/>
    <mergeCell ref="B4:O4"/>
    <mergeCell ref="B5:O5"/>
    <mergeCell ref="A7:O7"/>
    <mergeCell ref="A8:A11"/>
    <mergeCell ref="B8:B10"/>
    <mergeCell ref="C8:C10"/>
    <mergeCell ref="K8:K10"/>
    <mergeCell ref="L8:L10"/>
    <mergeCell ref="M8:M10"/>
    <mergeCell ref="N8:N10"/>
    <mergeCell ref="O8:O10"/>
    <mergeCell ref="B11:O11"/>
    <mergeCell ref="A18:O18"/>
    <mergeCell ref="A19:A20"/>
    <mergeCell ref="B20:O20"/>
    <mergeCell ref="A12:O12"/>
    <mergeCell ref="A13:A17"/>
    <mergeCell ref="B13:B16"/>
    <mergeCell ref="C13:C16"/>
    <mergeCell ref="K13:K16"/>
    <mergeCell ref="L13:L16"/>
    <mergeCell ref="M13:M16"/>
    <mergeCell ref="N13:N16"/>
    <mergeCell ref="O13:O16"/>
    <mergeCell ref="B17:O17"/>
    <mergeCell ref="A21:O21"/>
    <mergeCell ref="A22:A23"/>
    <mergeCell ref="B23:O23"/>
    <mergeCell ref="A27:O27"/>
    <mergeCell ref="A28:A29"/>
    <mergeCell ref="B29:O29"/>
    <mergeCell ref="A24:O24"/>
    <mergeCell ref="A25:A26"/>
    <mergeCell ref="B26:O26"/>
    <mergeCell ref="A30:O30"/>
    <mergeCell ref="A31:A36"/>
    <mergeCell ref="B31:B35"/>
    <mergeCell ref="C31:C35"/>
    <mergeCell ref="K31:K35"/>
    <mergeCell ref="L31:L35"/>
    <mergeCell ref="M31:M35"/>
    <mergeCell ref="N31:N35"/>
    <mergeCell ref="O31:O35"/>
    <mergeCell ref="B36:O36"/>
    <mergeCell ref="A90:O90"/>
    <mergeCell ref="A91:A92"/>
    <mergeCell ref="B92:O92"/>
    <mergeCell ref="A37:O37"/>
    <mergeCell ref="A38:A42"/>
    <mergeCell ref="B38:B41"/>
    <mergeCell ref="C38:C41"/>
    <mergeCell ref="K38:K41"/>
    <mergeCell ref="L38:L41"/>
    <mergeCell ref="M38:M41"/>
    <mergeCell ref="N38:N41"/>
    <mergeCell ref="O38:O41"/>
    <mergeCell ref="B42:O42"/>
    <mergeCell ref="A49:O49"/>
    <mergeCell ref="B50:B54"/>
    <mergeCell ref="C50:C54"/>
    <mergeCell ref="K50:K54"/>
    <mergeCell ref="L50:L54"/>
    <mergeCell ref="M50:M54"/>
    <mergeCell ref="N50:N54"/>
    <mergeCell ref="O50:O54"/>
    <mergeCell ref="A43:O43"/>
    <mergeCell ref="A44:A48"/>
    <mergeCell ref="B44:B47"/>
  </mergeCells>
  <pageMargins left="0.25" right="0.25" top="0.75" bottom="0.75" header="0.3" footer="0.3"/>
  <pageSetup paperSize="9" scale="73" fitToHeight="0" orientation="landscape" r:id="rId1"/>
  <rowBreaks count="3" manualBreakCount="3">
    <brk id="26" max="16383" man="1"/>
    <brk id="55" max="16383" man="1"/>
    <brk id="80" max="16383" man="1"/>
  </rowBreaks>
  <ignoredErrors>
    <ignoredError sqref="H33"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20</vt:i4>
      </vt:variant>
    </vt:vector>
  </HeadingPairs>
  <TitlesOfParts>
    <vt:vector size="20" baseType="lpstr">
      <vt:lpstr>2020-20</vt:lpstr>
      <vt:lpstr>2020-19</vt:lpstr>
      <vt:lpstr>2020-18</vt:lpstr>
      <vt:lpstr>2020-17</vt:lpstr>
      <vt:lpstr>2020-16</vt:lpstr>
      <vt:lpstr>2020-15</vt:lpstr>
      <vt:lpstr>2020-14</vt:lpstr>
      <vt:lpstr>2020-13</vt:lpstr>
      <vt:lpstr>2020-12</vt:lpstr>
      <vt:lpstr>2020-11</vt:lpstr>
      <vt:lpstr>2020-10</vt:lpstr>
      <vt:lpstr>2020-09</vt:lpstr>
      <vt:lpstr>2020-08</vt:lpstr>
      <vt:lpstr>2020-07</vt:lpstr>
      <vt:lpstr>2020-06</vt:lpstr>
      <vt:lpstr>2020-05</vt:lpstr>
      <vt:lpstr>2020-04</vt:lpstr>
      <vt:lpstr>2020-03</vt:lpstr>
      <vt:lpstr>2020-02</vt:lpstr>
      <vt:lpstr>2020-01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ועדת התקשרויות 2020</dc:title>
  <dc:subject>502777</dc:subject>
  <dc:creator>reuts</dc:creator>
  <cp:keywords/>
  <dc:description/>
  <cp:lastModifiedBy>ksuser</cp:lastModifiedBy>
  <cp:lastPrinted>2021-01-26T08:56:12Z</cp:lastPrinted>
  <dcterms:created xsi:type="dcterms:W3CDTF">2019-01-03T09:46:04Z</dcterms:created>
  <dcterms:modified xsi:type="dcterms:W3CDTF">2021-02-15T10:01:39Z</dcterms:modified>
</cp:coreProperties>
</file>