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D:\אתר 2022\"/>
    </mc:Choice>
  </mc:AlternateContent>
  <xr:revisionPtr revIDLastSave="0" documentId="13_ncr:1_{71DBA58E-3D8A-48D5-A5EE-E1ABEA0D5278}" xr6:coauthVersionLast="47" xr6:coauthVersionMax="47" xr10:uidLastSave="{00000000-0000-0000-0000-000000000000}"/>
  <bookViews>
    <workbookView xWindow="-120" yWindow="-120" windowWidth="29040" windowHeight="15840" xr2:uid="{00000000-000D-0000-FFFF-FFFF00000000}"/>
  </bookViews>
  <sheets>
    <sheet name="2021-19" sheetId="64" r:id="rId1"/>
    <sheet name="2021-18" sheetId="62" r:id="rId2"/>
    <sheet name="2021-18-1 הנדסה בלבד" sheetId="63" r:id="rId3"/>
    <sheet name="2021-17" sheetId="60" r:id="rId4"/>
    <sheet name="2021-16" sheetId="59" r:id="rId5"/>
    <sheet name="2021-15" sheetId="56" r:id="rId6"/>
    <sheet name="2021-14" sheetId="57" r:id="rId7"/>
    <sheet name="2021-13.1" sheetId="58" r:id="rId8"/>
    <sheet name="2021-13" sheetId="52" r:id="rId9"/>
    <sheet name="2021-12.1" sheetId="55" r:id="rId10"/>
    <sheet name="2021-12" sheetId="51" r:id="rId11"/>
    <sheet name="2021-11" sheetId="50" r:id="rId12"/>
    <sheet name="2021-10.1" sheetId="54" r:id="rId13"/>
    <sheet name="2021-10" sheetId="49" r:id="rId14"/>
    <sheet name="2021-09" sheetId="48" r:id="rId15"/>
    <sheet name="2021-08" sheetId="47" r:id="rId16"/>
    <sheet name="2021-07" sheetId="46" r:id="rId17"/>
    <sheet name="2021-06" sheetId="45" r:id="rId18"/>
    <sheet name="2021-05" sheetId="44" r:id="rId19"/>
    <sheet name="2021-04" sheetId="43" r:id="rId20"/>
    <sheet name="2021-03" sheetId="42" r:id="rId21"/>
    <sheet name="2021-02" sheetId="41" r:id="rId22"/>
    <sheet name="2021-01" sheetId="40" r:id="rId23"/>
  </sheets>
  <definedNames>
    <definedName name="_xlnm._FilterDatabase" localSheetId="6" hidden="1">'2021-14'!$A$1:$S$51</definedName>
    <definedName name="_xlnm._FilterDatabase" localSheetId="5" hidden="1">'2021-15'!$A$1:$S$9</definedName>
    <definedName name="_xlnm.Print_Area" localSheetId="5">'2021-15'!$A$1:$S$85</definedName>
    <definedName name="_xlnm.Print_Titles" localSheetId="15">'2021-08'!$1:$6</definedName>
    <definedName name="_xlnm.Print_Titles" localSheetId="14">'2021-09'!$1:$6</definedName>
    <definedName name="_xlnm.Print_Titles" localSheetId="13">'2021-10'!$1:$6</definedName>
    <definedName name="_xlnm.Print_Titles" localSheetId="11">'2021-11'!$1:$6</definedName>
    <definedName name="_xlnm.Print_Titles" localSheetId="10">'2021-12'!$1:$6</definedName>
    <definedName name="_xlnm.Print_Titles" localSheetId="8">'2021-13'!$1:$6</definedName>
    <definedName name="_xlnm.Print_Titles" localSheetId="6">'2021-14'!$1:$6</definedName>
    <definedName name="_xlnm.Print_Titles" localSheetId="5">'2021-15'!$1:$6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45" i="63" l="1"/>
  <c r="M45" i="63"/>
  <c r="J20" i="62"/>
  <c r="L20" i="62"/>
  <c r="M20" i="62" s="1"/>
  <c r="L48" i="63"/>
  <c r="M48" i="63"/>
  <c r="R63" i="63"/>
  <c r="R23" i="62" l="1"/>
  <c r="L68" i="63"/>
  <c r="M68" i="63" s="1"/>
  <c r="L67" i="63"/>
  <c r="M67" i="63" s="1"/>
  <c r="R67" i="63" s="1"/>
  <c r="L64" i="63"/>
  <c r="M64" i="63" s="1"/>
  <c r="M63" i="63"/>
  <c r="L42" i="63"/>
  <c r="M42" i="63" s="1"/>
  <c r="J42" i="63"/>
  <c r="M40" i="63"/>
  <c r="M39" i="63"/>
  <c r="M38" i="63"/>
  <c r="R38" i="63" s="1"/>
  <c r="M35" i="63"/>
  <c r="R35" i="63" s="1"/>
  <c r="L32" i="63"/>
  <c r="M32" i="63" s="1"/>
  <c r="L31" i="63"/>
  <c r="M31" i="63" s="1"/>
  <c r="L30" i="63"/>
  <c r="M30" i="63" s="1"/>
  <c r="M29" i="63"/>
  <c r="R29" i="63" s="1"/>
  <c r="L29" i="63"/>
  <c r="R14" i="63"/>
  <c r="L15" i="62" l="1"/>
  <c r="M15" i="62" s="1"/>
  <c r="L16" i="62"/>
  <c r="M16" i="62" s="1"/>
  <c r="L17" i="62"/>
  <c r="M17" i="62" s="1"/>
  <c r="L14" i="62"/>
  <c r="M14" i="62" s="1"/>
  <c r="R14" i="62" s="1"/>
  <c r="R20" i="62"/>
  <c r="L11" i="62"/>
  <c r="M11" i="62" s="1"/>
  <c r="L10" i="62"/>
  <c r="M10" i="62" s="1"/>
  <c r="L9" i="62"/>
  <c r="M9" i="62" s="1"/>
  <c r="K8" i="62"/>
  <c r="L8" i="62" s="1"/>
  <c r="M8" i="62" s="1"/>
  <c r="R8" i="62" s="1"/>
  <c r="R37" i="60" l="1"/>
  <c r="R32" i="60"/>
  <c r="R27" i="60"/>
  <c r="R22" i="60" l="1"/>
  <c r="R17" i="60"/>
  <c r="R12" i="60" l="1"/>
  <c r="L8" i="60"/>
  <c r="M8" i="60"/>
  <c r="R8" i="60"/>
  <c r="L9" i="60"/>
  <c r="M9" i="60"/>
  <c r="R21" i="59" l="1"/>
  <c r="R30" i="59"/>
  <c r="L32" i="59"/>
  <c r="L31" i="59"/>
  <c r="L15" i="59" l="1"/>
  <c r="M15" i="59" s="1"/>
  <c r="J8" i="59"/>
  <c r="R24" i="59" l="1"/>
  <c r="L21" i="59"/>
  <c r="M21" i="59" s="1"/>
  <c r="M18" i="59" l="1"/>
  <c r="R18" i="59" l="1"/>
  <c r="L8" i="59" l="1"/>
  <c r="M8" i="59" s="1"/>
  <c r="R8" i="59" s="1"/>
  <c r="L14" i="59" l="1"/>
  <c r="L11" i="59"/>
  <c r="M11" i="59" s="1"/>
  <c r="R11" i="59" s="1"/>
  <c r="R48" i="57"/>
  <c r="M51" i="56"/>
  <c r="M50" i="56"/>
  <c r="M49" i="56"/>
  <c r="M48" i="56"/>
  <c r="M14" i="59" l="1"/>
  <c r="R14" i="59" s="1"/>
  <c r="M70" i="56"/>
  <c r="R70" i="56" s="1"/>
  <c r="R74" i="56"/>
  <c r="R53" i="56" l="1"/>
  <c r="R48" i="56"/>
  <c r="R11" i="56"/>
  <c r="R8" i="56"/>
  <c r="R21" i="56"/>
  <c r="M30" i="58"/>
  <c r="M29" i="58"/>
  <c r="M28" i="58"/>
  <c r="R21" i="58"/>
  <c r="R7" i="58"/>
  <c r="R16" i="56" l="1"/>
  <c r="L45" i="56" l="1"/>
  <c r="M45" i="56" s="1"/>
  <c r="L44" i="56"/>
  <c r="M44" i="56" s="1"/>
  <c r="L43" i="56"/>
  <c r="M43" i="56" s="1"/>
  <c r="L42" i="56"/>
  <c r="M42" i="56" s="1"/>
  <c r="L39" i="56" l="1"/>
  <c r="M39" i="56" s="1"/>
  <c r="L38" i="56"/>
  <c r="M38" i="56" s="1"/>
  <c r="L37" i="56"/>
  <c r="M37" i="56" s="1"/>
  <c r="L36" i="56"/>
  <c r="M36" i="56" s="1"/>
  <c r="R36" i="56" s="1"/>
  <c r="L33" i="56" l="1"/>
  <c r="M33" i="56" s="1"/>
  <c r="L32" i="56"/>
  <c r="M32" i="56" s="1"/>
  <c r="L31" i="56"/>
  <c r="M31" i="56" s="1"/>
  <c r="L30" i="56"/>
  <c r="M30" i="56" s="1"/>
  <c r="L27" i="56" l="1"/>
  <c r="M27" i="56" s="1"/>
  <c r="L26" i="56"/>
  <c r="M26" i="56" s="1"/>
  <c r="L25" i="56"/>
  <c r="M25" i="56" s="1"/>
  <c r="L24" i="56"/>
  <c r="M24" i="56" s="1"/>
  <c r="R42" i="56" l="1"/>
  <c r="R30" i="56"/>
  <c r="R24" i="56"/>
  <c r="R59" i="57" l="1"/>
  <c r="R53" i="57"/>
  <c r="L50" i="57"/>
  <c r="M50" i="57" s="1"/>
  <c r="L49" i="57"/>
  <c r="M49" i="57" s="1"/>
  <c r="M48" i="57"/>
  <c r="L48" i="57"/>
  <c r="L45" i="57"/>
  <c r="M45" i="57" s="1"/>
  <c r="L44" i="57"/>
  <c r="M44" i="57" s="1"/>
  <c r="L43" i="57"/>
  <c r="M43" i="57" s="1"/>
  <c r="L42" i="57"/>
  <c r="M42" i="57" s="1"/>
  <c r="R42" i="57" s="1"/>
  <c r="M39" i="57"/>
  <c r="M38" i="57"/>
  <c r="M37" i="57"/>
  <c r="R36" i="57"/>
  <c r="M36" i="57"/>
  <c r="L33" i="57"/>
  <c r="M33" i="57" s="1"/>
  <c r="M32" i="57"/>
  <c r="L32" i="57"/>
  <c r="L31" i="57"/>
  <c r="M31" i="57" s="1"/>
  <c r="M30" i="57"/>
  <c r="L30" i="57"/>
  <c r="L29" i="57"/>
  <c r="M29" i="57" s="1"/>
  <c r="R29" i="57" s="1"/>
  <c r="R23" i="57"/>
  <c r="R17" i="57"/>
  <c r="L14" i="57"/>
  <c r="M14" i="57" s="1"/>
  <c r="L13" i="57"/>
  <c r="M13" i="57" s="1"/>
  <c r="L12" i="57"/>
  <c r="M12" i="57" s="1"/>
  <c r="L11" i="57"/>
  <c r="M11" i="57" s="1"/>
  <c r="R11" i="57" s="1"/>
  <c r="M8" i="57"/>
  <c r="L8" i="57"/>
  <c r="R8" i="57" s="1"/>
  <c r="R14" i="52" l="1"/>
  <c r="L19" i="52"/>
  <c r="K19" i="52"/>
  <c r="M19" i="52" l="1"/>
  <c r="R19" i="52" s="1"/>
  <c r="M84" i="55"/>
  <c r="L84" i="55"/>
  <c r="H84" i="55"/>
  <c r="L83" i="55"/>
  <c r="M83" i="55" s="1"/>
  <c r="H83" i="55"/>
  <c r="L82" i="55"/>
  <c r="M82" i="55" s="1"/>
  <c r="H82" i="55"/>
  <c r="M81" i="55"/>
  <c r="L81" i="55"/>
  <c r="L70" i="55"/>
  <c r="M70" i="55" s="1"/>
  <c r="H70" i="55"/>
  <c r="L69" i="55"/>
  <c r="M69" i="55" s="1"/>
  <c r="H69" i="55"/>
  <c r="M68" i="55"/>
  <c r="L68" i="55"/>
  <c r="H68" i="55"/>
  <c r="M67" i="55"/>
  <c r="L67" i="55"/>
  <c r="H67" i="55"/>
  <c r="R7" i="55"/>
  <c r="L16" i="52"/>
  <c r="M16" i="52" s="1"/>
  <c r="L15" i="52"/>
  <c r="M15" i="52" s="1"/>
  <c r="L14" i="52"/>
  <c r="M14" i="52" s="1"/>
  <c r="L11" i="52"/>
  <c r="M11" i="52" l="1"/>
  <c r="R11" i="52" s="1"/>
  <c r="L8" i="52" l="1"/>
  <c r="M8" i="52" s="1"/>
  <c r="R8" i="52" s="1"/>
  <c r="M37" i="51" l="1"/>
  <c r="M32" i="51"/>
  <c r="M26" i="51"/>
  <c r="M20" i="51"/>
  <c r="M14" i="51"/>
  <c r="M8" i="51"/>
  <c r="M11" i="50"/>
  <c r="H128" i="41"/>
  <c r="I37" i="51"/>
  <c r="H34" i="51"/>
  <c r="I34" i="51" s="1"/>
  <c r="H33" i="51"/>
  <c r="I33" i="51" s="1"/>
  <c r="H32" i="51"/>
  <c r="I32" i="51" s="1"/>
  <c r="H27" i="51" l="1"/>
  <c r="I27" i="51" s="1"/>
  <c r="H21" i="51"/>
  <c r="I21" i="51" s="1"/>
  <c r="H17" i="51"/>
  <c r="I17" i="51" s="1"/>
  <c r="H16" i="51"/>
  <c r="I16" i="51" s="1"/>
  <c r="H15" i="51"/>
  <c r="I15" i="51" s="1"/>
  <c r="H14" i="51"/>
  <c r="I14" i="51" s="1"/>
  <c r="H11" i="51"/>
  <c r="H10" i="51"/>
  <c r="I10" i="51" s="1"/>
  <c r="H29" i="51"/>
  <c r="I29" i="51" s="1"/>
  <c r="H28" i="51"/>
  <c r="I28" i="51" s="1"/>
  <c r="H26" i="51"/>
  <c r="I26" i="51" s="1"/>
  <c r="H23" i="51"/>
  <c r="I23" i="51" s="1"/>
  <c r="H22" i="51"/>
  <c r="I22" i="51" s="1"/>
  <c r="H20" i="51"/>
  <c r="I20" i="51" s="1"/>
  <c r="H9" i="51"/>
  <c r="I9" i="51" s="1"/>
  <c r="I11" i="51"/>
  <c r="H8" i="51"/>
  <c r="I8" i="51" s="1"/>
  <c r="H19" i="50" l="1"/>
  <c r="I19" i="50" s="1"/>
  <c r="M19" i="50" s="1"/>
  <c r="M36" i="49" l="1"/>
  <c r="H16" i="50" l="1"/>
  <c r="H15" i="50"/>
  <c r="I15" i="50" s="1"/>
  <c r="H14" i="50"/>
  <c r="H13" i="50"/>
  <c r="H12" i="50"/>
  <c r="H11" i="50"/>
  <c r="I11" i="50" s="1"/>
  <c r="H8" i="50"/>
  <c r="I8" i="50" s="1"/>
  <c r="M8" i="50" s="1"/>
  <c r="I13" i="50" l="1"/>
  <c r="M39" i="49"/>
  <c r="I39" i="49"/>
  <c r="H39" i="49"/>
  <c r="H36" i="49"/>
  <c r="I36" i="49" s="1"/>
  <c r="H33" i="49"/>
  <c r="I33" i="49" s="1"/>
  <c r="I32" i="49"/>
  <c r="H32" i="49"/>
  <c r="H31" i="49"/>
  <c r="I31" i="49" s="1"/>
  <c r="M31" i="49" s="1"/>
  <c r="I28" i="49"/>
  <c r="M28" i="49" s="1"/>
  <c r="H28" i="49"/>
  <c r="I25" i="49"/>
  <c r="H25" i="49"/>
  <c r="H24" i="49"/>
  <c r="I24" i="49" s="1"/>
  <c r="H23" i="49"/>
  <c r="I23" i="49" s="1"/>
  <c r="M23" i="49" s="1"/>
  <c r="I20" i="49"/>
  <c r="H20" i="49"/>
  <c r="H19" i="49"/>
  <c r="I19" i="49" s="1"/>
  <c r="H18" i="49"/>
  <c r="I18" i="49" s="1"/>
  <c r="H17" i="49"/>
  <c r="I17" i="49" s="1"/>
  <c r="H16" i="49"/>
  <c r="I16" i="49" s="1"/>
  <c r="M16" i="49" s="1"/>
  <c r="H13" i="49"/>
  <c r="I13" i="49" s="1"/>
  <c r="H12" i="49"/>
  <c r="I12" i="49" s="1"/>
  <c r="H11" i="49"/>
  <c r="I11" i="49" s="1"/>
  <c r="M11" i="49" s="1"/>
  <c r="H17" i="48" l="1"/>
  <c r="H16" i="48"/>
  <c r="I16" i="48"/>
  <c r="H14" i="48"/>
  <c r="I14" i="48"/>
  <c r="H15" i="48"/>
  <c r="H13" i="48"/>
  <c r="I17" i="48" l="1"/>
  <c r="I15" i="48"/>
  <c r="I13" i="48"/>
  <c r="M13" i="48" s="1"/>
  <c r="M8" i="48"/>
  <c r="H10" i="48"/>
  <c r="I10" i="48" s="1"/>
  <c r="H9" i="48" l="1"/>
  <c r="I9" i="48" s="1"/>
  <c r="H8" i="48"/>
  <c r="I8" i="48" s="1"/>
  <c r="M17" i="47"/>
  <c r="H11" i="46" l="1"/>
  <c r="I11" i="46" s="1"/>
  <c r="M11" i="46" s="1"/>
  <c r="H14" i="46"/>
  <c r="I14" i="46" s="1"/>
  <c r="M14" i="46" s="1"/>
  <c r="H15" i="46"/>
  <c r="I15" i="46"/>
  <c r="H16" i="46"/>
  <c r="I16" i="46"/>
  <c r="H17" i="46"/>
  <c r="I17" i="46" s="1"/>
  <c r="H18" i="46"/>
  <c r="I18" i="46" s="1"/>
  <c r="H21" i="46"/>
  <c r="I21" i="46"/>
  <c r="M21" i="46" s="1"/>
  <c r="H22" i="46"/>
  <c r="I22" i="46"/>
  <c r="H23" i="46"/>
  <c r="I23" i="46"/>
  <c r="H26" i="46"/>
  <c r="I26" i="46"/>
  <c r="M26" i="46"/>
  <c r="H29" i="46"/>
  <c r="H30" i="46"/>
  <c r="I29" i="46" s="1"/>
  <c r="M29" i="46" s="1"/>
  <c r="H33" i="46"/>
  <c r="I33" i="46" s="1"/>
  <c r="H36" i="46"/>
  <c r="I36" i="46"/>
  <c r="M36" i="46"/>
  <c r="H39" i="46"/>
  <c r="I39" i="46"/>
  <c r="M39" i="46"/>
  <c r="H40" i="46"/>
  <c r="I40" i="46" s="1"/>
  <c r="H41" i="46"/>
  <c r="I41" i="46"/>
  <c r="H44" i="46"/>
  <c r="I44" i="46"/>
  <c r="M44" i="46"/>
  <c r="H45" i="46"/>
  <c r="I45" i="46"/>
  <c r="H46" i="46"/>
  <c r="I46" i="46" s="1"/>
  <c r="H47" i="46"/>
  <c r="I47" i="46"/>
  <c r="H50" i="46"/>
  <c r="I50" i="46"/>
  <c r="M50" i="46"/>
  <c r="H54" i="46"/>
  <c r="I54" i="46" s="1"/>
  <c r="M54" i="46" s="1"/>
  <c r="M8" i="46" l="1"/>
  <c r="H8" i="46" l="1"/>
  <c r="M40" i="47" l="1"/>
  <c r="M17" i="45"/>
  <c r="M8" i="47" l="1"/>
  <c r="M52" i="47" l="1"/>
  <c r="M46" i="47"/>
  <c r="M49" i="47"/>
  <c r="I49" i="47"/>
  <c r="M33" i="47"/>
  <c r="M30" i="47"/>
  <c r="M27" i="47"/>
  <c r="H8" i="47"/>
  <c r="I8" i="47" s="1"/>
  <c r="M11" i="47"/>
  <c r="H53" i="47" l="1"/>
  <c r="I13" i="47" l="1"/>
  <c r="I14" i="47"/>
  <c r="I12" i="47"/>
  <c r="I11" i="47"/>
  <c r="I43" i="47" l="1"/>
  <c r="H43" i="47"/>
  <c r="I52" i="47" l="1"/>
  <c r="H52" i="47"/>
  <c r="H9" i="40"/>
  <c r="I9" i="40" s="1"/>
  <c r="M9" i="40" s="1"/>
  <c r="H12" i="40"/>
  <c r="I12" i="40"/>
  <c r="M12" i="40"/>
  <c r="H13" i="40"/>
  <c r="I13" i="40"/>
  <c r="H14" i="40"/>
  <c r="I14" i="40" s="1"/>
  <c r="H15" i="40"/>
  <c r="I15" i="40"/>
  <c r="H19" i="40"/>
  <c r="I19" i="40" s="1"/>
  <c r="M19" i="40" s="1"/>
  <c r="H20" i="40"/>
  <c r="I20" i="40"/>
  <c r="H21" i="40"/>
  <c r="I21" i="40" s="1"/>
  <c r="H22" i="40"/>
  <c r="I22" i="40"/>
  <c r="H23" i="40"/>
  <c r="I23" i="40"/>
  <c r="H26" i="40"/>
  <c r="I26" i="40"/>
  <c r="M26" i="40" s="1"/>
  <c r="H27" i="40"/>
  <c r="I27" i="40"/>
  <c r="H28" i="40"/>
  <c r="I28" i="40" s="1"/>
  <c r="H34" i="40"/>
  <c r="I34" i="40"/>
  <c r="M34" i="40"/>
  <c r="H37" i="40"/>
  <c r="I37" i="40" s="1"/>
  <c r="M37" i="40" s="1"/>
  <c r="H38" i="40"/>
  <c r="I38" i="40" s="1"/>
  <c r="E39" i="40"/>
  <c r="H39" i="40"/>
  <c r="I39" i="40"/>
  <c r="E40" i="40"/>
  <c r="H40" i="40"/>
  <c r="I40" i="40"/>
  <c r="H43" i="40"/>
  <c r="I43" i="40" s="1"/>
  <c r="H46" i="40"/>
  <c r="I46" i="40"/>
  <c r="M46" i="40"/>
  <c r="H14" i="47" l="1"/>
  <c r="H13" i="47"/>
  <c r="H12" i="47"/>
  <c r="H11" i="47"/>
  <c r="H49" i="47"/>
  <c r="H40" i="47"/>
  <c r="I40" i="47" s="1"/>
  <c r="H37" i="47" l="1"/>
  <c r="I37" i="47" s="1"/>
  <c r="H36" i="47"/>
  <c r="I36" i="47" s="1"/>
  <c r="H20" i="47"/>
  <c r="H19" i="47"/>
  <c r="I19" i="47" s="1"/>
  <c r="H18" i="47"/>
  <c r="H17" i="47"/>
  <c r="I17" i="47" s="1"/>
  <c r="H33" i="47"/>
  <c r="I33" i="47" s="1"/>
  <c r="H46" i="47"/>
  <c r="I46" i="47" s="1"/>
  <c r="H30" i="47"/>
  <c r="I30" i="47" s="1"/>
  <c r="H31" i="40" l="1"/>
  <c r="M31" i="40" s="1"/>
  <c r="I142" i="41"/>
  <c r="H142" i="41"/>
  <c r="I141" i="41"/>
  <c r="H141" i="41"/>
  <c r="M140" i="41"/>
  <c r="I140" i="41"/>
  <c r="H140" i="41"/>
  <c r="H137" i="41"/>
  <c r="I136" i="41"/>
  <c r="H136" i="41"/>
  <c r="H135" i="41"/>
  <c r="I134" i="41"/>
  <c r="H134" i="41"/>
  <c r="H133" i="41"/>
  <c r="I132" i="41"/>
  <c r="H132" i="41"/>
  <c r="I131" i="41"/>
  <c r="H131" i="41"/>
  <c r="H130" i="41"/>
  <c r="I129" i="41"/>
  <c r="H129" i="41"/>
  <c r="M127" i="41"/>
  <c r="I127" i="41"/>
  <c r="H127" i="41"/>
  <c r="I124" i="41"/>
  <c r="H124" i="41"/>
  <c r="I123" i="41"/>
  <c r="H123" i="41"/>
  <c r="I122" i="41"/>
  <c r="H122" i="41"/>
  <c r="I121" i="41"/>
  <c r="H121" i="41"/>
  <c r="M120" i="41"/>
  <c r="I120" i="41"/>
  <c r="H120" i="41"/>
  <c r="I117" i="41"/>
  <c r="H117" i="41"/>
  <c r="I116" i="41"/>
  <c r="H116" i="41"/>
  <c r="I115" i="41"/>
  <c r="H115" i="41"/>
  <c r="M114" i="41"/>
  <c r="I114" i="41"/>
  <c r="H114" i="41"/>
  <c r="I111" i="41"/>
  <c r="H111" i="41"/>
  <c r="I110" i="41"/>
  <c r="H110" i="41"/>
  <c r="I109" i="41"/>
  <c r="H109" i="41"/>
  <c r="I108" i="41"/>
  <c r="H108" i="41"/>
  <c r="I107" i="41"/>
  <c r="H107" i="41"/>
  <c r="M106" i="41"/>
  <c r="I106" i="41"/>
  <c r="H106" i="41"/>
  <c r="I103" i="41"/>
  <c r="H103" i="41"/>
  <c r="I102" i="41"/>
  <c r="H102" i="41"/>
  <c r="I101" i="41"/>
  <c r="H101" i="41"/>
  <c r="M100" i="41"/>
  <c r="I100" i="41"/>
  <c r="H100" i="41"/>
  <c r="I97" i="41"/>
  <c r="H97" i="41"/>
  <c r="I96" i="41"/>
  <c r="H96" i="41"/>
  <c r="I95" i="41"/>
  <c r="H95" i="41"/>
  <c r="M94" i="41"/>
  <c r="I94" i="41"/>
  <c r="H94" i="41"/>
  <c r="I91" i="41"/>
  <c r="H91" i="41"/>
  <c r="I90" i="41"/>
  <c r="H90" i="41"/>
  <c r="I89" i="41"/>
  <c r="H89" i="41"/>
  <c r="M88" i="41"/>
  <c r="I88" i="41"/>
  <c r="H88" i="41"/>
  <c r="I85" i="41"/>
  <c r="H85" i="41"/>
  <c r="I84" i="41"/>
  <c r="H84" i="41"/>
  <c r="I83" i="41"/>
  <c r="H83" i="41"/>
  <c r="I82" i="41"/>
  <c r="H82" i="41"/>
  <c r="I81" i="41"/>
  <c r="H81" i="41"/>
  <c r="M80" i="41"/>
  <c r="I80" i="41"/>
  <c r="H80" i="41"/>
  <c r="I77" i="41"/>
  <c r="H77" i="41"/>
  <c r="I76" i="41"/>
  <c r="H76" i="41"/>
  <c r="I75" i="41"/>
  <c r="H75" i="41"/>
  <c r="M74" i="41"/>
  <c r="I74" i="41"/>
  <c r="H74" i="41"/>
  <c r="I71" i="41"/>
  <c r="H71" i="41"/>
  <c r="I70" i="41"/>
  <c r="H70" i="41"/>
  <c r="I69" i="41"/>
  <c r="H69" i="41"/>
  <c r="I68" i="41"/>
  <c r="H68" i="41"/>
  <c r="I67" i="41"/>
  <c r="H67" i="41"/>
  <c r="I66" i="41"/>
  <c r="H66" i="41"/>
  <c r="I65" i="41"/>
  <c r="H65" i="41"/>
  <c r="M64" i="41"/>
  <c r="I64" i="41"/>
  <c r="H64" i="41"/>
  <c r="I61" i="41"/>
  <c r="H61" i="41"/>
  <c r="I60" i="41"/>
  <c r="H60" i="41"/>
  <c r="I59" i="41"/>
  <c r="H59" i="41"/>
  <c r="I58" i="41"/>
  <c r="H58" i="41"/>
  <c r="I57" i="41"/>
  <c r="H57" i="41"/>
  <c r="M56" i="41"/>
  <c r="I56" i="41"/>
  <c r="H56" i="41"/>
  <c r="I53" i="41"/>
  <c r="H53" i="41"/>
  <c r="I52" i="41"/>
  <c r="H52" i="41"/>
  <c r="I51" i="41"/>
  <c r="H51" i="41"/>
  <c r="I50" i="41"/>
  <c r="H50" i="41"/>
  <c r="I49" i="41"/>
  <c r="H49" i="41"/>
  <c r="I48" i="41"/>
  <c r="H48" i="41"/>
  <c r="I47" i="41"/>
  <c r="H47" i="41"/>
  <c r="M46" i="41"/>
  <c r="I46" i="41"/>
  <c r="H46" i="41"/>
  <c r="I43" i="41"/>
  <c r="H43" i="41"/>
  <c r="I42" i="41"/>
  <c r="H42" i="41"/>
  <c r="I41" i="41"/>
  <c r="H41" i="41"/>
  <c r="I40" i="41"/>
  <c r="H40" i="41"/>
  <c r="M39" i="41"/>
  <c r="I39" i="41"/>
  <c r="H39" i="41"/>
  <c r="M36" i="41"/>
  <c r="I36" i="41"/>
  <c r="H36" i="41"/>
  <c r="I33" i="41"/>
  <c r="H33" i="41"/>
  <c r="I32" i="41"/>
  <c r="H32" i="41"/>
  <c r="M31" i="41"/>
  <c r="I31" i="41"/>
  <c r="H31" i="41"/>
  <c r="I28" i="41"/>
  <c r="H28" i="41"/>
  <c r="I27" i="41"/>
  <c r="H27" i="41"/>
  <c r="I26" i="41"/>
  <c r="H26" i="41"/>
  <c r="M25" i="41"/>
  <c r="I25" i="41"/>
  <c r="H25" i="41"/>
  <c r="I22" i="41"/>
  <c r="H22" i="41"/>
  <c r="I21" i="41"/>
  <c r="H21" i="41"/>
  <c r="I20" i="41"/>
  <c r="H20" i="41"/>
  <c r="M19" i="41"/>
  <c r="I19" i="41"/>
  <c r="H19" i="41"/>
  <c r="H16" i="41"/>
  <c r="I15" i="41"/>
  <c r="H15" i="41"/>
  <c r="I12" i="41"/>
  <c r="H12" i="41"/>
  <c r="I9" i="41"/>
  <c r="H9" i="41"/>
  <c r="M8" i="41"/>
  <c r="I8" i="41"/>
  <c r="H8" i="41"/>
  <c r="M13" i="42"/>
  <c r="I13" i="42"/>
  <c r="H13" i="42"/>
  <c r="I10" i="42"/>
  <c r="H10" i="42"/>
  <c r="I9" i="42"/>
  <c r="H9" i="42"/>
  <c r="M8" i="42"/>
  <c r="I8" i="42"/>
  <c r="H8" i="42"/>
  <c r="I191" i="43"/>
  <c r="H191" i="43"/>
  <c r="I190" i="43"/>
  <c r="H190" i="43"/>
  <c r="I189" i="43"/>
  <c r="H189" i="43"/>
  <c r="I186" i="43"/>
  <c r="H186" i="43"/>
  <c r="I185" i="43"/>
  <c r="H185" i="43"/>
  <c r="I184" i="43"/>
  <c r="H184" i="43"/>
  <c r="M183" i="43"/>
  <c r="I183" i="43"/>
  <c r="H183" i="43"/>
  <c r="M180" i="43"/>
  <c r="I180" i="43"/>
  <c r="H180" i="43"/>
  <c r="I177" i="43"/>
  <c r="H177" i="43"/>
  <c r="I176" i="43"/>
  <c r="H176" i="43"/>
  <c r="I175" i="43"/>
  <c r="H175" i="43"/>
  <c r="M174" i="43"/>
  <c r="I174" i="43"/>
  <c r="H174" i="43"/>
  <c r="I171" i="43"/>
  <c r="H171" i="43"/>
  <c r="I170" i="43"/>
  <c r="H170" i="43"/>
  <c r="I169" i="43"/>
  <c r="H169" i="43"/>
  <c r="I168" i="43"/>
  <c r="H168" i="43"/>
  <c r="I167" i="43"/>
  <c r="H167" i="43"/>
  <c r="M166" i="43"/>
  <c r="I166" i="43"/>
  <c r="H166" i="43"/>
  <c r="I163" i="43"/>
  <c r="H163" i="43"/>
  <c r="I162" i="43"/>
  <c r="H162" i="43"/>
  <c r="I161" i="43"/>
  <c r="H161" i="43"/>
  <c r="M160" i="43"/>
  <c r="I160" i="43"/>
  <c r="H160" i="43"/>
  <c r="I157" i="43"/>
  <c r="H157" i="43"/>
  <c r="I156" i="43"/>
  <c r="H156" i="43"/>
  <c r="I155" i="43"/>
  <c r="H155" i="43"/>
  <c r="M154" i="43"/>
  <c r="I154" i="43"/>
  <c r="H154" i="43"/>
  <c r="I151" i="43"/>
  <c r="H151" i="43"/>
  <c r="I150" i="43"/>
  <c r="H150" i="43"/>
  <c r="I149" i="43"/>
  <c r="H149" i="43"/>
  <c r="M148" i="43"/>
  <c r="I148" i="43"/>
  <c r="H148" i="43"/>
  <c r="I145" i="43"/>
  <c r="H145" i="43"/>
  <c r="I144" i="43"/>
  <c r="H144" i="43"/>
  <c r="I143" i="43"/>
  <c r="H143" i="43"/>
  <c r="M142" i="43"/>
  <c r="I142" i="43"/>
  <c r="H142" i="43"/>
  <c r="I139" i="43"/>
  <c r="H139" i="43"/>
  <c r="I138" i="43"/>
  <c r="H138" i="43"/>
  <c r="I137" i="43"/>
  <c r="H137" i="43"/>
  <c r="I136" i="43"/>
  <c r="H136" i="43"/>
  <c r="I135" i="43"/>
  <c r="H135" i="43"/>
  <c r="I134" i="43"/>
  <c r="H134" i="43"/>
  <c r="I133" i="43"/>
  <c r="H133" i="43"/>
  <c r="M132" i="43"/>
  <c r="I132" i="43"/>
  <c r="H132" i="43"/>
  <c r="I129" i="43"/>
  <c r="H129" i="43"/>
  <c r="I128" i="43"/>
  <c r="H128" i="43"/>
  <c r="I127" i="43"/>
  <c r="H127" i="43"/>
  <c r="I126" i="43"/>
  <c r="H126" i="43"/>
  <c r="M125" i="43"/>
  <c r="I125" i="43"/>
  <c r="H125" i="43"/>
  <c r="I122" i="43"/>
  <c r="H122" i="43"/>
  <c r="I121" i="43"/>
  <c r="H121" i="43"/>
  <c r="I120" i="43"/>
  <c r="H120" i="43"/>
  <c r="M119" i="43"/>
  <c r="I119" i="43"/>
  <c r="H119" i="43"/>
  <c r="I116" i="43"/>
  <c r="H116" i="43"/>
  <c r="I115" i="43"/>
  <c r="H115" i="43"/>
  <c r="I114" i="43"/>
  <c r="H114" i="43"/>
  <c r="M113" i="43"/>
  <c r="I113" i="43"/>
  <c r="H113" i="43"/>
  <c r="I110" i="43"/>
  <c r="H110" i="43"/>
  <c r="I109" i="43"/>
  <c r="H109" i="43"/>
  <c r="I108" i="43"/>
  <c r="H108" i="43"/>
  <c r="M107" i="43"/>
  <c r="I107" i="43"/>
  <c r="H107" i="43"/>
  <c r="I104" i="43"/>
  <c r="H104" i="43"/>
  <c r="I103" i="43"/>
  <c r="H103" i="43"/>
  <c r="I102" i="43"/>
  <c r="H102" i="43"/>
  <c r="M101" i="43"/>
  <c r="I101" i="43"/>
  <c r="H101" i="43"/>
  <c r="I98" i="43"/>
  <c r="H98" i="43"/>
  <c r="I97" i="43"/>
  <c r="H97" i="43"/>
  <c r="I96" i="43"/>
  <c r="H96" i="43"/>
  <c r="I95" i="43"/>
  <c r="H95" i="43"/>
  <c r="I94" i="43"/>
  <c r="H94" i="43"/>
  <c r="M93" i="43"/>
  <c r="I93" i="43"/>
  <c r="H93" i="43"/>
  <c r="I90" i="43"/>
  <c r="H90" i="43"/>
  <c r="I89" i="43"/>
  <c r="H89" i="43"/>
  <c r="I88" i="43"/>
  <c r="H88" i="43"/>
  <c r="M87" i="43"/>
  <c r="I87" i="43"/>
  <c r="H87" i="43"/>
  <c r="I84" i="43"/>
  <c r="H84" i="43"/>
  <c r="I83" i="43"/>
  <c r="H83" i="43"/>
  <c r="I82" i="43"/>
  <c r="H82" i="43"/>
  <c r="I81" i="43"/>
  <c r="H81" i="43"/>
  <c r="I80" i="43"/>
  <c r="H80" i="43"/>
  <c r="M79" i="43"/>
  <c r="I79" i="43"/>
  <c r="H79" i="43"/>
  <c r="I76" i="43"/>
  <c r="H76" i="43"/>
  <c r="I75" i="43"/>
  <c r="H75" i="43"/>
  <c r="I74" i="43"/>
  <c r="H74" i="43"/>
  <c r="I73" i="43"/>
  <c r="H73" i="43"/>
  <c r="I72" i="43"/>
  <c r="H72" i="43"/>
  <c r="M71" i="43"/>
  <c r="I71" i="43"/>
  <c r="H71" i="43"/>
  <c r="I68" i="43"/>
  <c r="H68" i="43"/>
  <c r="I67" i="43"/>
  <c r="H67" i="43"/>
  <c r="I66" i="43"/>
  <c r="H66" i="43"/>
  <c r="I65" i="43"/>
  <c r="H65" i="43"/>
  <c r="I64" i="43"/>
  <c r="H64" i="43"/>
  <c r="M63" i="43"/>
  <c r="I63" i="43"/>
  <c r="H63" i="43"/>
  <c r="I60" i="43"/>
  <c r="H60" i="43"/>
  <c r="I59" i="43"/>
  <c r="H59" i="43"/>
  <c r="I58" i="43"/>
  <c r="H58" i="43"/>
  <c r="I57" i="43"/>
  <c r="H57" i="43"/>
  <c r="I56" i="43"/>
  <c r="H56" i="43"/>
  <c r="I55" i="43"/>
  <c r="H55" i="43"/>
  <c r="I54" i="43"/>
  <c r="H54" i="43"/>
  <c r="I53" i="43"/>
  <c r="H53" i="43"/>
  <c r="M52" i="43"/>
  <c r="I52" i="43"/>
  <c r="H52" i="43"/>
  <c r="I49" i="43"/>
  <c r="H49" i="43"/>
  <c r="I48" i="43"/>
  <c r="H48" i="43"/>
  <c r="I47" i="43"/>
  <c r="H47" i="43"/>
  <c r="I46" i="43"/>
  <c r="H46" i="43"/>
  <c r="I45" i="43"/>
  <c r="H45" i="43"/>
  <c r="I44" i="43"/>
  <c r="H44" i="43"/>
  <c r="M43" i="43"/>
  <c r="I43" i="43"/>
  <c r="H43" i="43"/>
  <c r="I40" i="43"/>
  <c r="H40" i="43"/>
  <c r="I39" i="43"/>
  <c r="H39" i="43"/>
  <c r="I38" i="43"/>
  <c r="H38" i="43"/>
  <c r="I37" i="43"/>
  <c r="H37" i="43"/>
  <c r="I36" i="43"/>
  <c r="H36" i="43"/>
  <c r="I35" i="43"/>
  <c r="H35" i="43"/>
  <c r="M34" i="43"/>
  <c r="I34" i="43"/>
  <c r="H34" i="43"/>
  <c r="I31" i="43"/>
  <c r="I30" i="43"/>
  <c r="I29" i="43"/>
  <c r="I28" i="43"/>
  <c r="I27" i="43"/>
  <c r="I26" i="43"/>
  <c r="I25" i="43"/>
  <c r="M24" i="43"/>
  <c r="I24" i="43"/>
  <c r="I21" i="43"/>
  <c r="H21" i="43"/>
  <c r="I20" i="43"/>
  <c r="H20" i="43"/>
  <c r="I19" i="43"/>
  <c r="H19" i="43"/>
  <c r="M18" i="43"/>
  <c r="I18" i="43"/>
  <c r="H18" i="43"/>
  <c r="M15" i="43"/>
  <c r="I15" i="43"/>
  <c r="H15" i="43"/>
  <c r="I12" i="43"/>
  <c r="H12" i="43"/>
  <c r="I11" i="43"/>
  <c r="H11" i="43"/>
  <c r="I10" i="43"/>
  <c r="H10" i="43"/>
  <c r="I9" i="43"/>
  <c r="H9" i="43"/>
  <c r="M8" i="43"/>
  <c r="I8" i="43"/>
  <c r="H8" i="43"/>
  <c r="M19" i="44"/>
  <c r="I16" i="44"/>
  <c r="H16" i="44"/>
  <c r="I15" i="44"/>
  <c r="H15" i="44"/>
  <c r="M14" i="44"/>
  <c r="I14" i="44"/>
  <c r="H14" i="44"/>
  <c r="M11" i="44"/>
  <c r="I11" i="44"/>
  <c r="H11" i="44"/>
  <c r="M8" i="44"/>
  <c r="I8" i="44"/>
  <c r="H8" i="44"/>
  <c r="I76" i="45"/>
  <c r="H76" i="45"/>
  <c r="I75" i="45"/>
  <c r="H75" i="45"/>
  <c r="M74" i="45"/>
  <c r="I74" i="45"/>
  <c r="H74" i="45"/>
  <c r="I71" i="45"/>
  <c r="H71" i="45"/>
  <c r="I70" i="45"/>
  <c r="H70" i="45"/>
  <c r="M69" i="45"/>
  <c r="I69" i="45"/>
  <c r="H69" i="45"/>
  <c r="M66" i="45"/>
  <c r="I66" i="45"/>
  <c r="H66" i="45"/>
  <c r="M63" i="45"/>
  <c r="I63" i="45"/>
  <c r="H63" i="45"/>
  <c r="M60" i="45"/>
  <c r="I60" i="45"/>
  <c r="M57" i="45"/>
  <c r="I57" i="45"/>
  <c r="H57" i="45"/>
  <c r="I51" i="45"/>
  <c r="H51" i="45"/>
  <c r="M50" i="45"/>
  <c r="I50" i="45"/>
  <c r="H50" i="45"/>
  <c r="I47" i="45"/>
  <c r="H47" i="45"/>
  <c r="I46" i="45"/>
  <c r="H46" i="45"/>
  <c r="M45" i="45"/>
  <c r="I45" i="45"/>
  <c r="H45" i="45"/>
  <c r="I42" i="45"/>
  <c r="H42" i="45"/>
  <c r="M41" i="45"/>
  <c r="I41" i="45"/>
  <c r="H41" i="45"/>
  <c r="M38" i="45"/>
  <c r="I38" i="45"/>
  <c r="H38" i="45"/>
  <c r="I24" i="45"/>
  <c r="H24" i="45"/>
  <c r="I23" i="45"/>
  <c r="H23" i="45"/>
  <c r="I22" i="45"/>
  <c r="H22" i="45"/>
  <c r="I19" i="45"/>
  <c r="H19" i="45"/>
  <c r="I18" i="45"/>
  <c r="H18" i="45"/>
  <c r="I17" i="45"/>
  <c r="H17" i="45"/>
  <c r="M14" i="45"/>
  <c r="I14" i="45"/>
  <c r="M13" i="45"/>
  <c r="I13" i="45"/>
  <c r="M12" i="45"/>
  <c r="I12" i="45"/>
  <c r="M11" i="45"/>
  <c r="I11" i="45"/>
  <c r="M8" i="45"/>
  <c r="I8" i="45"/>
  <c r="H8" i="45"/>
  <c r="I8" i="46"/>
  <c r="I20" i="47"/>
  <c r="I18" i="47"/>
  <c r="H27" i="47"/>
  <c r="I27" i="47" s="1"/>
  <c r="H24" i="47"/>
  <c r="I24" i="47" s="1"/>
  <c r="H23" i="47"/>
  <c r="I23" i="47" s="1"/>
  <c r="I31" i="40" l="1"/>
</calcChain>
</file>

<file path=xl/sharedStrings.xml><?xml version="1.0" encoding="utf-8"?>
<sst xmlns="http://schemas.openxmlformats.org/spreadsheetml/2006/main" count="5164" uniqueCount="1499">
  <si>
    <t>שם הפרויקט/העבודה</t>
  </si>
  <si>
    <t>המזמין</t>
  </si>
  <si>
    <t>שם המציע</t>
  </si>
  <si>
    <t>ציון סופי</t>
  </si>
  <si>
    <t>חישוב שכ"ט לפי</t>
  </si>
  <si>
    <t>היקף התקשרות משוער</t>
  </si>
  <si>
    <t>סכום/אחוז שכ"ט    (כולל מע"מ)</t>
  </si>
  <si>
    <t>סה"כ שכ"ט    (כולל מע"מ)</t>
  </si>
  <si>
    <t>מאגר יועצים</t>
  </si>
  <si>
    <t>החלטת ועדה</t>
  </si>
  <si>
    <t>סטטוס טיפול</t>
  </si>
  <si>
    <t xml:space="preserve">סעיף תקציבי </t>
  </si>
  <si>
    <t>לפי שעה</t>
  </si>
  <si>
    <t>V</t>
  </si>
  <si>
    <t>סכום קבוע</t>
  </si>
  <si>
    <t>אושרה ההצעה עם הציון המשוקלל הגבוה ביותר</t>
  </si>
  <si>
    <t>ברגמן חגית</t>
  </si>
  <si>
    <t>אושרה ההצעה לפי סעיף 3.21 לנוהל התקשרויות.</t>
  </si>
  <si>
    <t>הופץ</t>
  </si>
  <si>
    <t>לפי כיתה</t>
  </si>
  <si>
    <t>30 כיתות</t>
  </si>
  <si>
    <t>א.עדי אקוסטיקה</t>
  </si>
  <si>
    <t>יוסי שחר</t>
  </si>
  <si>
    <t>ירון קרני</t>
  </si>
  <si>
    <t>12 חודשים</t>
  </si>
  <si>
    <t>דגש הנדסה</t>
  </si>
  <si>
    <t>100 שעות</t>
  </si>
  <si>
    <t xml:space="preserve">אושרה ההצעה לפי סעיף 3.21 לנוהל התקשרויות </t>
  </si>
  <si>
    <t>סכום חודשי קבוע</t>
  </si>
  <si>
    <t>מהנדסת העיר- עליזה זיידלר גרנות</t>
  </si>
  <si>
    <t>סכום  חודשי קבוע</t>
  </si>
  <si>
    <t>3 חודשים</t>
  </si>
  <si>
    <t>150 שעות</t>
  </si>
  <si>
    <t>מנהלת מחלקת בית ספר יסודי- אורית ליבוביץ</t>
  </si>
  <si>
    <t>ענבר אופק</t>
  </si>
  <si>
    <t>תחום התקשרות</t>
  </si>
  <si>
    <t>יעוץ תנועה</t>
  </si>
  <si>
    <t>יעוץ פיננסי</t>
  </si>
  <si>
    <t>דיאטן/ יעוץ תזונה</t>
  </si>
  <si>
    <t>ניהול פרויקטים</t>
  </si>
  <si>
    <t>יעוץ אינסטלציה</t>
  </si>
  <si>
    <t>יעוץ חשמל</t>
  </si>
  <si>
    <t>יעוץ אגרונומי</t>
  </si>
  <si>
    <t>יעוץ אדריכלי</t>
  </si>
  <si>
    <t>יעוץ אקוסטי</t>
  </si>
  <si>
    <t>יעוץ נגישות</t>
  </si>
  <si>
    <t>יעוץ בטיחות</t>
  </si>
  <si>
    <t>יעוץ קונסטרוקציה</t>
  </si>
  <si>
    <t>יעוץ מש"א ושכר</t>
  </si>
  <si>
    <t>יעוץ טכנולוגי</t>
  </si>
  <si>
    <t>אריק ברגנר</t>
  </si>
  <si>
    <t>2. בכל הנושאים הוועדה סבורה שאין עדיפות למכרז פומבי</t>
  </si>
  <si>
    <t>1. כל הנושאים אושרו ע"י היועמ"ש כפטורים ממכרז לפי תקנה 3(8) לתקנות העיריות (מכרזים) תשמ"ח- 1987</t>
  </si>
  <si>
    <t>אדריכל נוף</t>
  </si>
  <si>
    <t>הנדסה</t>
  </si>
  <si>
    <t>חינוך</t>
  </si>
  <si>
    <t>קיימות וחדשנות</t>
  </si>
  <si>
    <t>יועץ לחינוך סביבתי</t>
  </si>
  <si>
    <t>יחסי ציבור</t>
  </si>
  <si>
    <t>משאבי אנוש והדרכה</t>
  </si>
  <si>
    <t>ביטחון וחירום</t>
  </si>
  <si>
    <t>הכנסות</t>
  </si>
  <si>
    <t>כספים</t>
  </si>
  <si>
    <t>יעוץ אסטרטגי</t>
  </si>
  <si>
    <t>מנכ"ל העירייה</t>
  </si>
  <si>
    <t>יעוץ ביטחון ובטיחות</t>
  </si>
  <si>
    <t>יעוץ בתחום שיתוף ציבור</t>
  </si>
  <si>
    <t>יעוץ חינוכי</t>
  </si>
  <si>
    <t>מדידות</t>
  </si>
  <si>
    <t xml:space="preserve"> סגנית מנהלת אגף קיימות וחדשנות- תמי קצבורג נבנצל</t>
  </si>
  <si>
    <t>דניאל אזרד</t>
  </si>
  <si>
    <t>ג.ב מהנדסים</t>
  </si>
  <si>
    <t xml:space="preserve">אושרה ההצעה עם הציון המשוקלל הגבוה ביותר. </t>
  </si>
  <si>
    <t>סכום שעתי</t>
  </si>
  <si>
    <t>סטודיו זיו</t>
  </si>
  <si>
    <t>שמרית רז</t>
  </si>
  <si>
    <t>יועמ"ש העיריה- אלון בן זקן</t>
  </si>
  <si>
    <t>רוזן בסיס גיא בן גל</t>
  </si>
  <si>
    <t>אחוז מגביה בפועל</t>
  </si>
  <si>
    <t>מנהלת מח' שומה- דינה באוור</t>
  </si>
  <si>
    <t>צומן, רוקח, לנקרי</t>
  </si>
  <si>
    <t>ברק, גיט, מיסטריאל</t>
  </si>
  <si>
    <t>עודד מהצרי</t>
  </si>
  <si>
    <t>הררי טויסטר ושות'</t>
  </si>
  <si>
    <t>פירשט מזור אדריכלים</t>
  </si>
  <si>
    <t>תכנית המתאר</t>
  </si>
  <si>
    <t xml:space="preserve">אושרה ההצעה עם הציון המשוקלל הגבוה ביותר </t>
  </si>
  <si>
    <t>10 שעות</t>
  </si>
  <si>
    <t>אדריכלית העיר- מיכל שרייבר</t>
  </si>
  <si>
    <t>מנהל מחלקת מבני ציבור- מיכאל זלדין</t>
  </si>
  <si>
    <t>טלי זילבר</t>
  </si>
  <si>
    <t>אריאל מלכה</t>
  </si>
  <si>
    <t>אורבניקס</t>
  </si>
  <si>
    <t>דיאלוג</t>
  </si>
  <si>
    <t>מנהל רשות הספורט- שאול מיטלברג</t>
  </si>
  <si>
    <t>הערות להחלטה</t>
  </si>
  <si>
    <t>סה"כ שכ"ט מאושר להתקשרות  (כולל מע"מ)</t>
  </si>
  <si>
    <t>אושר פה אחד</t>
  </si>
  <si>
    <t>י.מ קרייזל</t>
  </si>
  <si>
    <t>2550032750, 1811000756</t>
  </si>
  <si>
    <t>גפן הנדסה</t>
  </si>
  <si>
    <t>הערות:  שיחת ועידה ב-ZOOM</t>
  </si>
  <si>
    <t>יועץ מורשה נגישות מתו"ס ושירות</t>
  </si>
  <si>
    <t>רכזת נגישות עירונית- אורית בראון</t>
  </si>
  <si>
    <t>90 שעות חודשיות</t>
  </si>
  <si>
    <t>שלמה שוביץ</t>
  </si>
  <si>
    <t>ציבלין פאבליק</t>
  </si>
  <si>
    <t>אחזקה ותפעול</t>
  </si>
  <si>
    <t>יעוץ תחנות הכוח</t>
  </si>
  <si>
    <t>תכנון אסטרטגי ושיתופיות</t>
  </si>
  <si>
    <t>פרויקט מעג"ן- מרפאה בעיסוק</t>
  </si>
  <si>
    <t>12 שעות שבועיות  למשך 10 חודשים</t>
  </si>
  <si>
    <t>פרויקט מעג"ן- קלינאית תקשורת</t>
  </si>
  <si>
    <t>ליאור דה בר</t>
  </si>
  <si>
    <t>אלונה רובין</t>
  </si>
  <si>
    <t>EDU NOW חינוך פורץ גבולות</t>
  </si>
  <si>
    <t>אושרה ההצעה לפי סעיף 3.21 לנוהל התקשרויות</t>
  </si>
  <si>
    <t>סגנית מנהלת אגף קיימות וחדשנות- תמי קצבורג נבנצל</t>
  </si>
  <si>
    <t>ערוגנית</t>
  </si>
  <si>
    <t>אחוז מהשכירות החודשית</t>
  </si>
  <si>
    <t>נורית כספית</t>
  </si>
  <si>
    <t>יוסי ברקי</t>
  </si>
  <si>
    <t>מיקי קרייזל</t>
  </si>
  <si>
    <t>300 שעות</t>
  </si>
  <si>
    <t>עו"ד עופר שפיר</t>
  </si>
  <si>
    <t>מנהל אגף הכנסות- מחי בן אדרת</t>
  </si>
  <si>
    <t>פורטל יעוץ ותכנון</t>
  </si>
  <si>
    <t xml:space="preserve">מנהלת אגף תכנון אסטרטגי ושיתופיות- אופירה מור מזרחי </t>
  </si>
  <si>
    <t xml:space="preserve"> מנהלת אגף  דוברות הסברה ויח"צ -ליעד בראל גיל</t>
  </si>
  <si>
    <t>סכום חודשי</t>
  </si>
  <si>
    <t>הנ"ל בכפוף לבדיקה כי מחיר שכ"ט כולל את התשלומים הסופיים עד למתן תוקף</t>
  </si>
  <si>
    <t>משתתפים: איתי צחר - מנכ"ל העירייה, צביקה דוידי- גזבר, צבי אפרת- ס/גזבר, אילה זיו - נציגת היועמ"ש, רעות סימונס -מ"מ רכזת הוועדה, מהנדסת העיר- עליזה זיידלר גרנות, מנהלים רלוונטים</t>
  </si>
  <si>
    <t>גריאג- הראל מהנדסים</t>
  </si>
  <si>
    <t>הגדלת התקשרות- מדידות כללי</t>
  </si>
  <si>
    <t>יועצת ראש העיר לקידום מעמד האישה</t>
  </si>
  <si>
    <t>טיפ-קון בע"מ</t>
  </si>
  <si>
    <t>עיצוב פנים של 2 פרויקטים: מועדון קהילה גאה+ מועדון נוער דתי</t>
  </si>
  <si>
    <t>דנה רצון</t>
  </si>
  <si>
    <t>שירי פרץ</t>
  </si>
  <si>
    <t>דיאנה שטארק</t>
  </si>
  <si>
    <t>נעשתה פניה ל-6 מציעים</t>
  </si>
  <si>
    <t>החלטה מס' 2020-16-09</t>
  </si>
  <si>
    <t>בהמשך להחלטה 12 מיום 30.10.12 מבקשים הגדלת התקשרות לפי סעיף 3.21 לנוהל התקשרויות. ההגדלה נחוצה עבור: ניטור ובחינת השלכות של תוכניות מאושרות ותוכניות מקודמות, טיפול מחדש בהתנגדויות ושיתוף ציבור ובחינה מחודשת של נושא הגבולות.  בתאריך 6/1/2020 בהחלטה 2020-01-07 הוחלט כי לא מאושר ויש לבחון שנית את ההסכם המקורי ואת תכולת העבודה שכבר הוזמנה וכמו כן את התחומים בהם אין כל שינוי והוגשה לגביהם בקשה להגדלה נוספת. הערה חוזרת לטיפול מהנדסת העיר. לאחר קבלת הבהרות ומסמכים מבקשים להעלות מחדש. הבקשה המקורית שאושרה להתקשרות היתה ע"ס 513,725 כולל מע"מ.</t>
  </si>
  <si>
    <t>החלטה מס' 2020-17-01</t>
  </si>
  <si>
    <t>אורי פדן</t>
  </si>
  <si>
    <t>נאור מימר</t>
  </si>
  <si>
    <t>אבי ששון</t>
  </si>
  <si>
    <t>תיקוני החלטות:</t>
  </si>
  <si>
    <t>החלטה מס' 2021-01-01</t>
  </si>
  <si>
    <t>החלטה מס' 2021-01-03</t>
  </si>
  <si>
    <t>יועמ"ש העיריה-  עו"ד אלון בן זקן</t>
  </si>
  <si>
    <t>ישגב נקדימון</t>
  </si>
  <si>
    <t>שוורץ נרקיס</t>
  </si>
  <si>
    <t>פריץ שפרבר ריינהרץ</t>
  </si>
  <si>
    <t>יצוג העיריה בתביעת לשון הרע ת"א 38338-12-2020</t>
  </si>
  <si>
    <t>החלטה מס' 2021-01-02</t>
  </si>
  <si>
    <t>30 שעות</t>
  </si>
  <si>
    <t>בהמשך להחלטה מס' 2020-15-19 מבקשים הגדלת התקשרות לפי סעיף 3.21 לנוהל התקשרויות, הואיל ועו"ד שפיר מטפל ומסייע לעירייה בכל ההליכים השונים בתחום ההיטלים בסוגיית תיאגוד מפעל המים</t>
  </si>
  <si>
    <t>הגדלת התקשרות- ייעוץ משפטי לאגף הכנסות</t>
  </si>
  <si>
    <t xml:space="preserve"> הגדלת התקשרות- יעוץ לראש העיר בתחום מדיניות  חינוך וקהילה</t>
  </si>
  <si>
    <t>בהמשך להחלטה 2020-18-03 , מבקשים הגדלת התקשרות לפי סעיף 3.21 לנוהל התקשרויות.</t>
  </si>
  <si>
    <t>4 חודשים</t>
  </si>
  <si>
    <t>החלטה מס' 2021-01-04</t>
  </si>
  <si>
    <t>שירה בר</t>
  </si>
  <si>
    <t>הילית קנטור</t>
  </si>
  <si>
    <t>החלטה מס' 2021-01-05</t>
  </si>
  <si>
    <t>מנהלת מחלקת גני ילדים--שירה ברף</t>
  </si>
  <si>
    <t>אנהליה שפר</t>
  </si>
  <si>
    <t>מיכל ברמן</t>
  </si>
  <si>
    <t>הגדלת התקשרות- ניהול ותכלול - הנגשת מקום שאינו בניין</t>
  </si>
  <si>
    <t>רכזת נגישות- אורית בראון</t>
  </si>
  <si>
    <t>החלטה מס' 2020-01-06</t>
  </si>
  <si>
    <t>החלטה מס' 2020-01-07</t>
  </si>
  <si>
    <t>הגדלת התקשרות- יועץ נגישות שוטף למחלקת תחבורה</t>
  </si>
  <si>
    <t>ציפי סלמה</t>
  </si>
  <si>
    <t>מנהל אגף תשתיות פיתוח ובינוי- שמעון גיטליץ</t>
  </si>
  <si>
    <t>בהמשך להחלטה  2019-17-08, מבקשים הגדלת התקשרות לפי סעיף 3.21 לנוהל התקשרויות</t>
  </si>
  <si>
    <t>30 שעות חודשיות למשך שנה</t>
  </si>
  <si>
    <t>בהמשך להחלטה  2018-15-16 , מבקשים הגדלת התקשרות לפי סעיף 3.21 לנוהל התקשרויות הואיל והמציע ביצע בעבר את סקרי הנגישות וכעת יש צורך בפיקוח על הביצוע</t>
  </si>
  <si>
    <t>תיקון החלטה- הגדלת התקשרות- קידום מחודש של תכנית המתאר הכוללנית</t>
  </si>
  <si>
    <t xml:space="preserve">הנ"ל בכפוף להורדת סכום ההצעה למחיר 45,000 ₪ כולל מע"מ וכן הצגת דף פרויקט הכולל תקציב, לו"ז  ותכולת הפרויקט.המציע העביר הצעת נגדית ע"ס 45,000 לפני מעמ ולכן מועלה בשנית. הועדה אישרה את ההצעה </t>
  </si>
  <si>
    <t>בכפוף למתן הנחנ בגובה של 10%</t>
  </si>
  <si>
    <t>מדובר בתביעה ספציפית בה נדרש מומחה בעל ניסיון ברשויות מוניציפאליות ולשון הרע</t>
  </si>
  <si>
    <t>ראש העיר- רפי סער</t>
  </si>
  <si>
    <t>בהמשך להחלטה 2020-14-01 בה אושרה המציעה גיל פולק אשר עזבה בהמשך, לכן מועלה הנושא מחדש.</t>
  </si>
  <si>
    <t>12 שעות שבועיות  למשך 6 חודשים</t>
  </si>
  <si>
    <t>לא מאושר</t>
  </si>
  <si>
    <t>לצורך קבלת החלטת נדרשת התייחסותה/ אישורה של מהנדסת העיר לבקשה</t>
  </si>
  <si>
    <t>פרוטוקול ועדת התקשרויות מס' 2021-01 תאריך: 06/01/2021</t>
  </si>
  <si>
    <t>תיקון החלטה- יעוץ תיעוד מתחמי מתחם משק האוצר</t>
  </si>
  <si>
    <t>שירותי יעוץ נוף</t>
  </si>
  <si>
    <t>מנהלת מחלקת גנים ונוף- עירית מויאל</t>
  </si>
  <si>
    <t>נוי הנדסה</t>
  </si>
  <si>
    <t>לתקופה של שנה</t>
  </si>
  <si>
    <t>פתילת המדבר</t>
  </si>
  <si>
    <t xml:space="preserve"> נשלחה בקשה להצעה ל-5 משרדים. בהמשךלהחלטה 2020-16-07 בה הבקשה לא אושרה, לאחר דיון בנושא, הבקשה מועלית מחדש.</t>
  </si>
  <si>
    <t>החלטה מס' 2021-02-01</t>
  </si>
  <si>
    <t>הגדלת התקשרות - שירותים משפטיים בתחום תעופה ונתיבי טיסה</t>
  </si>
  <si>
    <t>החלטה מס' 2021-02-02</t>
  </si>
  <si>
    <t>עו"ד אבנר ירקוני</t>
  </si>
  <si>
    <t>בהמשך להחלטה מס' 2019-02-04 מבקשים הגדלת התקשרות לפי סעיף 3.21 לנוהל התקשרויות. הואיל ועו"ד ירקוני מייצג את העירייה בכל ההליכים השונים בנושא תעופה.</t>
  </si>
  <si>
    <t>החלטה מס' 2021-02-03</t>
  </si>
  <si>
    <t>יועץ לטיפול בבקשות לתמיכות לשנת 2021</t>
  </si>
  <si>
    <t>החלטה מס' 2021-02-04</t>
  </si>
  <si>
    <t>רכזת תחום לשכת מנכ"ל- רחלי רם</t>
  </si>
  <si>
    <t>מיטל ימין רו"ח</t>
  </si>
  <si>
    <t>טובי קרויזר רו"ח</t>
  </si>
  <si>
    <t>אבישי בר גיל רו"ח</t>
  </si>
  <si>
    <t>החלטה מס' 2021-02-05</t>
  </si>
  <si>
    <t>יועץ לייצוג העירייה בביקורת ניכויים מס הכנסה ובטוח לאומי</t>
  </si>
  <si>
    <t>גולדיאן אריק, רו"ח</t>
  </si>
  <si>
    <t>אילן ברהום רו"ח</t>
  </si>
  <si>
    <t>יעקב זיצר רו"ח</t>
  </si>
  <si>
    <t>ארצי חיבה רו"ח</t>
  </si>
  <si>
    <t>נעשתה פניה ל-5 מציעים</t>
  </si>
  <si>
    <t>נספח ניקוז וניהול נגר עילי - תוכניות התחדשות עירונית ששת הימים וסוקולוב</t>
  </si>
  <si>
    <t>החלטה מס' 2021-02-06</t>
  </si>
  <si>
    <t>צוק הידרולוגיה</t>
  </si>
  <si>
    <t>הידרומודול</t>
  </si>
  <si>
    <t>חגמ</t>
  </si>
  <si>
    <t xml:space="preserve">בהמשך להחלטה  2018-15-16 , מבקשים הגדלת התקשרות לפי סעיף 3.21 לנוהל התקשרויות הואיל והמציע ביצע בעבר את סקרי הנגישות וכעת יש צורך בפיקוח על הביצוע. בהחלטה 2020-01-06 הוחלט כי לצורך קבלת החלטת נדרשת התייחסותה/ אישורה של מהנדסת העיר לבקשה. הנושא נידון ע"י מהנדסת העיר ולכן מועלה מחדש </t>
  </si>
  <si>
    <t>מסמך מדינויות משולש כפר סבא רעננה</t>
  </si>
  <si>
    <t>החלטה מס' 2021-02-08</t>
  </si>
  <si>
    <t>גורדון אדריכלים</t>
  </si>
  <si>
    <t>ארי כהן</t>
  </si>
  <si>
    <t>קורין יחיאל</t>
  </si>
  <si>
    <t>בר לוי דיין</t>
  </si>
  <si>
    <t>דרמן ורבקל</t>
  </si>
  <si>
    <t>החלטה מס' 2021-02-09</t>
  </si>
  <si>
    <t>הקמת מעון יום 3 כיתות ברח' רפפורט- ניהול פרויקט</t>
  </si>
  <si>
    <t>ב.ס מהנדסים</t>
  </si>
  <si>
    <t>אלעזר כהן</t>
  </si>
  <si>
    <t>מריו גולדשטיין</t>
  </si>
  <si>
    <t>ניסים שוקר</t>
  </si>
  <si>
    <t>יהב הנדסה</t>
  </si>
  <si>
    <t>ש.מ.מ. מנהדסים</t>
  </si>
  <si>
    <t>דן רביד</t>
  </si>
  <si>
    <t>פנייתו של גל מרום נפסלה</t>
  </si>
  <si>
    <t>החלטה מס' 2021-02-10</t>
  </si>
  <si>
    <t>גל מהנדסים</t>
  </si>
  <si>
    <t>זאב אבידן</t>
  </si>
  <si>
    <t>אורי אברהמי</t>
  </si>
  <si>
    <t>החלטה מס' 2021-02-11</t>
  </si>
  <si>
    <t>הקמת מעון יום 3 כיתות ברח' רפפורט-יעוץ חשמל</t>
  </si>
  <si>
    <t>סייפטי פוינט</t>
  </si>
  <si>
    <t>אלון בטיחות</t>
  </si>
  <si>
    <t>ברקן יועצים</t>
  </si>
  <si>
    <t>יוסי ברקו</t>
  </si>
  <si>
    <t>לבטח הנדסה</t>
  </si>
  <si>
    <t>מב-לין בע"מ</t>
  </si>
  <si>
    <t>ערן סויקה</t>
  </si>
  <si>
    <t>החלטה מס' 2021-02-12</t>
  </si>
  <si>
    <t>הקמת מעון יום 3 כיתות ברח' רפפורט-יעוץ אינסטלציה</t>
  </si>
  <si>
    <t>אוסמה פרח</t>
  </si>
  <si>
    <t>ל.קיז'נר</t>
  </si>
  <si>
    <t>יצחק ברבי</t>
  </si>
  <si>
    <t>אהוד ויסבורג</t>
  </si>
  <si>
    <t>החלטה מס' 2021-02-13</t>
  </si>
  <si>
    <t>הקמת מעון יום 3 כיתות ברח' רפפורט-יעוץ נגישות</t>
  </si>
  <si>
    <t>אלכס ברגמן</t>
  </si>
  <si>
    <t>אירנה רובין</t>
  </si>
  <si>
    <t>אבי ורשבסקי</t>
  </si>
  <si>
    <t>הקמת מעון יום 3 כיתות ברח' רפפורט-יעוץ כמאות</t>
  </si>
  <si>
    <t>החלטה מס' 2021-02-14</t>
  </si>
  <si>
    <t>דוד יקותיאל</t>
  </si>
  <si>
    <t>מג'יק הנדסה אזרחית בע"מ</t>
  </si>
  <si>
    <t>א.מסינג שירותים בהנדסת בניין</t>
  </si>
  <si>
    <t>החלטה מס' 2021-02-15</t>
  </si>
  <si>
    <t>הקמת מעון יום 3 כיתות ברח' רפפורט-יעוץ מיזוג אוויר</t>
  </si>
  <si>
    <t>רזניק מהנדסים יועצים</t>
  </si>
  <si>
    <t>מאיר לוסקי</t>
  </si>
  <si>
    <t>החלטה מס' 2021-02-16</t>
  </si>
  <si>
    <t>הקמת מעון יום 3 כיתות ברח' רפפורט-יעוץ תנועה</t>
  </si>
  <si>
    <t>בועז גרוס</t>
  </si>
  <si>
    <t>מורן הנדסה</t>
  </si>
  <si>
    <t>החלטה מס' 2021-02-17</t>
  </si>
  <si>
    <t>הקמת מעון יום 3 כיתות ברח' רפפורט-יעוץ אקוסטיקה</t>
  </si>
  <si>
    <t>האקוסטיקאים</t>
  </si>
  <si>
    <t>רזאור הנדסה</t>
  </si>
  <si>
    <t>עד המפתח</t>
  </si>
  <si>
    <t>עדוא יאיר</t>
  </si>
  <si>
    <t>החלטה מס' 2021-02-18</t>
  </si>
  <si>
    <t>הקמת מעון יום 3 כיתות ברח' רפפורט-יעוץ קרינה</t>
  </si>
  <si>
    <t>יאיר מדידות</t>
  </si>
  <si>
    <t>מדידות בע"מ</t>
  </si>
  <si>
    <t>דגש מדידות</t>
  </si>
  <si>
    <t>החלטה מס' 2021-02-19</t>
  </si>
  <si>
    <t>יעוץ שוטף נגישות רישוי עסקים</t>
  </si>
  <si>
    <t>סגנית מנהלת אגף הנדסה לרישוי עסקים ושילוט- רעיה סבירסקי</t>
  </si>
  <si>
    <t>שמר בטיחות והנדסה</t>
  </si>
  <si>
    <t>לבטח הנדסה ובטיחות</t>
  </si>
  <si>
    <t>אי בי אס אדריכלות ועיצוב בע"ע</t>
  </si>
  <si>
    <t>החלטה מס' 2021-02-20</t>
  </si>
  <si>
    <t>יעוץ לעריכת מכרז אחזקת תאורת רחוב עיריית כ"ס</t>
  </si>
  <si>
    <t>מנהל אגף תפעול ואחזקה- זהר מדמון</t>
  </si>
  <si>
    <t>דור ברהום</t>
  </si>
  <si>
    <t>טנדו טכנולוגיות ומערכות ביטחוניות</t>
  </si>
  <si>
    <t>החלטה מס' 2021-02-21</t>
  </si>
  <si>
    <t>הגדלת התקשרות - שירותים משפטיים בתחום דיני העבודה</t>
  </si>
  <si>
    <t>ולדמן סומך עו"ד</t>
  </si>
  <si>
    <t>בהמשך להחלטה מס' 15/2/2017 מבקשים הגדלת התקשרות לפי סעיף 3.21 לנוהל התקשרויות..</t>
  </si>
  <si>
    <t>137.5 שעות</t>
  </si>
  <si>
    <t>40 שעות</t>
  </si>
  <si>
    <t>לפי שעה שותף בכיר</t>
  </si>
  <si>
    <t>לפי שעה עו"ד שכיר</t>
  </si>
  <si>
    <t>יעוץ שוטף ניקוז והידרולוגיה</t>
  </si>
  <si>
    <t>35 שעות חודשיות למשך שנה</t>
  </si>
  <si>
    <t>שכר מומחה - 40% מהשעות</t>
  </si>
  <si>
    <t>שכר מהנדס - 60% מהשעות</t>
  </si>
  <si>
    <t>ה.מ.ד.י</t>
  </si>
  <si>
    <t>מיאר 2013</t>
  </si>
  <si>
    <t>ליגם</t>
  </si>
  <si>
    <t>הוגשו מספר הצעות נוספות אשר אינן עומדות בקריטריון של עבודה מול רשויות מקומיות</t>
  </si>
  <si>
    <t>מאושר כרגע בנק של 100 שעות סה"כ לפי מחיר שעתי של 150 פלוס מע"מ. כמו כן, תתבצע הסדרה של הנושא ע"י מנהל האגף לצורך הסדרת הנושא</t>
  </si>
  <si>
    <t xml:space="preserve">לא מאושר </t>
  </si>
  <si>
    <t>סגנית גזבר-אורית דנאי גנדל</t>
  </si>
  <si>
    <t>פרוטוקול ועדת התקשרויות מס' 2021-02 תאריך: 25/01/2021</t>
  </si>
  <si>
    <t>למשך שנה</t>
  </si>
  <si>
    <t>לאחר חודש תבוצע הבהרה עבור היקף העבודה הנדרשת</t>
  </si>
  <si>
    <r>
      <t xml:space="preserve">אושרה ההצעה עם הציון המשוקלל הגבוה ביותר לתקופה של </t>
    </r>
    <r>
      <rPr>
        <b/>
        <sz val="10"/>
        <color rgb="FF00B050"/>
        <rFont val="Arial"/>
        <family val="2"/>
      </rPr>
      <t>חודש</t>
    </r>
  </si>
  <si>
    <r>
      <t>אושרה ההצעה עם הציון המשוקלל הגבוה ביותר לתקופה של</t>
    </r>
    <r>
      <rPr>
        <b/>
        <sz val="10"/>
        <color rgb="FF00B050"/>
        <rFont val="Arial"/>
        <family val="2"/>
      </rPr>
      <t xml:space="preserve"> 4 חודשים</t>
    </r>
    <r>
      <rPr>
        <b/>
        <sz val="10"/>
        <rFont val="Arial"/>
        <family val="2"/>
      </rPr>
      <t>. במקביל יתבצע תהליך יציאה למכרז</t>
    </r>
  </si>
  <si>
    <t>הקמת מעון יום 3 כיתות ברח' רפפורט-יעוץ בטיחות</t>
  </si>
  <si>
    <t>בכפוף למתן הנחה בגובה של 5%.  לאור ההחלטה נעשתה פניה למציע לבקשת הנחה וזה אישר את גובה ההנחה. הוצגה לועדה הצעה מתוקנת. הועדה אישרה את הבקשה</t>
  </si>
  <si>
    <r>
      <t>נדרשות הבהרות יועמ"ש מול גזבר העיריה לגבי התמונה הכוללת ביחס ליצוג המשפטי , תמונת העבר , אבני דרך. לאחר העברת ההבהרות הנדרשות לגזבר העיריה, הוחלט כי</t>
    </r>
    <r>
      <rPr>
        <b/>
        <sz val="10"/>
        <color rgb="FF00B050"/>
        <rFont val="Arial"/>
        <family val="2"/>
      </rPr>
      <t xml:space="preserve"> מאושרת התקשרות עם עו"ד אבנר ירקוני למשך תקופה של 3 חודשים</t>
    </r>
    <r>
      <rPr>
        <b/>
        <sz val="10"/>
        <rFont val="Arial"/>
        <family val="2"/>
      </rPr>
      <t xml:space="preserve">, בעלות כוללת של 6000 ₪ כולל מע"מ.
בתקופת 3 החודשים הנ"ל יערך הליך הזמנה להציע הצעות לכלל משרדי עורכי הדין המצויים במאגר המציעים של העירייה בתחום התעופה.
</t>
    </r>
  </si>
  <si>
    <t>הערות:  לאור הדחיפות מועבר בסבב מיילים</t>
  </si>
  <si>
    <t>החלטה מס' 2021-03-01</t>
  </si>
  <si>
    <t>תכנון נופי- מתחם נינג'ה</t>
  </si>
  <si>
    <t>סגן מנהל אגף חזות העיר- אורן וולשטיין</t>
  </si>
  <si>
    <t>צוור וולף אדריכלות</t>
  </si>
  <si>
    <t>אורבנוף סטודיו</t>
  </si>
  <si>
    <t>Y.S.L.A LTD</t>
  </si>
  <si>
    <t>תב"ר מתקני משחק</t>
  </si>
  <si>
    <t>בכפוף למתן הנחה בגובה של 10%. הייתה פנייה לספק הזוכה לנוכח המחיר הנמוך ממילא לא תהיה הנחה- מבקשים לאשר ללא ההנחה</t>
  </si>
  <si>
    <t>תבוצע פניה לבקשת הנחה  של 10%. הייתה פנייה לספק הזוכה . הספק אישר את מתן ההנחה</t>
  </si>
  <si>
    <t>נדרשות הבהרות יועמ"ש מול גזבר העיריה לגבי התמונה הכוללת ביחס ליצוג המשפטי , תמונת העבר , אבני דרך.הנושא לא אושר,  מבוקש לצאת למכרז עם הגדרת זמן קצוב</t>
  </si>
  <si>
    <t>מנהל חזות העיר- אודי להב</t>
  </si>
  <si>
    <t>לתקופה של 4 חודשים</t>
  </si>
  <si>
    <t>הגדלת התקשרות- ליווי ופיקוח על ביצוע התקשרויות מול קבלני ניקיון וטיאוט</t>
  </si>
  <si>
    <t xml:space="preserve">בהמשך להחלטה  12.11.16 , מבקשים הגדלת התקשרות לפי סעיף 3.21 לנוהל התקשרויות הואיל ומכרז 18/2016 הוארך עד לתאריך 30.4.2021 ואילו הסכם הייעוץ הסתיים בתאריך 31.12.2020
</t>
  </si>
  <si>
    <t>החלטה מס' 2021-03-02</t>
  </si>
  <si>
    <t>החלטה מס' 2021-02-07</t>
  </si>
  <si>
    <t>המציע כולל את כל צוות היועצים, הסכום הכולל לשתי הרשויות עבור הצעה זו הוא 576,810 ₪. עיריית כפר סבא משלמת 50% מהסכום</t>
  </si>
  <si>
    <t>יועץ  הידרולוג לקול קורא לשטחים פתוחים</t>
  </si>
  <si>
    <t>אמפיביו</t>
  </si>
  <si>
    <t>אקו סייקל</t>
  </si>
  <si>
    <t>גיאוטבע</t>
  </si>
  <si>
    <t>לביא נטוף אלגביש</t>
  </si>
  <si>
    <t>הגדלת התקשרות- תכנית אב אסטרטגית לספורט ולתרבות הפנאי</t>
  </si>
  <si>
    <t>דקל ספורט</t>
  </si>
  <si>
    <t xml:space="preserve"> מבקשים הגדלת התקשרות לפי סעיף 3.21 לנוהל התקשרויות הואיל ויש צורך בתיקוף ועדכון תכנית האב</t>
  </si>
  <si>
    <t>החלטה מס' 2021-04-01</t>
  </si>
  <si>
    <t>החלטה מס' 2021-04-02</t>
  </si>
  <si>
    <t>החלטה מס' 2021-04-03</t>
  </si>
  <si>
    <t>283023/ 283022</t>
  </si>
  <si>
    <t>בועז יגוז'ינסקי</t>
  </si>
  <si>
    <t>הצבת מבנה שירותים במגרש כדורגל גאולים - יעוץ אדריכלי (כולל כל היועצים)</t>
  </si>
  <si>
    <t>החלטה מס' 2021-04-04</t>
  </si>
  <si>
    <t>הקמת בי"ס יסודי 18 כיתות בשכונת כס/18- מנהל פרויקט</t>
  </si>
  <si>
    <t>לפי אחוז</t>
  </si>
  <si>
    <t xml:space="preserve">היקף פרויקט 25,000,000 ₪ </t>
  </si>
  <si>
    <t>ש.מ.מ מהנדסים</t>
  </si>
  <si>
    <t>לודן תשתיות</t>
  </si>
  <si>
    <t>א.ג.מ</t>
  </si>
  <si>
    <t>אורהד מהנדסים</t>
  </si>
  <si>
    <t>החלטה מס' 2021-04-05</t>
  </si>
  <si>
    <t>הקמת בי"ס יסודי 18 כיתות בשכונת כס/18- יעוץ קונסטרוקציה</t>
  </si>
  <si>
    <t>מצוק מהנדסים</t>
  </si>
  <si>
    <t>י.ש. למעי</t>
  </si>
  <si>
    <t>רועי קלע מהנדסים</t>
  </si>
  <si>
    <t>אלכס כצמן</t>
  </si>
  <si>
    <t>רפי אנונו</t>
  </si>
  <si>
    <t>דניאל אהרון</t>
  </si>
  <si>
    <t>הקמת בי"ס יסודי 18 כיתות בשכונת כס/18- יעוץ חשמל</t>
  </si>
  <si>
    <t>משה איובי</t>
  </si>
  <si>
    <t>שלמה שיוביץ</t>
  </si>
  <si>
    <t>ג.ב. מהנדסים</t>
  </si>
  <si>
    <t>החלטה מס' 2021-04-06</t>
  </si>
  <si>
    <t>הקמת בי"ס יסודי 18 כיתות בשכונת כס/18- יעוץ בטיחות</t>
  </si>
  <si>
    <t>דרך ארץ</t>
  </si>
  <si>
    <t>חסן אבו אלחסן</t>
  </si>
  <si>
    <t>גלטל בטיחות</t>
  </si>
  <si>
    <t>לבטח בטיחות</t>
  </si>
  <si>
    <t>בועז ברק</t>
  </si>
  <si>
    <t>החלטה מס' 2021-04-07</t>
  </si>
  <si>
    <t>הקמת בי"ס יסודי 18 כיתות בשכונת כס/18- יעוץ אינסטלציה</t>
  </si>
  <si>
    <t>ש.עגנון ושות בע"מ</t>
  </si>
  <si>
    <t>אוסאמה פרח</t>
  </si>
  <si>
    <t>אהוד ויסברג</t>
  </si>
  <si>
    <t>החלטה מס' 2021-04-08</t>
  </si>
  <si>
    <t>הקמת בי"ס יסודי 18 כיתות בשכונת כס/18- יעוץ נגישות</t>
  </si>
  <si>
    <t>החלטה מס' 2021-04-09</t>
  </si>
  <si>
    <t>הקמת בי"ס יסודי 18 כיתות בשכונת כס/18- יעוץ קרקע וביסוס</t>
  </si>
  <si>
    <t>אינג' מ.יוגר בע"מ</t>
  </si>
  <si>
    <t>זליו דיאמנדי</t>
  </si>
  <si>
    <t>ג'רמי גאוטכני קה</t>
  </si>
  <si>
    <t>דורון אשל</t>
  </si>
  <si>
    <t>א.גיאומכניקה</t>
  </si>
  <si>
    <t>החלטה מס' 2021-04-10</t>
  </si>
  <si>
    <t>הקמת בי"ס יסודי 18 כיתות בשכונת כס/18- מודד מוסמך</t>
  </si>
  <si>
    <t>גיוסי עבד אלמונעם</t>
  </si>
  <si>
    <t>תלאווי מדידות</t>
  </si>
  <si>
    <t>חי הנדסה גיאודטית</t>
  </si>
  <si>
    <t>אור חי ציון</t>
  </si>
  <si>
    <t>החלטה מס' 2021-04-11</t>
  </si>
  <si>
    <t>הקמת בי"ס יסודי 18 כיתות בשכונת כס/18- יעוץ מעליות</t>
  </si>
  <si>
    <t>לברוב הנדסת מעליות</t>
  </si>
  <si>
    <t>ש.לוסטינג</t>
  </si>
  <si>
    <t>הולץ קרסנר מהדסים בע"מ</t>
  </si>
  <si>
    <t>אל רום</t>
  </si>
  <si>
    <t>אייל אפרתי</t>
  </si>
  <si>
    <t>שנע- דני ברנע</t>
  </si>
  <si>
    <t>החלטה מס' 2021-04-12</t>
  </si>
  <si>
    <t>הקמת בי"ס יסודי 18 כיתות בשכונת כס/18- יעוץ אדריכל נוף</t>
  </si>
  <si>
    <t>צור וולף אדריכלי נוף</t>
  </si>
  <si>
    <t>דפנה תמיר</t>
  </si>
  <si>
    <t>גרשטיין קרני</t>
  </si>
  <si>
    <t>החלטה מס' 2021-04-13</t>
  </si>
  <si>
    <t>החלטה מס' 2021-04-14</t>
  </si>
  <si>
    <t>הקמת בי"ס יסודי 18 כיתות בשכונת כס/18- יעוץ כמאות</t>
  </si>
  <si>
    <t>יעקב גרינברג</t>
  </si>
  <si>
    <t>א.מסינג</t>
  </si>
  <si>
    <t>החלטה מס' 2021-04-15</t>
  </si>
  <si>
    <t>הקמת בי"ס יסודי 18 כיתות בשכונת כס/18- יעוץ איטום</t>
  </si>
  <si>
    <t>גלאור מהנדסים</t>
  </si>
  <si>
    <t>הקמת בי"ס יסודי 18 כיתות בשכונת כס/18- יעוץ מיזוג אויר</t>
  </si>
  <si>
    <t>אסא אהרוני</t>
  </si>
  <si>
    <t>ויסוקר שטרן</t>
  </si>
  <si>
    <t>החלטה מס' 2021-04-16</t>
  </si>
  <si>
    <t>החלטה מס' 2021-04-17</t>
  </si>
  <si>
    <t>הקמת בי"ס יסודי 18 כיתות בשכונת כס/18- יעוץ תנועה</t>
  </si>
  <si>
    <t>עופר רוכוולד</t>
  </si>
  <si>
    <t>שי מורן</t>
  </si>
  <si>
    <t>החלטה מס' 2021-04-18</t>
  </si>
  <si>
    <t>הקמת בי"ס יסודי 18 כיתות בשכונת כס/18- יעוץ אקוסטיקה</t>
  </si>
  <si>
    <t>א. עדי אקוסטיקה</t>
  </si>
  <si>
    <t>מ.ג אקוסטיקה</t>
  </si>
  <si>
    <t>החלטה מס' 2021-04-19</t>
  </si>
  <si>
    <t>הקמת בי"ס יסודי 18 כיתות בשכונת כס/18- יעוץ אלומיניום</t>
  </si>
  <si>
    <t>רוט עמית</t>
  </si>
  <si>
    <t>שרון אוחנה</t>
  </si>
  <si>
    <t>לנדמן אלומיניום</t>
  </si>
  <si>
    <t>א.מ.ט טליסמן הנדסה בע"מ</t>
  </si>
  <si>
    <t>החלטה מס' 2021-04-20</t>
  </si>
  <si>
    <t>הקמת בי"ס יסודי 18 כיתות בשכונת כס/18- יעוץ בידוד</t>
  </si>
  <si>
    <t>ILGBC member</t>
  </si>
  <si>
    <t>אברגרין</t>
  </si>
  <si>
    <t>WAWA אדריכלות</t>
  </si>
  <si>
    <t>גולד הנדסה</t>
  </si>
  <si>
    <t>החלטה מס' 2021-04-21</t>
  </si>
  <si>
    <t>הקמת בי"ס יסודי 18 כיתות בשכונת כס/18- יעוץ תיאום מערכות</t>
  </si>
  <si>
    <t>א.ד.ו תכנון והנדסה בע"מ</t>
  </si>
  <si>
    <t>זיגורט תיאום</t>
  </si>
  <si>
    <t>מימוני הנדסה</t>
  </si>
  <si>
    <t>החלטה מס' 2021-04-22</t>
  </si>
  <si>
    <t>הקמת בי"ס יסודי 18 כיתות בשכונת כס/18- יעוץ קרינה</t>
  </si>
  <si>
    <t>מדידות מאיר</t>
  </si>
  <si>
    <t>החלטה מס' 2021-04-23</t>
  </si>
  <si>
    <t>הקמת בי"ס יסודי 18 כיתות בשכונת כס/18- יעוץ בניה ירוקה</t>
  </si>
  <si>
    <t>נעמי גלברט</t>
  </si>
  <si>
    <t>ויטל הררי מתכננים ויועצים</t>
  </si>
  <si>
    <t>גרינר קיימות</t>
  </si>
  <si>
    <t xml:space="preserve">אלתר תכנון </t>
  </si>
  <si>
    <t>החלטה מס' 2021-04-24</t>
  </si>
  <si>
    <t>הקמת בי"ס יסודי 18 כיתות בשכונת כס/18- יעוץ מיגון</t>
  </si>
  <si>
    <t>א-ס.י.פ.ה בע"מ</t>
  </si>
  <si>
    <t>ארז מריומה</t>
  </si>
  <si>
    <t>קאמן יעוץ מיגון</t>
  </si>
  <si>
    <t>החלטה מס' 2021-04-25</t>
  </si>
  <si>
    <t>הגדלת התקשרות- תכנית כס/ 21/ד'/1  (דרום 531 תעסוקה)</t>
  </si>
  <si>
    <t>אבירם אדריכלים בע"מ</t>
  </si>
  <si>
    <t xml:space="preserve"> בהמשך להחלטה 2018-09-02 מבקשים הגדלת התקשרות לפי סעיף 3.21 לנוהל התקשרויות הואיל והועדה המחוזית דרישות נוספות לתכנית.</t>
  </si>
  <si>
    <t>החלטה מס' 2021-04-26</t>
  </si>
  <si>
    <t>יעוץ שמאי לתכנית השימור</t>
  </si>
  <si>
    <t>יעקב צפריר</t>
  </si>
  <si>
    <t>עודד לנדאו</t>
  </si>
  <si>
    <t>גלית אציל לצור</t>
  </si>
  <si>
    <t>איל סלינג'ר</t>
  </si>
  <si>
    <t>החלטה מס' 2021-04-27</t>
  </si>
  <si>
    <t>יועץ לשילוט</t>
  </si>
  <si>
    <t>מחלקת מחלקת שילוט- רחלי תורג'מן</t>
  </si>
  <si>
    <t>מחשבת ישראל</t>
  </si>
  <si>
    <t xml:space="preserve"> 70 שעות חודשיות תקופה של 8 חודשים</t>
  </si>
  <si>
    <t>תמיר נגר</t>
  </si>
  <si>
    <t>שרון דנצינגר</t>
  </si>
  <si>
    <t>פרוטוקול ועדת התקשרויות מס' 2021-04 תאריך: 16/02/2021</t>
  </si>
  <si>
    <t>יש להציג לועדה את תכולת העבודה המבוקשת וכן אבני דרך</t>
  </si>
  <si>
    <t>סדר יום ועדת התקשרויות מס' 2021-05 תאריך: 23/02/2021</t>
  </si>
  <si>
    <t>חידוש והחייאת רחוב ויצמן במסגרת פרויקט מהיר לעיר</t>
  </si>
  <si>
    <t>אורנה אנג'ל</t>
  </si>
  <si>
    <t>72 שעות</t>
  </si>
  <si>
    <t xml:space="preserve">ספק יחיד לנוכח הנסיון הרב  שלה בפרוייקטים עירוניים  מסוג זה </t>
  </si>
  <si>
    <t>פרוטוקול ועדת התקשרויות מס' 2021-03 תאריך: 03/02/2021</t>
  </si>
  <si>
    <t>החלטה מס' 2021-05-01</t>
  </si>
  <si>
    <t>החלטה מס' 2021-05-02</t>
  </si>
  <si>
    <t>Zen city</t>
  </si>
  <si>
    <t>שירות ניתוח צרכי תושבים</t>
  </si>
  <si>
    <t>סכום שנתי בהיקף של 72,000 ₪ לפני מע"מ</t>
  </si>
  <si>
    <t>מבוקש פיילוט לתקופה של חצי שנה</t>
  </si>
  <si>
    <t>מדובר בספק יחיד בעל מומחיות ייחודית לתחומו ולכן בשלב ראשון יבוצע פיילוט לתקופה של חצי שנה</t>
  </si>
  <si>
    <t>החלטה מס' 2021-05-03</t>
  </si>
  <si>
    <t>נספח מיקרו אקלים- תכנית התחדשות עירונית ששת הימים</t>
  </si>
  <si>
    <t xml:space="preserve">יוזמות </t>
  </si>
  <si>
    <t xml:space="preserve"> E.S.D פיתוח סביבה וקיימות בע"מ</t>
  </si>
  <si>
    <t>רוניק טורק</t>
  </si>
  <si>
    <t>מבוקשת  הנחה בגובה 10% וכן עדכון לאחר רישום במאגר היועצים. לאור ההחלטה נעשתה פניה למציע לבקשת הנחה וזה אישר את גובה ההנחה. הוצגה לועדה הצעה מתוקנת. הועדה אישרה את הבקשה</t>
  </si>
  <si>
    <t>בכפוף למתן הנחה בגובה 10%.  לאור ההחלטה נעשתה פניה למציע לבקשת הנחה וזה אישר את גובה ההנחה. הוצגה לועדה הצעה מתוקנת. הועדה אישרה את הבקשה</t>
  </si>
  <si>
    <r>
      <t>החל</t>
    </r>
    <r>
      <rPr>
        <b/>
        <sz val="12"/>
        <color rgb="FF000000"/>
        <rFont val="Arial"/>
        <family val="2"/>
      </rPr>
      <t>טה מס' 2021-05-04</t>
    </r>
  </si>
  <si>
    <t xml:space="preserve">המציע המבוקש נבחר במסגרת תחרות אדריכלים </t>
  </si>
  <si>
    <t>הקמת בי"ס יסודי 18 כיתות בשכונת כס/18- תכנון אדריכלי</t>
  </si>
  <si>
    <t>אסף לרמן</t>
  </si>
  <si>
    <t xml:space="preserve">היקף פרויקט 24,440,000 ₪ </t>
  </si>
  <si>
    <t>מושלי אדלר</t>
  </si>
  <si>
    <t>רן בלנדר</t>
  </si>
  <si>
    <t>חן שליטא (אלפא)</t>
  </si>
  <si>
    <t>החלטה מס' 2021-06-01</t>
  </si>
  <si>
    <t>הגדלת התקשרות- יעוץ אדריכלי לתב"ע ושינוי יעוד+ תכנון מפורט ל-2 מבני תנועות נוער</t>
  </si>
  <si>
    <t>244013, 295002, 295003</t>
  </si>
  <si>
    <r>
      <t>החל</t>
    </r>
    <r>
      <rPr>
        <b/>
        <sz val="12"/>
        <color rgb="FF000000"/>
        <rFont val="Arial"/>
        <family val="2"/>
      </rPr>
      <t>טה מס' 2021-06-02</t>
    </r>
  </si>
  <si>
    <t>מסוף תח"צ- עתיר ידע- מנהל פרויקט</t>
  </si>
  <si>
    <t>קורן גואטה</t>
  </si>
  <si>
    <t xml:space="preserve">היקף פרויקט 4,700,000 ₪ </t>
  </si>
  <si>
    <t>עמי יפה</t>
  </si>
  <si>
    <t>ארז רובינשטיין</t>
  </si>
  <si>
    <t>זמיר גת</t>
  </si>
  <si>
    <t>1001330638, 1001330658, 1001013479</t>
  </si>
  <si>
    <t>החלטה מס' 2021-06-03</t>
  </si>
  <si>
    <t>יעוץ תנועה- הסדרת גישה לכלי רכב למגרש כדורגל הפועל עליה מרח' בגין</t>
  </si>
  <si>
    <t>מורן הנדסת דרכים</t>
  </si>
  <si>
    <t>נתן תומר הנדסה</t>
  </si>
  <si>
    <t>לוי שטרק זילברשטיין</t>
  </si>
  <si>
    <t>בהמשך להחלטה 2021-04-27 בה ההחלטה לא אושרה, מועלה מחדש לקבלת הבהרות</t>
  </si>
  <si>
    <t>החלטה מס' 2021-06-04</t>
  </si>
  <si>
    <r>
      <t>החל</t>
    </r>
    <r>
      <rPr>
        <b/>
        <sz val="12"/>
        <color rgb="FF000000"/>
        <rFont val="Arial"/>
        <family val="2"/>
      </rPr>
      <t>טה מס' 2021-06-05</t>
    </r>
  </si>
  <si>
    <t>מנהל מחלקת היטלים- דניאל פומרנץ</t>
  </si>
  <si>
    <t>א.ר.א.ב בונוס</t>
  </si>
  <si>
    <t>עו"ד יוסי שקד</t>
  </si>
  <si>
    <t>בר טכנולוגיות</t>
  </si>
  <si>
    <t>בהמשך להחלטה 2018-15-17 , מבקשים הגדלת התקשרות לפי סעיף 3.21 לנוהל התקשרויות ל-3 ההצעות הנ"ל הואיל ובוצעה הפתחת אחוז שכ"ט מ-11.8% ל-10%</t>
  </si>
  <si>
    <r>
      <t>החל</t>
    </r>
    <r>
      <rPr>
        <b/>
        <sz val="12"/>
        <color rgb="FF000000"/>
        <rFont val="Arial"/>
        <family val="2"/>
      </rPr>
      <t>טה מס' 2021-06-06</t>
    </r>
  </si>
  <si>
    <t>בהמשך להחלטה 2020-01-24 , מבקשים הגדלת התקשרות לפי סעיף 3.21 לנוהל התקשרויות לכלל ההצעות הנ"ל הואיל ובוצעה הפתחת אחוז שכ"ט מ-13% ל-10%</t>
  </si>
  <si>
    <t>החלטה מס' 2021-06-07</t>
  </si>
  <si>
    <t>מערכת לניהול תביעות ביטוח</t>
  </si>
  <si>
    <t>מנהל מחלקת ביטוחים- דודו דוידוביץ</t>
  </si>
  <si>
    <t xml:space="preserve">סכום חודשי </t>
  </si>
  <si>
    <t>החלטה מס' 2021-06-08</t>
  </si>
  <si>
    <t>מערכת לתכנון וניהול תכנית עבודה ותקציב</t>
  </si>
  <si>
    <t>טופ סולושנס</t>
  </si>
  <si>
    <t>סכום קבוע למשך שנה</t>
  </si>
  <si>
    <t>קומיוגן</t>
  </si>
  <si>
    <t>נעשתה פניה ל-4 מציעים</t>
  </si>
  <si>
    <t>החלטה מס' 2021-06-09</t>
  </si>
  <si>
    <t>יועץ דשא למגרשי הכדורגל בעיר</t>
  </si>
  <si>
    <t>ש.ר בנימינה</t>
  </si>
  <si>
    <t>אהרון ברגר אגרונום</t>
  </si>
  <si>
    <t>בהט פבזנר אגרונום</t>
  </si>
  <si>
    <t>החלטה מס' 2021-06-10</t>
  </si>
  <si>
    <t>בדיקת חשבונות קבלן ועדכון מכרז בהתאם</t>
  </si>
  <si>
    <t>T.M.R ניהול פרויקטים</t>
  </si>
  <si>
    <t>החלטה מס' 2021-06-11</t>
  </si>
  <si>
    <t>בדיקת להחזרי כספים בגין התחשבנויות עם ביטוח לאומי ומס הכנסה</t>
  </si>
  <si>
    <t>אחוז ע"ב הצלחה</t>
  </si>
  <si>
    <t>המציע אשר זכה בוועדת התקשרויות, ע"ס הצעות מחיר, בייצוג העירייה מול שלטונות המס בביקורת מס הכנסה , מציע ביצוע בדיקות לזכאות להחזר כספי מס שהעירייה שילמה ביתר על בסיס הצלחה</t>
  </si>
  <si>
    <t>החלטה מס' 2021-06-12</t>
  </si>
  <si>
    <t>ניסוח מסמכי מרכז שירותים משפטיים חיצוניים</t>
  </si>
  <si>
    <t>אמסטר רן- יה, משרד עו"ד</t>
  </si>
  <si>
    <t>נעשתה פניה ל-3 מציעים. כמו כן, למציע זה ניסיון וידע מקצועי בנושא ניסוח מכרזים.</t>
  </si>
  <si>
    <t>החלטה מס' 2021-06-13</t>
  </si>
  <si>
    <t>הגדלת התקשרות- יעוץ לועדה המקומית בעררי תכנון ובניה בפני ועדת הערר המחוזית</t>
  </si>
  <si>
    <t>החלטה מס' 2021-06-15</t>
  </si>
  <si>
    <t>הגדלת התקשרות- מנהל ניו מדיה</t>
  </si>
  <si>
    <t>חודש</t>
  </si>
  <si>
    <t>עינת כהן</t>
  </si>
  <si>
    <t>ענת מרומי</t>
  </si>
  <si>
    <t>יועץ תקשורת ופרסום</t>
  </si>
  <si>
    <t>החלטה מס' 2021-06-16</t>
  </si>
  <si>
    <t>החלטה מס' 2021-06-14</t>
  </si>
  <si>
    <t>הכנת חוות דעת והליך אישורה מול משרד הפנים</t>
  </si>
  <si>
    <t>אליאס בן אריה משרד עורכי דין</t>
  </si>
  <si>
    <t>מדובר על הליך פרה רולינג מול משרד הפנים, הליך שייעשה בצורה יעילה ומקצועית, כיון שהמשרד מייצג את מרכז השלטון המקומי. עקב כך מדובר בספק יחיד</t>
  </si>
  <si>
    <t>החלטה מס' 2021-06-17</t>
  </si>
  <si>
    <t>עו"ד גיל מיכלס</t>
  </si>
  <si>
    <t>עניאל סיקליאר משרד עורכי דין</t>
  </si>
  <si>
    <t>ריטיינר בתחום מתן שירותים משפטיים בתחום נזיקין וביטוח</t>
  </si>
  <si>
    <t>עו"ד גלית דיגמי</t>
  </si>
  <si>
    <t>אירית גרימברג</t>
  </si>
  <si>
    <t>10%+ 2% במידה ויהיו עלויות משפטיות או תשלום משפטי בפועל, הנמוך מבינהם</t>
  </si>
  <si>
    <t>החלטה מס' 2021-06-18</t>
  </si>
  <si>
    <t>יועץ שירותי בקרה והתחשבנות  בנושא אג"ח</t>
  </si>
  <si>
    <t>מנהלת מחלקת כספים אגף חינוך- דריה אלקינד</t>
  </si>
  <si>
    <t>רון פישמן ושות'</t>
  </si>
  <si>
    <t>אחוז מהיקף העבודה</t>
  </si>
  <si>
    <t>התקשרות על בסיס הצלחה</t>
  </si>
  <si>
    <t>שחף בע"מ</t>
  </si>
  <si>
    <t xml:space="preserve">נעשתה פניה ל- 4 מציעים </t>
  </si>
  <si>
    <t>בכפוף למתן הנחה בגובה 12%</t>
  </si>
  <si>
    <t>פרוטוקול ועדת התקשרויות מס' 2021-06 תאריך: 04/04/2021</t>
  </si>
  <si>
    <t>תיקון התקשרות-יועץ העמקת גבייה היטלי פיתוח</t>
  </si>
  <si>
    <t>תיקון התקשרות-העמקת גביית ארנונה במרחב העיר כ"ס</t>
  </si>
  <si>
    <t>אושר האחוז השכ"ט המופחת</t>
  </si>
  <si>
    <t>10% מגביה בפועל</t>
  </si>
  <si>
    <r>
      <t xml:space="preserve">אושרה ההצעה לפי סעיף 3.21 לנוהל התקשרויות לתקופה  של </t>
    </r>
    <r>
      <rPr>
        <b/>
        <sz val="10"/>
        <color rgb="FF00B050"/>
        <rFont val="Arial"/>
        <family val="2"/>
      </rPr>
      <t>חודשיים</t>
    </r>
  </si>
  <si>
    <t>10% אחוז מהיקף העבודה</t>
  </si>
  <si>
    <t>בכפוף להורדת אחוז השכ"ט ל-3.1%.לאור ההחלטה נעשתה פניה למציע לבקשת הנחה וזה העביר הצעה נגדית בגובה  3.3% . הוצגה לועדה הצעה מתוקנת. הועדה אישרה את הבקשה</t>
  </si>
  <si>
    <t>מנהל מחלקת עבודות ציבוריות- אנדרס מלינקביץ</t>
  </si>
  <si>
    <t>הועבר לרעיה</t>
  </si>
  <si>
    <t>בכפוף למתן הנחה בגובה 10%. לאור ההחלטה נעשתה פניה למציע לבקשת הנחה וזה אישר הנחה בגובה 30,000 שח. הוצגה לועדה הצעה מתוקנת. הועדה אישרה את הבקשה</t>
  </si>
  <si>
    <t>בכפוף לקיבוע מחיר שנתי ל-5 שנים</t>
  </si>
  <si>
    <t>בכפוף להורדת אחוז השכ"ט ל-2.1%. לאור ההחלטה נעשתה פניה למציע לבקשת הנחה וזה אישר את גובה ההנחה. הוצגה לועדה הצעה מתוקנת. הועדה אישרה את הבקשה</t>
  </si>
  <si>
    <t>בכפוף למתן הנחה בגובה 5%. לאור ההחלטה נעשתה פניה למציע לבקשת הנחה וזה אישר את גובה ההנחה. הוצגה לועדה הצעה מתוקנת. הועדה אישרה את הבקשה</t>
  </si>
  <si>
    <t>בכפוף למתן הנחה בגובה 5% וכן עדכון לאחר רישום במאגר היועצים. לאור ההחלטה נעשתה פניה למציע לבקשת הנחה וזה אישר את גובה ההנחה. הוצגה לועדה הצעה מתוקנת. הועדה אישרה את הבקשה</t>
  </si>
  <si>
    <t>בכפוף למתן הנחה בגובה 5% וכן עדכון לאחר רישום במאגר היועצים.לאור ההחלטה נעשתה פניה למציע לבקשת הנחה וזה אישר את גובה ההנחה. הוצגה לועדה הצעה מתוקנת. הועדה אישרה את הבקשה</t>
  </si>
  <si>
    <t>אורי ענבל</t>
  </si>
  <si>
    <t>ביטלמן אדריכלים</t>
  </si>
  <si>
    <t>אי די מהנדסים</t>
  </si>
  <si>
    <t>פרוטוקול ועדת התקשרויות מס' 2021-07 תאריך: 13/04/2021</t>
  </si>
  <si>
    <t>הגדלת התקשרות- ייעוץ ותכנון אקוסטיקה לכיתות שמע במוסדות חינוך</t>
  </si>
  <si>
    <t>אורית בראון- מנהלת נגישות עירונית</t>
  </si>
  <si>
    <t xml:space="preserve">בהמשך להחלטה 2020-08-02 , מבקשים הגדלת התקשרות לפי סעיף 3.21 לנוהל התקשרויות </t>
  </si>
  <si>
    <t>החלטה מס' 2021-07-01</t>
  </si>
  <si>
    <t>בהמשך להחלטה 2021-01-04 , מבקשים הגדלת התקשרות לפי סעיף 3.21 לנוהל התקשרויות.</t>
  </si>
  <si>
    <t>החלטה מס' 2021-07-02</t>
  </si>
  <si>
    <t>מנהלת אגף חינוך- אסנת חכמון</t>
  </si>
  <si>
    <t>בהמשך להחלטה 2021-02-19 בה אושר המציע לתקופה של חודש ימים, הנושא מועלה מחדש</t>
  </si>
  <si>
    <t>החלטה מס' 2021-07-03</t>
  </si>
  <si>
    <t>החלטה מס' 2021-07-04</t>
  </si>
  <si>
    <t>ייצוג משפטי של העירייה בעתירת בחירות</t>
  </si>
  <si>
    <t>400 ₪ לשעה עד לתקרה של 15,000 ₪</t>
  </si>
  <si>
    <t>שרקון, בן עמי ושות'</t>
  </si>
  <si>
    <t>גולדפרב זליגמן ושות'</t>
  </si>
  <si>
    <t>נעשתה פנייה לארבעה משרדים. התקבלו 3 הצעות</t>
  </si>
  <si>
    <t>החלטה מס' 2021-07-05</t>
  </si>
  <si>
    <t>100 שעות חודשיות לתקופה של חצי  שנה</t>
  </si>
  <si>
    <t>החלטה מס' 2021-07-07</t>
  </si>
  <si>
    <t>החלטה מס' 2021-07-08</t>
  </si>
  <si>
    <t>ריכוז רישוי תמ"א 38</t>
  </si>
  <si>
    <t>החלפה לחל"ד, מציע יחיד אין עוד מציעים שנותנים שרות זה</t>
  </si>
  <si>
    <t>סמדר אהרון</t>
  </si>
  <si>
    <t>40 שעות חודשיות לתקופה של 4 חודשים</t>
  </si>
  <si>
    <t>הגדלת התקשרות- ייצוג משפטי של העירייה בעתירת בחירות</t>
  </si>
  <si>
    <t xml:space="preserve">בהמשך להחלטה 2021-07-04 , מבקשים הגדלת התקשרות לפי סעיף 3.21 לנוהל התקשרויות עבור  עתירה נוספת, בנושא תעמולת בחירות אסורה במימון הרשות המקומית ולכן העסקת יועץ משפטי אחד בשתי העתירות תשרת את העירייה באופן המיטבי. </t>
  </si>
  <si>
    <t>בהמשך להחלטה מס' 2021-02-03 בה הנושא לא אושר עקב החלטה כי נדרשות הבהרות יועמ"ש מול גזבר העיריה לגבי התמונה הכוללת ביחס ליצוג המשפטי , תמונת העבר , אבני דרך.הנושא לא אושר,  מבוקש לצאת למכרז עם הגדרת זמן קצוב . לבקשת אלון הנושא מועלה בשנית</t>
  </si>
  <si>
    <t>בהחלט ה אושר סכום של 513,725 כולל מע"מ אך הסכום עודכן . השכ"ט החדש מורכב משירותי יועץ מים וביוב, תכנון מתחמי התפר- צומת רעננה, רה תכנון</t>
  </si>
  <si>
    <t xml:space="preserve">בהמשך להחלטה 2020-04-01 , מבקשים הגדלת התקשרות לפי סעיף 3.21 לנוהל התקשרויות </t>
  </si>
  <si>
    <t>החלטה מס' 2021-07-06</t>
  </si>
  <si>
    <t>החלטה מס' 2021-07-09</t>
  </si>
  <si>
    <t>מעצבת פנים למעונות יום שכונת 80</t>
  </si>
  <si>
    <t>מנהלת מחלקת רכש- אביטל חדד</t>
  </si>
  <si>
    <t>דפנה קטינא</t>
  </si>
  <si>
    <t>צביקה חורש</t>
  </si>
  <si>
    <t>הגדלת התקשרות- אדריכלות נוף</t>
  </si>
  <si>
    <t>בחינת קבלת הצעת שכ"ט לפי תיק</t>
  </si>
  <si>
    <t>יש לקבוע מחירון שירותים לפי מפרט עבודות. תובא אדריכלית נוספת לאישור הועדה</t>
  </si>
  <si>
    <t>לגבי יועץ נגישות יש להעביר  לועדה בקשת העסקת יועץ נפרדת ולפנות ל4 מציעים לפחות לקבלת הצעות מחיר בהתאם לנוהל התקשרויות</t>
  </si>
  <si>
    <t>בכפוף לכך שלאחר 3 חודשים יש להעביר לגזבר היקף עבודה בעבור תקופה זו</t>
  </si>
  <si>
    <t>החלטה מס' 2021-07-10</t>
  </si>
  <si>
    <t>ברגמן אלכס</t>
  </si>
  <si>
    <t>ורשבסקי נגישות</t>
  </si>
  <si>
    <t xml:space="preserve"> נשלחה בקשה להצעה ל-4 משרדים.</t>
  </si>
  <si>
    <t>עמותת שק"ל</t>
  </si>
  <si>
    <t>בכפוף לשינוי מבנה העסקה ומתן אבני דרך</t>
  </si>
  <si>
    <t>החלטה מס' 2021-07-11</t>
  </si>
  <si>
    <t>שפיגלמן, קורן, זמיר ושות'</t>
  </si>
  <si>
    <t>מציע יחיד היות ואנו מבקשים שמכרז שכתב היועץ יוסב ויותאם לעיריית כפ"ס ולא ייכתב מחדש.</t>
  </si>
  <si>
    <t>יעוץ לכתיבת מכרז לבחירת חברות לניהול תכנון וביצוע פרויקט הסכם גג</t>
  </si>
  <si>
    <t>10% + מע"מ מגביה בפועל</t>
  </si>
  <si>
    <t>בכפוף למתן הנחה בגובה 5% וכן עדכון לאחר רישום במאגר היועצים. לאור ההחלטה נעשתה פניה למציע לבקשת הנחה וזה אישר את גובה ההנחה. הוצגה לועדה הצעה מתוקנת ע"ס 39,000 בתוספת מע"מ. הועדה אישרה את הבקשה</t>
  </si>
  <si>
    <t>משתתפים: יובל בודניצקי - מנכ"ל העירייה, צביקה דוידי- גזבר, צבי אפרת- ס/גזבר, אילה זיו - נציגת היועמ"ש, רעות סימונס -מ"מ רכזת הוועדה, מהנדסת העיר- עליזה זיידלר גרנות, מנהלים רלוונטים</t>
  </si>
  <si>
    <t>יועץ למתן שירותים משפטיים לועדת ערר לענייני ארנונה</t>
  </si>
  <si>
    <t>החלטה מס' 2021-08-01</t>
  </si>
  <si>
    <t>החלטה מס' 2021-08-02</t>
  </si>
  <si>
    <t>גיתית שרמן</t>
  </si>
  <si>
    <t>240 שעות</t>
  </si>
  <si>
    <t>החלטה מס' 2021-08-03</t>
  </si>
  <si>
    <t>מהיר לעיר - עדכון זמני רמזורים זמניים</t>
  </si>
  <si>
    <t>ע.י.ר אפיק הנדסה</t>
  </si>
  <si>
    <t>אפלבאום</t>
  </si>
  <si>
    <t>2230072950, 1001002493</t>
  </si>
  <si>
    <t xml:space="preserve">בהמשך להחלטה 2018-14-09 , מבקשים הגדלת התקשרות לפי סעיף 3.21 לנוהל התקשרויות עבור עדכון מדידה הסדרה בטיחותית רחוב בן גוריון. </t>
  </si>
  <si>
    <t>הגדלת התקשרות- תב"ע כס/21/10/ד/1- עדכון שינוים יועץ תנועה</t>
  </si>
  <si>
    <t>מ.ת.נ הנדסה תנועה</t>
  </si>
  <si>
    <t>החלטה מס' 2021-08-06</t>
  </si>
  <si>
    <t>החלטה מס' 2021-08-04</t>
  </si>
  <si>
    <t>החלטה מס' 2021-08-05</t>
  </si>
  <si>
    <t>בהמשך להחלטה מס' 2019-02-29 , מבקשים הגדלת התקשרות לפי סעיף 3.21 לנוהל התקשרויות עבור עדכון נספח תנועה</t>
  </si>
  <si>
    <t>100 שעות חודשיות לתקופה של 3 חודשים</t>
  </si>
  <si>
    <t>בהמשך להחלטה 2021-07-07 , בה הוחלט כי יש לבחון קבלת הצעת שכ"ט לפי תיק וכן קבוע מחירון שירותים לפי מפרט עבודות. תובא אדריכלית נוספת לאישור הועדה . לאחר הועדה הוחלט לצאת למכרז, מבוקשת התקשרות ל-3 חודשים עד תום הליך המכרז</t>
  </si>
  <si>
    <t>החלטה מס' 2021-08-07</t>
  </si>
  <si>
    <t xml:space="preserve">בהמשך להחלטה 2019-17-08 , מבקשים הגדלת התקשרות לפי סעיף 3.21 לנוהל התקשרויות </t>
  </si>
  <si>
    <t>יועצים אלו מכירים את תכנון הרמזורים במסגרת המהיר לעיר ולכן נעשתה פניה אליהם.</t>
  </si>
  <si>
    <t>תכנון אדריכלי להסבת קומת משרדי העיריה (א') ברחוב ויצמן 136 פינת הרצל 55 למגורים, הוצאת היתר בניה</t>
  </si>
  <si>
    <t>החלטה מס' 2021-08-08</t>
  </si>
  <si>
    <t>מירון לוי</t>
  </si>
  <si>
    <t>בועז יגוזינסקי</t>
  </si>
  <si>
    <t>החלטה מס' 2021-08-09</t>
  </si>
  <si>
    <t>איתור תשתיות- שביל אופניים בן  יהודה (הנביאים- הגליל)</t>
  </si>
  <si>
    <t>מ.ת.ב מדידות ופוטו גרמטריה</t>
  </si>
  <si>
    <t>נקסטקום</t>
  </si>
  <si>
    <t xml:space="preserve"> יועץ שוטף- תשתיות וכבישים</t>
  </si>
  <si>
    <t xml:space="preserve">חן הנדסה </t>
  </si>
  <si>
    <t>30 שעות חודשיות למשך 7 חודשים</t>
  </si>
  <si>
    <t>מציע יחיד עקב היכרותה עם הנושא בעיריית כפר סבא</t>
  </si>
  <si>
    <t>החלטה מס' 2021-08-10</t>
  </si>
  <si>
    <t>החלטה מס' 2021-08-11</t>
  </si>
  <si>
    <t>יפי שגיא</t>
  </si>
  <si>
    <t>בהמשך להחלטה 2021-07-08 בה אושרה סמדר אהרון להחלפה לחל"ד. המציעה החליטה לא לקבל את העבודה ולכן הנושא מובא מחדש. זהו מציע יחיד אין עוד מציעים שנותנים שרות זה</t>
  </si>
  <si>
    <t>ע"ח תקציב שכר של עובדת שיצאה לחל"ד</t>
  </si>
  <si>
    <t>חייקין ושות'</t>
  </si>
  <si>
    <t>חמד ושות' משרדי עו"ד</t>
  </si>
  <si>
    <t>שדה סולברג משרדי עו"ד</t>
  </si>
  <si>
    <t>בכפוף לעד 100 שעות או 3 חודשים המוקדם מבין השנייים וכן הורדת סכום ההצעה השעתית למחיר 368 ₪ כולל מע"מ. לאור ההחלטה נעשתה פניה למציע לבקשת הנחה וזה העביר הצעה נגדית ע"ס  356 ₪ בתוספת מע"מ . הוצגה לועדה הצעה מתוקנת. הועדה אישרה את הבקשה</t>
  </si>
  <si>
    <t>החלטה מס' 2021-08-12</t>
  </si>
  <si>
    <t>הגדלת התקשרות- יעוץ סביבתי ואקוסטי להתנגדויות תת"ל 101 ב'</t>
  </si>
  <si>
    <t>תו"פ יועצים והנדסה בע"מ</t>
  </si>
  <si>
    <t>לפי דיון</t>
  </si>
  <si>
    <t>4 דיונים</t>
  </si>
  <si>
    <t>בהמשך להחלטה 2020-20-09 בה אושר סכום עבור הגשת חוות הדעת בלבד וללא הגנה בפני חוקר והצגתו ללא סכום עבור השתתפות בפגישות ודיונים מול הות"ל .  כיום יש צורך בהשתתפות בדיונים ולכן כיוון שטרם נקבע מספר הדיונים הסופי בנושא,  נקבע סכום  עבור מס הדיונים והשעות הידועים כרגע. מבקשים לאשר עקרונית את הסכומים הנל וכן לאשר הגדלת התקציב בהתאם למס' הדיונים שיידרש בהמשך.</t>
  </si>
  <si>
    <t>החלטה מס' 2021-08-13</t>
  </si>
  <si>
    <t>בכפוף למתן הנחה בגובה 12% . מאושרת התקשרות לתקופה של 3 שנים</t>
  </si>
  <si>
    <t>הגדלת התקשרות - עתיר ידע - תכנון תנועה, פיזי, ניקוז ותאום מערכות</t>
  </si>
  <si>
    <t>לוי שטרק</t>
  </si>
  <si>
    <t>בהמשך להחלטה 2018-19-11 , מבקשים הגדלת התקשרות לפי סעיף 3.21 לנוהל התקשרויות לאור שינוי הפרוגרמה ע"י משרד התחבורה</t>
  </si>
  <si>
    <t>הגדלת התקשרות- הכשרה, הדרכה וחומרי לימוד של שלוחת המוניטיסורי כפר סבא</t>
  </si>
  <si>
    <t>יורד מסדר היום</t>
  </si>
  <si>
    <t xml:space="preserve"> 85 שעות חודשיות לתקופה של חצי שנה</t>
  </si>
  <si>
    <t>פרוטוקול ועדת התקשרויות מס' 2021-08 תאריך: 25/05/2021</t>
  </si>
  <si>
    <t>לא תאושר התקשרות המשך נוספת</t>
  </si>
  <si>
    <t>בהמשך להחלטה 2020-10-05 , מבקשים הגדלת התקשרות לפי סעיף 3.21 לנוהל התקשרויות  עבור שנת הלימודים תשפ"ב</t>
  </si>
  <si>
    <t xml:space="preserve">מאושר בנק שעות של 250 שעות לתקופה שלא תפחת מ 3 חודשים וכן יש להעביר התקציב משכר לפעולות </t>
  </si>
  <si>
    <t>בכפוף להורדת סכום ההצעה השעתית למחירשל  350 ₪ בתוספת מע"מ</t>
  </si>
  <si>
    <t>סה"כ שכ"ט מירבי מאושר להתקשרות  (כולל מע"מ)</t>
  </si>
  <si>
    <r>
      <t xml:space="preserve">בכפוף למתן הנחה בגובה 12%. לאור ההחלטה נעשתה פניה למציע לבקשת הנחה וזה העביר הצעה נגדית בגובה  </t>
    </r>
    <r>
      <rPr>
        <b/>
        <sz val="11"/>
        <rFont val="Arial"/>
        <family val="2"/>
      </rPr>
      <t xml:space="preserve">52,360 כולל מע"מ </t>
    </r>
    <r>
      <rPr>
        <b/>
        <sz val="10"/>
        <rFont val="Arial"/>
        <family val="2"/>
      </rPr>
      <t>. הוצגה לועדה הצעה מתוקנת. הועדה אישרה את הבקשה</t>
    </r>
  </si>
  <si>
    <t>בועדה מתאריך 4/4/2021 אושר המציע מורן הנדסה בעל הציון המשוכלל הגבוהה ביותר.  לאחר אישור הועדה המציע החליט לא לקבל עבודה זו   ולכן מאושרת התקשרות עם  המציע הבא בעל הציון המשוקלל הגבוהה ביותר..</t>
  </si>
  <si>
    <t>בכפוף למתן הנחה בגובה 12%. לאור ההחלטה נעשתה פניה למציע לבקשת הנחה וזה אישר את גובה ההנחה. הוצגה לועדה הצעה מתוקנת. הועדה אישרה את הבקשה</t>
  </si>
  <si>
    <t>מבוטל</t>
  </si>
  <si>
    <t>אושרה ההצעה לפי סעיף 3.21 לנוהל התקשרויות ליועץ אקוסטיקה בתעריף כיתה לפי  החלטת שכ"ט קודם (1000 שח לכיתה בתוספת מע"מ. לאחר מתן 10%  הנחה, סך הכל 900 שח בתוספת מע"מ)</t>
  </si>
  <si>
    <t xml:space="preserve">ממתין לקבלת הצעת מחיר נוספת וכן בדיקת המצלות של המציע בעל הציון המשוכלל הגבוה </t>
  </si>
  <si>
    <t>פרוטוקול ועדת התקשרויות מס' 2021-09 תאריך: 13/06/2021</t>
  </si>
  <si>
    <t>די-טק תשתיות</t>
  </si>
  <si>
    <t>החלטה מס' 2021-09-01</t>
  </si>
  <si>
    <t>החלטה מס' 2021-09-02</t>
  </si>
  <si>
    <t>ספירות תנועה – תב"ע פארק תעסוקה המוביל</t>
  </si>
  <si>
    <t>שירן סקרים</t>
  </si>
  <si>
    <t>מרטנס הופמן</t>
  </si>
  <si>
    <t>IPI</t>
  </si>
  <si>
    <t>בינה זולה</t>
  </si>
  <si>
    <t>החלטה מס' 2021-10-01</t>
  </si>
  <si>
    <t xml:space="preserve"> הגדלת התקשרות- אחזקת מתחם "בשביל הירוק"</t>
  </si>
  <si>
    <t>בהמשך להחלטה 2020-14-06 , מבקשים הגדלת התקשרות לפי סעיף 3.21 לנוהל התקשרויות</t>
  </si>
  <si>
    <t>החלטה מס' 2021-10-02</t>
  </si>
  <si>
    <t>ליווי תוכנית אסטרטגית בתחום הפסולת והגשת קולות קוראים</t>
  </si>
  <si>
    <t>קריסטל ג.מ.א בע"מ</t>
  </si>
  <si>
    <t>דנה גבאי</t>
  </si>
  <si>
    <t>ד"ר טלי תאני-הררי</t>
  </si>
  <si>
    <t>הטמעת ערך החדשנות בתהליך חוצה ארגון</t>
  </si>
  <si>
    <t>החלטה מס' 2021-10-03</t>
  </si>
  <si>
    <t>Discovers</t>
  </si>
  <si>
    <t>Stuff</t>
  </si>
  <si>
    <t>SIT</t>
  </si>
  <si>
    <t>חדשן</t>
  </si>
  <si>
    <t>1769000750+2130162750 ( לפי הצורך )</t>
  </si>
  <si>
    <t>החלטה מס' 2021-10-04</t>
  </si>
  <si>
    <t>הכנת תיקי מתקן למגרשי הכדורגל בעיר לקראת רישוי עסקים</t>
  </si>
  <si>
    <t>מאי יועצים בע"מ</t>
  </si>
  <si>
    <t>הבודק הנדסת בטיחות</t>
  </si>
  <si>
    <t>החלטה מס' 2021-10-05</t>
  </si>
  <si>
    <t>טיפול בעתירה עת"מ 32059-02-21- המכון למיון ושיווק ביצים</t>
  </si>
  <si>
    <t>רוזן, בסיס בן גל עו"ד</t>
  </si>
  <si>
    <t>החלטה מס' 2021-10-06</t>
  </si>
  <si>
    <t>יועץ להכנת מכרז לרכישת מכונת טיאוט</t>
  </si>
  <si>
    <t>מ. אברהם עו"ד</t>
  </si>
  <si>
    <t>מפקח</t>
  </si>
  <si>
    <t>פורטל אקולוגי</t>
  </si>
  <si>
    <t>הצטיידות</t>
  </si>
  <si>
    <t>החלטה מס' 2021-10-07</t>
  </si>
  <si>
    <t>בהמשך להחלטה 2021-07-02 , מבקשים הגדלת התקשרות לפי סעיף 3.21 לנוהל התקשרויות.</t>
  </si>
  <si>
    <t>סדר יום ועדת התקשרויות מס' 2021-10 תאריך: 30/6/2021</t>
  </si>
  <si>
    <t>החלטה מס' 2021-10-08</t>
  </si>
  <si>
    <t>מנהל  מחלקת רכב- אריה בן זאב</t>
  </si>
  <si>
    <t>בראש- סומך</t>
  </si>
  <si>
    <t>רובין  שמואלביץ</t>
  </si>
  <si>
    <t>שפירא בוטרמן</t>
  </si>
  <si>
    <t>שדה סולברג</t>
  </si>
  <si>
    <t>גדעון פישר</t>
  </si>
  <si>
    <t>דרור גל רעות שגיב</t>
  </si>
  <si>
    <t>31.5 שעות לתקופה של 8 חודשים</t>
  </si>
  <si>
    <t xml:space="preserve">הסבר כמפורט בנספחים </t>
  </si>
  <si>
    <t>ייעוץ משפטי בתחום דיני העבודה</t>
  </si>
  <si>
    <t>נעשתה פניה ל-4 יועצים</t>
  </si>
  <si>
    <t>יעוץ כלכלי</t>
  </si>
  <si>
    <t>בכפוף לשינוי ההסכם על סמך אבני דרך וכן  מתן הנחה בגובה 12%</t>
  </si>
  <si>
    <t xml:space="preserve"> בכפוף למתן הנחה בגובה 12%</t>
  </si>
  <si>
    <t>אושרה ההצעה עם הציון המשוקלל הגבוה ביותר  לתקופה של חצי שנה</t>
  </si>
  <si>
    <t>משתתפים: יובל בודניצקי - מנכ"ל העירייה, צביקה דוידי- גזבר, צבי אפרת- ס/גזבר, אלון בן זקן - יועמ"ש, שרון גמזו שורר- ס. יועמ"ש, רעות סימונס -מ"מ רכזת הוועדה, מהנדסת העיר- עליזה זיידלר גרנות, מנהלים רלוונטים</t>
  </si>
  <si>
    <t>מציע יחיד עקב היכרות מוקדמת של היועץ עם הנושא. עבור ייצוג העירייה בעתירה</t>
  </si>
  <si>
    <t>עפ"י הליך הזמנה להציע הצעות ומדדי איכות ומחיר</t>
  </si>
  <si>
    <t xml:space="preserve">הערות:  </t>
  </si>
  <si>
    <t>בהמשך להחלטה מס' 2021-01-03 מבקשים הגדלת התקשרות לפי סעיף 3.21 לנוהל התקשרויות, הואיל ועו"ד שפיר מטפל ומסייע לעירייה בכל ההליכים השונים בתחום ההיטלים בסוגיית תיאגוד מפעל המים</t>
  </si>
  <si>
    <t>החלטה מס' 2021-11-01</t>
  </si>
  <si>
    <t>80 שעות</t>
  </si>
  <si>
    <t>החלטה מס' 2021-11-02</t>
  </si>
  <si>
    <t>יעוץ משפטי בתחום דיני המכרזים</t>
  </si>
  <si>
    <t>אמסטר רן- יה עו"ד</t>
  </si>
  <si>
    <t>החלטה מס' 2021-11-03</t>
  </si>
  <si>
    <t>לפי מכרז</t>
  </si>
  <si>
    <t>3 מכרזים לחודש לתקופה של 3 חודשים</t>
  </si>
  <si>
    <t>נתן מאיר ושות'</t>
  </si>
  <si>
    <t>גרוס ושות</t>
  </si>
  <si>
    <t>הגדלת התקשרות- נספח סביבתי- פארק התעסוקה המוביל (תב"ע תע"ש)</t>
  </si>
  <si>
    <t>בהמשך להחלטה מס' 2020-10-03 מבקשים הגדלת התקשרות לפי סעיף 3.21 לנוהל התקשרויות.</t>
  </si>
  <si>
    <t>פרוטוקול ועדת התקשרויות מס' 2021-11 תאריך: 20/07/2021</t>
  </si>
  <si>
    <t>הדס לניר</t>
  </si>
  <si>
    <t>ענבל רהט</t>
  </si>
  <si>
    <t>פרוטוקול ועדת התקשרויות מס' 2021-12 תאריך: 12/08/2021</t>
  </si>
  <si>
    <t>מנהלת מחלקת גני ילדים- שירה ברף</t>
  </si>
  <si>
    <t>החלטה מס' 2021-12-01</t>
  </si>
  <si>
    <t>החלטה מס' 2021-12-02</t>
  </si>
  <si>
    <t>החלטה מס' 2021-12-03</t>
  </si>
  <si>
    <t>החלטה מס' 2021-12-04</t>
  </si>
  <si>
    <t>נגה שרגאי</t>
  </si>
  <si>
    <t>החלטה מס' 2021-12-05</t>
  </si>
  <si>
    <t>ליווי גן בגישת החינוך המונטיסורי</t>
  </si>
  <si>
    <t>דשה פיינברג</t>
  </si>
  <si>
    <t>למשך 10 חודשים</t>
  </si>
  <si>
    <t>מכללה לחינוך מונטיסורי</t>
  </si>
  <si>
    <t>הום סמרט</t>
  </si>
  <si>
    <t>החלטה מס' 2021-12-06</t>
  </si>
  <si>
    <t>ייצוג משפטי בפני ועדת ערר לפיצויים והיטלי השבחה - תיק מספר 8000-  ג' 7621 ח' 43</t>
  </si>
  <si>
    <t>מציע יחיד עקב היכרות מוקדמת של היועץ עם הנושא בגין הגשת השגה לועדת הערר בתיק שבנדון</t>
  </si>
  <si>
    <t>עד גובה סכום 7500 ₪ לפני מע"מ</t>
  </si>
  <si>
    <t>468 ₪ כולל מע"מ לשעה</t>
  </si>
  <si>
    <t>סעיף תקציבי</t>
  </si>
  <si>
    <t xml:space="preserve">אגף המזמין </t>
  </si>
  <si>
    <t>סוג יח' לחישוב שכ"ט</t>
  </si>
  <si>
    <t>מחיר ליח' שכ"ט</t>
  </si>
  <si>
    <t>כמות יח'</t>
  </si>
  <si>
    <t>סכום כולל לפני מע"מ (שדה מחושב- לא לגעת)</t>
  </si>
  <si>
    <t>סכום כולל בתוספת מע"מ (שדה מחושב- לא לגעת)</t>
  </si>
  <si>
    <t>אחוז הנחה מבוקש</t>
  </si>
  <si>
    <t>בכפוף לאישור תקציב</t>
  </si>
  <si>
    <t>הילה תשבי</t>
  </si>
  <si>
    <t>פרוטוקול ועדת התקשרויות מס' 2021-13 תאריך: 31/08/2021</t>
  </si>
  <si>
    <t>החלטה מס' 2021-13-01</t>
  </si>
  <si>
    <t>הגדלת התקשרות- ייעוץ נתונים ודוחות</t>
  </si>
  <si>
    <t>אגף תכנון אסטרטגי ושיתופיות- מאיה בר לב</t>
  </si>
  <si>
    <t>סימונטיקס בע"מ
אלי קלינברגר</t>
  </si>
  <si>
    <t>בהמשך להחלטה מס' 2020-16-01 מבקשים הגדלת התקשרות לפי סעיף 3.21 לנוהל התקשרויות</t>
  </si>
  <si>
    <t>אחוז מהיקף הפרויקט</t>
  </si>
  <si>
    <t>סכום לפרויקט</t>
  </si>
  <si>
    <t>החלטה מס' 2021-13-02</t>
  </si>
  <si>
    <t>הגדלת התקשרות- פיקוח עליון ביישום מערכות אבטחה ומיגון בעיר בהתאם לתכנון שבוצע.</t>
  </si>
  <si>
    <t>מנהל אגף ביטחון - שי זייד</t>
  </si>
  <si>
    <t>טנדו</t>
  </si>
  <si>
    <t>בהמשך להחלטה מס' 2018-22-05 מבקשים הגדלת התקשרות לפי סעיף 3.21 לנוהל התקשרויות</t>
  </si>
  <si>
    <t>פרוטוקול ועדת התקשרויות מס'     2021-10.1 תאריך: 05/07/2021</t>
  </si>
  <si>
    <t>משתתפים: יובל בודניצקי - מנכ"ל העירייה, צביקה דוידי- גזבר, מהנדסת העיר- עליזה זיידלר גרנות,ס.מ אגף תשתיות,  מנהלים רלוונטים</t>
  </si>
  <si>
    <t>חישוב שכ"ט לפי שעה/כולל</t>
  </si>
  <si>
    <t>סכום/שכ"ט  שעתי     (כולל מע"מ)</t>
  </si>
  <si>
    <t>סה"כ שכ"ט       (כולל מע"מ)</t>
  </si>
  <si>
    <t>החלטה מס'    2021-10.1-01</t>
  </si>
  <si>
    <t>החלטה מס' 2021-10.1-02</t>
  </si>
  <si>
    <t>בודקת בקשות להיתר - הגדלה - שעות בדיקת בקשות רישוי רגיל</t>
  </si>
  <si>
    <t>מהנדסת העיר - עליזה זיידלר גרנות</t>
  </si>
  <si>
    <t>הגדלה – שעות בדיקת בקשות רישוי  כללי – 170 ₪ לשעה, סה"כ 120 שעות חודשיות
מאושרות ל 3 חודשים</t>
  </si>
  <si>
    <t>198.90 ₪</t>
  </si>
  <si>
    <t>אושר פה אחד - עד 120 שעות לחודש (במקום  2 עובדות: אמאני בחופשת לידה, ריקי -פנסיה) - ל 3 חודשים</t>
  </si>
  <si>
    <t>מציע יחיד, אין מציעים במאגר המציעים בעלי נסיון בבדיקת בקשות להיתר.</t>
  </si>
  <si>
    <t>החלטה מס' 2021-10.1-03</t>
  </si>
  <si>
    <t>תביעה לביצוע הפקעה לבעל מגרש המסרב לביצוע הפקעה</t>
  </si>
  <si>
    <t xml:space="preserve">מנהל יחדת הנכסים -  יעקב אוחיון </t>
  </si>
  <si>
    <t>משרד עוה"ד הררי  טויסטר ושות'</t>
  </si>
  <si>
    <t>תפיסת חזקה גוש 6431 חלקה17 20,000ש"ח + מע"מ</t>
  </si>
  <si>
    <t>לשם ביצוע הפקעות יש לבקש הנחה של ט20%
 היועצת אישרה מתן ההנחה ולכן אושר – 16,000 ₪ + מע"מ  סה"כ 18720 ₪</t>
  </si>
  <si>
    <t>משרד הררי טויסטר סיפק יעוץ משפטי במקרה זה במסגרת הריטיינר. אין שום תועלת בקבלת הצעת נוספת.</t>
  </si>
  <si>
    <t>החלטה מס' 2021-10.1-04</t>
  </si>
  <si>
    <t>תב"ע פארק התעסוקה המוביל</t>
  </si>
  <si>
    <t xml:space="preserve">מנהל אגף תשתיות בינוי ופיתוח - שמעון גיטליץ </t>
  </si>
  <si>
    <t>החלטה מס' 2021-10.1-05</t>
  </si>
  <si>
    <t>יהגדלת התקשרות - יעוץ חשמל ותקשורת</t>
  </si>
  <si>
    <t>נעים בדרך - הנדסת פרוייקטים ומערכות</t>
  </si>
  <si>
    <t>175 ₪ לשעה הגדלה לעוד 50 ש' בסך:8,750 ₪ + מע"מ</t>
  </si>
  <si>
    <t>204.75 ₪</t>
  </si>
  <si>
    <t>10,237.50 ₪</t>
  </si>
  <si>
    <t>אושר חד פעמי יש לציין תב"ר בהתאם</t>
  </si>
  <si>
    <t xml:space="preserve">  בהמשך לחוזה קיים 378/20 , מבקשים הגדלת התקשרות לפי סעיף 3.21 לנוהל התקשרויות הואיל ויש צורך בהמשך הפרויקט.</t>
  </si>
  <si>
    <t>החלטה מס' 2021-10.1-06</t>
  </si>
  <si>
    <t>בקשה להגדלה - מסוף אוטובוסים- עתיר ידע- רה תכנון</t>
  </si>
  <si>
    <t>לוי שטרק זילברשטיין - מהנדסים ויועצים בע"מ</t>
  </si>
  <si>
    <t>86,112 ₪</t>
  </si>
  <si>
    <t>86,112 ש"ח</t>
  </si>
  <si>
    <t xml:space="preserve">מאושר, בהמשך למכתב של מנהל אגף תשתיות
שמעון גיטליץ ומתוקצב ע"י משרד התחבורה </t>
  </si>
  <si>
    <t>החלטה מס' 2021-10.1-07</t>
  </si>
  <si>
    <t>ייעוץ רמזורים</t>
  </si>
  <si>
    <t>מהוד הנדסה בע"מ</t>
  </si>
  <si>
    <t>41,418 ₪</t>
  </si>
  <si>
    <t>לאשר עד סוף השנה חצי תקציב שהוגש, נדרש פתרון כוללני במסגרת תוכנית אב לתנועה</t>
  </si>
  <si>
    <t>20,000 ₪</t>
  </si>
  <si>
    <t>אמי מתום מהנדסים</t>
  </si>
  <si>
    <t>121,446 ₪</t>
  </si>
  <si>
    <t xml:space="preserve">אליה בן שבת </t>
  </si>
  <si>
    <t>100,878 ₪</t>
  </si>
  <si>
    <t>החלטה מס' 2021-10.1-08</t>
  </si>
  <si>
    <t>הגדלה לחוזה - שדרוג כללי בית ספר רמז - תכנון אדריכלי -</t>
  </si>
  <si>
    <t>מנהל מח' מבני ציבור  - מיכאל זלדין</t>
  </si>
  <si>
    <t>256,376 ₪</t>
  </si>
  <si>
    <t>בהמשך לחוזה קיים 289/19  , מבקשים הגדלת התקשרות לפי סעיף 3.21 לנוהל התקשרויות הואיל ויש צורך בהמשך לאור הגדלה בהיקף הפרויקט.</t>
  </si>
  <si>
    <t>החלטה מס' 2021-10.1-09</t>
  </si>
  <si>
    <t>רחוב בן גוריון - יועץ נגישות</t>
  </si>
  <si>
    <t>חגית ברגמן</t>
  </si>
  <si>
    <t>7,020 ₪</t>
  </si>
  <si>
    <t>7,722 ₪</t>
  </si>
  <si>
    <t>8,775 ₪</t>
  </si>
  <si>
    <t>החלטה מס' 2021-10.1-10</t>
  </si>
  <si>
    <t>הרחבת ב"ס סאלד חינוך מיוחד - תכנון אדריכל</t>
  </si>
  <si>
    <t>יובל גולדנברג</t>
  </si>
  <si>
    <t>131,040 ש"ח</t>
  </si>
  <si>
    <t>מיכל תירושי</t>
  </si>
  <si>
    <t xml:space="preserve">החלטה מס' 2021-10.1-11    </t>
  </si>
  <si>
    <t>4 כיתות זמניות של בית ספר יסוגי בגני ילדים של נעמי שמר - תכנון כולל - אדריכל כולל כל היועצים</t>
  </si>
  <si>
    <t>57,330 ₪</t>
  </si>
  <si>
    <t>130,045.5 ₪</t>
  </si>
  <si>
    <t>163,800 ₪</t>
  </si>
  <si>
    <t>נתי זיו</t>
  </si>
  <si>
    <t>216,450 ₪</t>
  </si>
  <si>
    <t>החלטה מס' 2021-10.1-12</t>
  </si>
  <si>
    <r>
      <t xml:space="preserve">הקמת מבנה תנועת הנוער הצופים בשכונת כס/60 - </t>
    </r>
    <r>
      <rPr>
        <b/>
        <u/>
        <sz val="10"/>
        <rFont val="Arial"/>
        <family val="2"/>
      </rPr>
      <t>מנהל פרויקט</t>
    </r>
  </si>
  <si>
    <t>א.ע מרום הנדסה</t>
  </si>
  <si>
    <t>52,650 ₪</t>
  </si>
  <si>
    <t>66,456 ₪</t>
  </si>
  <si>
    <t>מיקי גרונסקי</t>
  </si>
  <si>
    <t>74,587.5 ₪</t>
  </si>
  <si>
    <t>80,496 ₪</t>
  </si>
  <si>
    <t>99,450 ₪</t>
  </si>
  <si>
    <t>מיקי קריזל</t>
  </si>
  <si>
    <t>115,830 ₪</t>
  </si>
  <si>
    <t>119,925 ₪</t>
  </si>
  <si>
    <t>136,890 ₪</t>
  </si>
  <si>
    <t>דן רביב</t>
  </si>
  <si>
    <t>610,740 ₪</t>
  </si>
  <si>
    <t>החלטה מס' 2021-10.1-13</t>
  </si>
  <si>
    <r>
      <t xml:space="preserve">הקמת מבנה תנועת הנוער הצופים בשכונת כס/60 -  </t>
    </r>
    <r>
      <rPr>
        <b/>
        <u/>
        <sz val="10"/>
        <rFont val="Arial"/>
        <family val="2"/>
      </rPr>
      <t>יועץ קרקע וביסוס</t>
    </r>
  </si>
  <si>
    <t>מוטי יוגר</t>
  </si>
  <si>
    <t>5,850 ₪</t>
  </si>
  <si>
    <t>5,850  ₪</t>
  </si>
  <si>
    <t>9,360 ₪</t>
  </si>
  <si>
    <t xml:space="preserve">11,115 ₪ </t>
  </si>
  <si>
    <t>11,115 ₪</t>
  </si>
  <si>
    <t>החלטה מס' 2021-10.1-14</t>
  </si>
  <si>
    <r>
      <t xml:space="preserve">הקמת מבנה תנועת הנוער הצופים בשכונת כס/60 -  </t>
    </r>
    <r>
      <rPr>
        <b/>
        <u/>
        <sz val="10"/>
        <rFont val="Arial"/>
        <family val="2"/>
      </rPr>
      <t>יועץ איטום</t>
    </r>
  </si>
  <si>
    <t>16,146 ₪</t>
  </si>
  <si>
    <t>28,932 ₪</t>
  </si>
  <si>
    <t>ביטלמן מהנדסים</t>
  </si>
  <si>
    <t>37,440 ₪</t>
  </si>
  <si>
    <t>ניסים הררי</t>
  </si>
  <si>
    <t>70,200 ₪</t>
  </si>
  <si>
    <t>החלטה מס' 2021-10.1-15</t>
  </si>
  <si>
    <r>
      <t xml:space="preserve">הקמת מבנה תנועת הנוער הצופים בשכונת כס/60 -  </t>
    </r>
    <r>
      <rPr>
        <b/>
        <u/>
        <sz val="10"/>
        <rFont val="Arial"/>
        <family val="2"/>
      </rPr>
      <t xml:space="preserve"> יועץ אינסטלציה</t>
    </r>
  </si>
  <si>
    <t>ל. קיז'נר</t>
  </si>
  <si>
    <t>11,700 ₪</t>
  </si>
  <si>
    <t>12,870 ₪</t>
  </si>
  <si>
    <t>ש. עגנון</t>
  </si>
  <si>
    <t>17,550 ₪</t>
  </si>
  <si>
    <t>32,760 ₪</t>
  </si>
  <si>
    <t>החלטה מס' 2021-10.1-16</t>
  </si>
  <si>
    <r>
      <t xml:space="preserve">הקמת מבנה תנועת הנוער הצופים בשכונת כס/60 -  </t>
    </r>
    <r>
      <rPr>
        <b/>
        <u/>
        <sz val="10"/>
        <rFont val="Arial"/>
        <family val="2"/>
      </rPr>
      <t xml:space="preserve"> מהנדס קונסטרוקציה</t>
    </r>
  </si>
  <si>
    <t>יצחק למעי</t>
  </si>
  <si>
    <t xml:space="preserve">22,230 ₪ </t>
  </si>
  <si>
    <t>22,230 ₪</t>
  </si>
  <si>
    <t>22,230  ₪</t>
  </si>
  <si>
    <t>אנונו הנדסת מבנים</t>
  </si>
  <si>
    <t>29,250 ₪</t>
  </si>
  <si>
    <t>רועי קלע</t>
  </si>
  <si>
    <t>41,278 ₪</t>
  </si>
  <si>
    <t>החלטה מס' 2021-10.1-17</t>
  </si>
  <si>
    <r>
      <t xml:space="preserve">הקמת מבנה תנועת הנוער הצופים בשכונת כס/60 -  </t>
    </r>
    <r>
      <rPr>
        <b/>
        <u/>
        <sz val="10"/>
        <rFont val="Arial"/>
        <family val="2"/>
      </rPr>
      <t xml:space="preserve"> מודד מוסמך</t>
    </r>
  </si>
  <si>
    <t>אורי חן ציון</t>
  </si>
  <si>
    <t>4,563 ₪</t>
  </si>
  <si>
    <t>צרצור עלי</t>
  </si>
  <si>
    <t>5,265 ₪</t>
  </si>
  <si>
    <t>ג'יוסי עבד</t>
  </si>
  <si>
    <t>5,534 ₪</t>
  </si>
  <si>
    <t>תלאווי</t>
  </si>
  <si>
    <t>13,940 ₪</t>
  </si>
  <si>
    <t>החלטה מס' 2021-10.1-18</t>
  </si>
  <si>
    <r>
      <t xml:space="preserve">הקמת מבנה תנועת הנוער הצופים בשכונת כס/60 -  </t>
    </r>
    <r>
      <rPr>
        <b/>
        <u/>
        <sz val="10"/>
        <rFont val="Arial"/>
        <family val="2"/>
      </rPr>
      <t xml:space="preserve"> אדריכל נוף</t>
    </r>
  </si>
  <si>
    <t>28,957.5 ₪</t>
  </si>
  <si>
    <t>גרנשטיין קרני</t>
  </si>
  <si>
    <t>45,630 ₪</t>
  </si>
  <si>
    <t>שגית קורן</t>
  </si>
  <si>
    <t>ההצעה נפסלה</t>
  </si>
  <si>
    <t>11,466 ₪</t>
  </si>
  <si>
    <t>החלטה מס' 2021-10.1-19</t>
  </si>
  <si>
    <r>
      <t xml:space="preserve">הקמת מבנה תנועת הנוער הצופים בשכונת כס/60 -  </t>
    </r>
    <r>
      <rPr>
        <b/>
        <u/>
        <sz val="10"/>
        <rFont val="Arial"/>
        <family val="2"/>
      </rPr>
      <t xml:space="preserve"> יועץ מיזוג אויר</t>
    </r>
  </si>
  <si>
    <t>ש.עגנון - חיים כץ</t>
  </si>
  <si>
    <t>זןסמן הנדסה</t>
  </si>
  <si>
    <t>26,910 ₪</t>
  </si>
  <si>
    <t>החלטה מס' 2021-10.1-20</t>
  </si>
  <si>
    <r>
      <t xml:space="preserve">הקמת מבנה תנועת הנוער הצופים בשכונת כס/60 -  </t>
    </r>
    <r>
      <rPr>
        <b/>
        <u/>
        <sz val="10"/>
        <rFont val="Arial"/>
        <family val="2"/>
      </rPr>
      <t xml:space="preserve"> יועץ חשמל</t>
    </r>
  </si>
  <si>
    <t>מיכאל בסדובסקי</t>
  </si>
  <si>
    <t>14,040 ₪</t>
  </si>
  <si>
    <t>15,210 ₪</t>
  </si>
  <si>
    <t>15,795 ₪</t>
  </si>
  <si>
    <t>19,890 ₪</t>
  </si>
  <si>
    <t>32,175 ₪</t>
  </si>
  <si>
    <t>35,100 ₪</t>
  </si>
  <si>
    <t>החלטה מס' 2021-10.1-21</t>
  </si>
  <si>
    <r>
      <t xml:space="preserve">הקמת מבנה תנועת הנוער הצופים בשכונת כס/60 -   </t>
    </r>
    <r>
      <rPr>
        <b/>
        <u/>
        <sz val="10"/>
        <rFont val="Arial"/>
        <family val="2"/>
      </rPr>
      <t>יועץ בטיחות</t>
    </r>
  </si>
  <si>
    <t>8,073 ₪</t>
  </si>
  <si>
    <t>אלון בטיחות וגהות בע"מ</t>
  </si>
  <si>
    <t>9,126 ₪</t>
  </si>
  <si>
    <t>9,945 ₪</t>
  </si>
  <si>
    <t>12,285 ₪</t>
  </si>
  <si>
    <t>12,694.5 ₪</t>
  </si>
  <si>
    <t>הצעה נפסלה</t>
  </si>
  <si>
    <t>5,616 ₪</t>
  </si>
  <si>
    <t>החלטה מס' 2021-10.1-22</t>
  </si>
  <si>
    <r>
      <t xml:space="preserve">הקמת מבנה תנועת הנוער הצופים בשכונת כס/60 -   </t>
    </r>
    <r>
      <rPr>
        <b/>
        <u/>
        <sz val="10"/>
        <rFont val="Arial"/>
        <family val="2"/>
      </rPr>
      <t>יועץ אקוסטיקה</t>
    </r>
  </si>
  <si>
    <t>4,095 ₪</t>
  </si>
  <si>
    <t>4,446 ₪</t>
  </si>
  <si>
    <t>6,435 ₪</t>
  </si>
  <si>
    <t>7,605 ₪</t>
  </si>
  <si>
    <t>10,530 ₪</t>
  </si>
  <si>
    <t>החלטה מס' 2021-10.1-23</t>
  </si>
  <si>
    <r>
      <t xml:space="preserve">הקמת מבנה תנועת הנוער הצופים בשכונת כס/60 -   </t>
    </r>
    <r>
      <rPr>
        <b/>
        <u/>
        <sz val="10"/>
        <rFont val="Arial"/>
        <family val="2"/>
      </rPr>
      <t>כמאי</t>
    </r>
  </si>
  <si>
    <t>ישראל שריג</t>
  </si>
  <si>
    <t>נחום הוכמן</t>
  </si>
  <si>
    <t>9,582 ₪</t>
  </si>
  <si>
    <t>יקותיאל דוד</t>
  </si>
  <si>
    <t>אלחנן מסינג</t>
  </si>
  <si>
    <t>החלטה מס' 2021-10.1-24</t>
  </si>
  <si>
    <r>
      <t xml:space="preserve">הקמת מבנה תנועת הנוער הצופים בשכונת כס/60 -   </t>
    </r>
    <r>
      <rPr>
        <b/>
        <u/>
        <sz val="10"/>
        <rFont val="Arial"/>
        <family val="2"/>
      </rPr>
      <t>יועץ נגישות</t>
    </r>
  </si>
  <si>
    <t>סטודיו זיו - נתי זיו</t>
  </si>
  <si>
    <t>4,680 ₪</t>
  </si>
  <si>
    <t>החלטה מס' 2021-10.1-25</t>
  </si>
  <si>
    <r>
      <t>הקמת מבנה תנועת הנוער העובד והלומד</t>
    </r>
    <r>
      <rPr>
        <b/>
        <u/>
        <sz val="10"/>
        <rFont val="Arial"/>
        <family val="2"/>
      </rPr>
      <t xml:space="preserve"> כס' 80 יועץ נגישות. </t>
    </r>
  </si>
  <si>
    <t>v</t>
  </si>
  <si>
    <t>החלטה מס' 2021-10.1-26</t>
  </si>
  <si>
    <r>
      <t xml:space="preserve">הקמת מבנה תנועת הנוער העובד והלומד </t>
    </r>
    <r>
      <rPr>
        <b/>
        <u/>
        <sz val="10"/>
        <rFont val="Arial"/>
        <family val="2"/>
      </rPr>
      <t xml:space="preserve">כס' 80 כמאי . </t>
    </r>
  </si>
  <si>
    <t xml:space="preserve"> 5,850 ₪</t>
  </si>
  <si>
    <t>טיראן פרויקטים</t>
  </si>
  <si>
    <t>9,360 שח</t>
  </si>
  <si>
    <t>החלטה מס' 2021-10.1-27</t>
  </si>
  <si>
    <r>
      <t>הקמת מבנה תנועת הנוער העובד והלומד</t>
    </r>
    <r>
      <rPr>
        <b/>
        <u/>
        <sz val="10"/>
        <rFont val="Arial"/>
        <family val="2"/>
      </rPr>
      <t xml:space="preserve"> כס' 80אדריכל נוף. </t>
    </r>
  </si>
  <si>
    <t>11,466  ₪</t>
  </si>
  <si>
    <t>33,930 ₪</t>
  </si>
  <si>
    <t>החלטה מס' 2021-10.1-28</t>
  </si>
  <si>
    <r>
      <t xml:space="preserve">הקמת מבנה תנועת הנוער העובד והלומד </t>
    </r>
    <r>
      <rPr>
        <b/>
        <u/>
        <sz val="10"/>
        <rFont val="Arial"/>
        <family val="2"/>
      </rPr>
      <t xml:space="preserve">כס'80 אינסטלציה </t>
    </r>
  </si>
  <si>
    <t>7,956 ₪</t>
  </si>
  <si>
    <t>אורהד</t>
  </si>
  <si>
    <t>127,530 ₪</t>
  </si>
  <si>
    <t>החלטה מס' 2021-10.129</t>
  </si>
  <si>
    <r>
      <t xml:space="preserve">הקמת מבנה תנועת הנוער העובד והלומד </t>
    </r>
    <r>
      <rPr>
        <b/>
        <u/>
        <sz val="10"/>
        <rFont val="Arial"/>
        <family val="2"/>
      </rPr>
      <t>כס'80 חשמל</t>
    </r>
    <r>
      <rPr>
        <sz val="10"/>
        <rFont val="Arial"/>
        <family val="2"/>
      </rPr>
      <t xml:space="preserve"> </t>
    </r>
  </si>
  <si>
    <t xml:space="preserve">14,040 ₪ </t>
  </si>
  <si>
    <t>14,040  ₪</t>
  </si>
  <si>
    <t>16,380 ₪</t>
  </si>
  <si>
    <t>25,155 ₪</t>
  </si>
  <si>
    <t>28,080 ₪</t>
  </si>
  <si>
    <t>34,222.5 ₪</t>
  </si>
  <si>
    <t>החלטה מס' 2021-10.1-30</t>
  </si>
  <si>
    <r>
      <t xml:space="preserve">הקמת מבנה תנועת הנוער העובד והלומד </t>
    </r>
    <r>
      <rPr>
        <u/>
        <sz val="10"/>
        <rFont val="Arial"/>
        <family val="2"/>
      </rPr>
      <t xml:space="preserve">כס'80 </t>
    </r>
    <r>
      <rPr>
        <b/>
        <u/>
        <sz val="10"/>
        <rFont val="Arial"/>
        <family val="2"/>
      </rPr>
      <t xml:space="preserve">יועץ קרקע וביסוס </t>
    </r>
  </si>
  <si>
    <t>מ. יוגר בע"מ</t>
  </si>
  <si>
    <t>מכטה גיאוטכניקה</t>
  </si>
  <si>
    <t>דורון אשר</t>
  </si>
  <si>
    <t>החלטה מס' 2021-10.1-31</t>
  </si>
  <si>
    <r>
      <t>הקמת מבנה תנועת הנוער העובד והלומד</t>
    </r>
    <r>
      <rPr>
        <u/>
        <sz val="10"/>
        <rFont val="Arial"/>
        <family val="2"/>
      </rPr>
      <t xml:space="preserve"> </t>
    </r>
    <r>
      <rPr>
        <b/>
        <u/>
        <sz val="10"/>
        <rFont val="Arial"/>
        <family val="2"/>
      </rPr>
      <t>כס'80</t>
    </r>
    <r>
      <rPr>
        <u/>
        <sz val="10"/>
        <rFont val="Arial"/>
        <family val="2"/>
      </rPr>
      <t xml:space="preserve"> </t>
    </r>
    <r>
      <rPr>
        <b/>
        <u/>
        <sz val="10"/>
        <rFont val="Arial"/>
        <family val="2"/>
      </rPr>
      <t>מודד מוסמ</t>
    </r>
    <r>
      <rPr>
        <b/>
        <sz val="10"/>
        <rFont val="Arial"/>
        <family val="2"/>
      </rPr>
      <t>ך</t>
    </r>
  </si>
  <si>
    <t>3,304 ₪</t>
  </si>
  <si>
    <t>3,276₪</t>
  </si>
  <si>
    <t>4,914 ₪</t>
  </si>
  <si>
    <t>שמעון חי</t>
  </si>
  <si>
    <t>6,084 ₪</t>
  </si>
  <si>
    <t>9,594 ₪</t>
  </si>
  <si>
    <t>החלטה מס' 2021-10.1-32</t>
  </si>
  <si>
    <r>
      <t xml:space="preserve">הקמת מבנה תנועת הנוער העובד והלומד כס'80 </t>
    </r>
    <r>
      <rPr>
        <b/>
        <u/>
        <sz val="10"/>
        <rFont val="Arial"/>
        <family val="2"/>
      </rPr>
      <t>אקוסטיקה</t>
    </r>
  </si>
  <si>
    <t>החלטה מס' 2021-10.1-33</t>
  </si>
  <si>
    <r>
      <t xml:space="preserve">הקמת מבנה תנועת הנוער העובד והלומד כס'80 </t>
    </r>
    <r>
      <rPr>
        <b/>
        <u/>
        <sz val="10"/>
        <rFont val="Arial"/>
        <family val="2"/>
      </rPr>
      <t>יועץ מיזוג אויר</t>
    </r>
  </si>
  <si>
    <t>זוסמן הנדסה</t>
  </si>
  <si>
    <t>אלון פרבר</t>
  </si>
  <si>
    <t>40,950 ₪</t>
  </si>
  <si>
    <t>החלטה מס' 2021-10.1-34</t>
  </si>
  <si>
    <r>
      <t>הקמת מבנה תנועת הנוער העובד והלומד</t>
    </r>
    <r>
      <rPr>
        <u/>
        <sz val="10"/>
        <rFont val="Arial"/>
        <family val="2"/>
      </rPr>
      <t xml:space="preserve">  כס'80</t>
    </r>
    <r>
      <rPr>
        <b/>
        <u/>
        <sz val="10"/>
        <rFont val="Arial"/>
        <family val="2"/>
      </rPr>
      <t>מנהל פרויקט</t>
    </r>
  </si>
  <si>
    <t>מ. גרונסקי</t>
  </si>
  <si>
    <t>59,670 ₪</t>
  </si>
  <si>
    <t>59,670  ₪</t>
  </si>
  <si>
    <t>64,350 ₪</t>
  </si>
  <si>
    <t>101,790 ₪</t>
  </si>
  <si>
    <t>102,960 ₪</t>
  </si>
  <si>
    <t>583,830 ₪</t>
  </si>
  <si>
    <t>החלטה מס' 2021-10.1-35</t>
  </si>
  <si>
    <r>
      <t xml:space="preserve">הקמת מבנה תנועת הנוער העובד והלומד כס'80 - </t>
    </r>
    <r>
      <rPr>
        <b/>
        <u/>
        <sz val="10"/>
        <rFont val="Arial"/>
        <family val="2"/>
      </rPr>
      <t>קונסטרוקטור</t>
    </r>
  </si>
  <si>
    <t>21,996 ₪</t>
  </si>
  <si>
    <t>אנונו רפי</t>
  </si>
  <si>
    <t>י.ש למעי מהנדסי בנין</t>
  </si>
  <si>
    <t>30,420 ₪</t>
  </si>
  <si>
    <t>41,277.6 ₪</t>
  </si>
  <si>
    <t>החלטה מס' 2021-10.1-36</t>
  </si>
  <si>
    <r>
      <t xml:space="preserve">הקמת מבנה תנועת הנוער העובד והלומד כס'80 - </t>
    </r>
    <r>
      <rPr>
        <b/>
        <u/>
        <sz val="10"/>
        <rFont val="Arial"/>
        <family val="2"/>
      </rPr>
      <t xml:space="preserve"> יועץ איטום</t>
    </r>
  </si>
  <si>
    <t>אורי עינבל</t>
  </si>
  <si>
    <t>החלטה מס' 2021-10.1-37</t>
  </si>
  <si>
    <r>
      <t xml:space="preserve">הקמת מבנה תנועת הנוער העובד והלומד </t>
    </r>
    <r>
      <rPr>
        <b/>
        <u/>
        <sz val="10"/>
        <rFont val="Arial"/>
        <family val="2"/>
      </rPr>
      <t>כס'80 -  בטיחות</t>
    </r>
  </si>
  <si>
    <t>ברקן יועצי בטיחות</t>
  </si>
  <si>
    <t>אלי כחלון</t>
  </si>
  <si>
    <t>החלטה מס' 2021-13-03</t>
  </si>
  <si>
    <t>חוצ-פה</t>
  </si>
  <si>
    <t>קמפיין טיפול בפסולת</t>
  </si>
  <si>
    <t>מנהלת אגף  קיימות וחדשנות- שרית סלע</t>
  </si>
  <si>
    <t>ליבי טישלר</t>
  </si>
  <si>
    <t>פרוטוקול ועדת התקשרויות מס' 2021-12.1 תאריך: 12/08/2021</t>
  </si>
  <si>
    <t>משתתפים: יובל בודניצקי - מנכ"ל העירייה, צביקה דוידי- גזבר, מהנדסת העיר- עליזה זיידלר גרנות,  מנהלים רלוונטים</t>
  </si>
  <si>
    <t>החלטה מס' 2021-12.1-1</t>
  </si>
  <si>
    <t>יעוץ בתחום תשתיות מים, ביוב וניקוז במוסדות עירייה קיימים</t>
  </si>
  <si>
    <t>מיכאל זלדין - סגן מה"ע ומנהל מח' מבני ציבור</t>
  </si>
  <si>
    <t>ל.קיז'נר מהנדסים ויועצים בע"מ</t>
  </si>
  <si>
    <t>כן</t>
  </si>
  <si>
    <t xml:space="preserve">איתן תיכנון ואינסטלציה בע"מ </t>
  </si>
  <si>
    <t>200</t>
  </si>
  <si>
    <t>יצחק ברבי מהנדסים ויועצים בע"מ</t>
  </si>
  <si>
    <t>ש.עגנון ושות' בע"מ</t>
  </si>
  <si>
    <t>החלטה מס' 2021-12.1-2</t>
  </si>
  <si>
    <t>הנגשה כללית של מתנ"ס גלר</t>
  </si>
  <si>
    <t>זיו אדריכלים</t>
  </si>
  <si>
    <t xml:space="preserve">קומפלט </t>
  </si>
  <si>
    <t>שירי פרץ אדריכלים</t>
  </si>
  <si>
    <t>ענת סמסונוב</t>
  </si>
  <si>
    <t>החלטה מס' 2021-12.1-3</t>
  </si>
  <si>
    <t>הגדלה לחוזה - פארק תעסוקה המוביל ( תב"ע תע"ש)</t>
  </si>
  <si>
    <t xml:space="preserve">  מיכל שרייבר - אדריכלית העיר</t>
  </si>
  <si>
    <t>הלפרין פלוס</t>
  </si>
  <si>
    <t>בקשה להגדלת התקשרות בגין ביצוע סקר עצים חדש לקראת העברת מסמכים לועדה המחוזית סכום הגדלה 30000 5% הנחה</t>
  </si>
  <si>
    <t>בהמשך לחוזה 149/20 , מבקשים הגדלת התקשרות לפי סעיף 3.21 לנוהל התקשרויות הואיל והפרויקט טרם הסתיים.</t>
  </si>
  <si>
    <t>החלטה מס' 2021-12.1-4</t>
  </si>
  <si>
    <t>הגדלה לחוזה - יועצת נוף - כללי</t>
  </si>
  <si>
    <t xml:space="preserve">חגית ברגמן </t>
  </si>
  <si>
    <t>180 ₪</t>
  </si>
  <si>
    <r>
      <t xml:space="preserve">הגדלה שניה . חוזה מסתיים בסוף אוקטובר . באישור מנכל להאריך עד סוף </t>
    </r>
    <r>
      <rPr>
        <b/>
        <sz val="11"/>
        <rFont val="Arial"/>
        <family val="2"/>
      </rPr>
      <t>אוקטובר</t>
    </r>
    <r>
      <rPr>
        <b/>
        <sz val="10"/>
        <rFont val="Arial"/>
        <family val="2"/>
      </rPr>
      <t xml:space="preserve">  הוועדה אישרה הארכה עד לסוף אוקטובר 2021</t>
    </r>
  </si>
  <si>
    <t>בהמשך להחלטה 2021-08-11 , מבקשים הגדלת התקשרות לפי סעיף 3.21 לנוהל התקשרויות עד תום  הליך  המכרז לאדריכל נוף</t>
  </si>
  <si>
    <t>החלטה מס' 2021-12.1-5</t>
  </si>
  <si>
    <t>תיקון החלטה להגדלה חוזה - פארק תעסוקה המוביל ( תב"ע תע"ש)</t>
  </si>
  <si>
    <t xml:space="preserve">כן </t>
  </si>
  <si>
    <t>תיקון החלטה קודמת הסכום הינו סכום ההגדלה המבוקשת עבור נספח אקוסטי. אבני דרך יפוצלו לכביש 55 וכבישים עירוניים</t>
  </si>
  <si>
    <t>בהמשך להחלטה מס 2020-10-03, מבקשים הגדלת התקשרות לפי סעיף 3.21 לנוהל התקשרויות הואיל והפרויקט טרם הסתיים.</t>
  </si>
  <si>
    <t>החלטה מס' 2021-12.1-6</t>
  </si>
  <si>
    <t>יעוץ שוטף לוועדת שילוט</t>
  </si>
  <si>
    <t>רחלי תורגמן - מנהלת מחלקת שילוט</t>
  </si>
  <si>
    <t>מחשבת ישראל (גיורא בוס)</t>
  </si>
  <si>
    <t>לא</t>
  </si>
  <si>
    <t>שרון צנציג</t>
  </si>
  <si>
    <t>החלטה מס' 2021-12.1-7</t>
  </si>
  <si>
    <t>ספירות תנועה בצומת מרומזר ויצמן עלקלאי</t>
  </si>
  <si>
    <t xml:space="preserve"> נדיה הבוגון  - ס. מנהל אגף תשתיות</t>
  </si>
  <si>
    <t>מרטנס הופמן יעוצים לניהול בע''מ</t>
  </si>
  <si>
    <t>יש לחזור לספק ולבקש הנחה לכלל הפרויקטים לספירת תנועה יחד</t>
  </si>
  <si>
    <t>א.ג. סקרים בע''מ</t>
  </si>
  <si>
    <t>שירן סקרים ומחקרים בע''מ</t>
  </si>
  <si>
    <t>איסוף נתוני תנועה בע''מ</t>
  </si>
  <si>
    <t>החלטה מס' 2021-12.1-8</t>
  </si>
  <si>
    <t>מכרז פתוח לשני יועצי תנועה מס' מכרז 232018</t>
  </si>
  <si>
    <t>קיו טי אי</t>
  </si>
  <si>
    <t>נעשתה פניה ל- 5 יועצים לקבלת הצעת מחיר רק 2 הגישו הצעה.     אושר פה אחד</t>
  </si>
  <si>
    <t>לירן יצחק</t>
  </si>
  <si>
    <t>החלטה מס' 2021-12.1-9</t>
  </si>
  <si>
    <t>ספירות תנועה בצומת מרומזר בן יהודה -הגליל</t>
  </si>
  <si>
    <t>החלטה מס' 2021-12.1-10</t>
  </si>
  <si>
    <t>ספירות תנועה בצומת מרומזר בן יהודה -תל חי</t>
  </si>
  <si>
    <t>החלטה מס' 2021-12.1-11</t>
  </si>
  <si>
    <t>ספירות תנועה בצומת מרומזר סוקולוב- אהרונוביץ</t>
  </si>
  <si>
    <t>החלטה מס' 2021-12.1-12</t>
  </si>
  <si>
    <t>ספירות תנועה בצומת מרומזר בן יהודה -טשרניחובסקי + רמז</t>
  </si>
  <si>
    <t>יועץ תנועה</t>
  </si>
  <si>
    <t>החלטה מס' 2021-13-04</t>
  </si>
  <si>
    <t>הגדלת התקשרות- יועץ לטיפול בבקשות לתמיכות לשנת 2022</t>
  </si>
  <si>
    <t>נעשתה פניה ל4 מציעים</t>
  </si>
  <si>
    <t>תשלום מלא מותנה בהצגת 2 אבני הדרך הראשונות אשר בהצעת המחיר</t>
  </si>
  <si>
    <r>
      <t xml:space="preserve">אושרה ההצעה פה אחד לתקופה של </t>
    </r>
    <r>
      <rPr>
        <b/>
        <sz val="10"/>
        <color rgb="FF00B050"/>
        <rFont val="Arial"/>
        <family val="2"/>
      </rPr>
      <t>שנה</t>
    </r>
  </si>
  <si>
    <t xml:space="preserve">בהמשך להחלטה מס' 2021-02-04 מבקשים הגדלת התקשרות לפי סעיף 3.21 לנוהל התקשרויות </t>
  </si>
  <si>
    <t>הרצאה של ד"ר יעל דורון  לקהילת החממה לשכירות ומנהלות בכפר-סבא שחוגגת יום הולדת 3</t>
  </si>
  <si>
    <t>יועצת ראש העיר לקידום מעמד האישה- טלי רונה</t>
  </si>
  <si>
    <t>יעל דורון מכון זוגות בע"מ</t>
  </si>
  <si>
    <t xml:space="preserve"> מבקשים  התקשרות לפי סעיף 3.21 לנוהל התקשרויות עבור הרצאה של מרצה מאוד מדוברת בגלל תוכנית טלוויזיה בתקופה של עומס וחשיבות שימור הקהילה בחרנו בתוכן מסייע ומעצים לרווחת נשות העיר והקהילה הואי ל ומדובר בהרצאה ייחודית בנושא זוגיות (ספקית ייחודית) ולרגל חגיגות יום הולדת 3 לקהילת החממה לשכירות ומנהלות של מועצת נשים כפר-סבא</t>
  </si>
  <si>
    <t>החלטה מס' 2021-14-01</t>
  </si>
  <si>
    <t>החלטה מס' 2021-14-02</t>
  </si>
  <si>
    <t>יועץ פיננסי לקול קורא SMT</t>
  </si>
  <si>
    <t>מ.אברהם- עו"ד</t>
  </si>
  <si>
    <t>next step up</t>
  </si>
  <si>
    <t>ששון נעים ושות'</t>
  </si>
  <si>
    <t>שרון זימרמן</t>
  </si>
  <si>
    <t>המציע המבוקש הינו המתאימם ביותר זאת בשל ניסיון רב בעבודה מול האיחוד האירופי ועבודה עם פרויקטים דומים בעבר.כמו כן, מכסת השעות הינו עד 60 דקות והתאם לשעות העבודה בפועל</t>
  </si>
  <si>
    <t>החלטה מס' 2021-14-03</t>
  </si>
  <si>
    <t>יועץ חשמל למכרז תחזוקת רמזורים</t>
  </si>
  <si>
    <t xml:space="preserve">  מ"מ ס. מנהל מחלקת חשמל ומיזוג- עבאדי יצחק  </t>
  </si>
  <si>
    <t>IUB</t>
  </si>
  <si>
    <t xml:space="preserve">טנדו </t>
  </si>
  <si>
    <t xml:space="preserve">דוד ברהום </t>
  </si>
  <si>
    <t xml:space="preserve">אריאל מלכה </t>
  </si>
  <si>
    <t>החלטה מס' 2021-14-04</t>
  </si>
  <si>
    <t xml:space="preserve">יועץ חשמל למכרז אחזקתה ושיפוץ שדרוג מע' חשמל מוס"ח ועירייה </t>
  </si>
  <si>
    <t>תיקון החלטה- יעוץ תנועה</t>
  </si>
  <si>
    <t xml:space="preserve">בהחלטה המקורית 2021-12.1-8 אושר סכום התקשרות ע"ס 9,600 ₪ . הסכום שאושר הינו שכ"ט חודשי ויש צורך בשכ"ט שנתי ולכן מובא בשנית לתיקון בועדה. כמנו כן, נעשתה פניה ל- 5 יועצים לקבלת הצעת מחיר רק 2 הגישו הצעה.    </t>
  </si>
  <si>
    <t>החלטה מס' 2021-14-05</t>
  </si>
  <si>
    <t>החלטה מס' 2021-14-06</t>
  </si>
  <si>
    <t>החלטה מס' 2021-14-07</t>
  </si>
  <si>
    <t>החלטה מס' 2021-14-08</t>
  </si>
  <si>
    <t xml:space="preserve"> פרויקט תל חי - דרום -  יעוץ אגרונומי</t>
  </si>
  <si>
    <t>שמעון גיטליץ - ראש אגף תשתיות בינוי ופיתוח</t>
  </si>
  <si>
    <t>אור-לי שפירא</t>
  </si>
  <si>
    <t>אלכס שפירא</t>
  </si>
  <si>
    <t>ד.ב.ש. יעוץ ופיקוח</t>
  </si>
  <si>
    <t>דני אלמליח</t>
  </si>
  <si>
    <t>שצקי בן מאיר</t>
  </si>
  <si>
    <t>ג.ב</t>
  </si>
  <si>
    <t>ספיר מהנדסים</t>
  </si>
  <si>
    <t>א. גולן מהנדסים</t>
  </si>
  <si>
    <t xml:space="preserve">זמיר גת </t>
  </si>
  <si>
    <t>שלאבנה ג'אודת</t>
  </si>
  <si>
    <t>צבי כהן</t>
  </si>
  <si>
    <t>ישראל שני</t>
  </si>
  <si>
    <t xml:space="preserve"> יועץ חשמל - רחוב בן גוריון</t>
  </si>
  <si>
    <t xml:space="preserve">שביל אופניים המוביל  ניהול פרויקטים - </t>
  </si>
  <si>
    <t xml:space="preserve"> יעוץ קונסטרוקציה - שביל אופניים בן יהודה (הגליל הנביאים)</t>
  </si>
  <si>
    <t xml:space="preserve"> מאושר בכפוף להתקשרות הסכם מסגרת על ביצוע בסיס תקציב קיים </t>
  </si>
  <si>
    <t>החלטה מס' 2021-14-09</t>
  </si>
  <si>
    <t>שביל אופניים רחוב  תל חי- תכנון אדריכל נוף</t>
  </si>
  <si>
    <t>שימרית רז</t>
  </si>
  <si>
    <t>וקסמן - סריג</t>
  </si>
  <si>
    <t>הנ"ל במקום אדריכל נוף שעזב</t>
  </si>
  <si>
    <t>יועלה מחדש לאחר בחינת הנושא</t>
  </si>
  <si>
    <t>בכפוף למתן הנחה של 1000 ₪ .לאור ההחלטה נעשתה פניה למציע לבקשת הנחה וזה אישר את גובה ההנחה. הוצגה לועדה הצעה מתוקנת. הועדה אישרה את הבקשה</t>
  </si>
  <si>
    <t>פרוטוקול ועדת התקשרויות מס' 2021-14 תאריך: 30/09/2021</t>
  </si>
  <si>
    <t xml:space="preserve">אסנת חכמון - מנהלת אגף חינוך </t>
  </si>
  <si>
    <t>edu now חינוך פורץ גבולות</t>
  </si>
  <si>
    <t xml:space="preserve">בהמשך להחלטה מס' 2021-07-02 מבקשים הגדלת התקשרות לפי סעיף 3.21 לנוהל התקשרויות </t>
  </si>
  <si>
    <t>החלטה מס' 2021-15-01</t>
  </si>
  <si>
    <t>החלטה מס' 2021-15-02</t>
  </si>
  <si>
    <t>החלטה מס' 2021-15-03</t>
  </si>
  <si>
    <t>החלטה מס' 2021-15-04</t>
  </si>
  <si>
    <t>החלטה מס' 2021-15-05</t>
  </si>
  <si>
    <t>החלטה מס' 2021-15-07</t>
  </si>
  <si>
    <t>תיקון החלטה - הגדלה לחוזה - יועצת נוף - כללי</t>
  </si>
  <si>
    <t>בהמשך להחלטה 2021-08-11 , מבקשים הגדלת התקשרות לפי סעיף 3.21 לנוהל התקשרויות עד תום  הליך  המכרז לאדריכל נוף, בהחלטה המקורית אושרו 200 ש' עבודה עד סוף אוקטובר לאחר אישור המנכ"ל מבקשים לאשר 400 ש' עבודה עגד סוף השנה הנוכחית.</t>
  </si>
  <si>
    <t>נדיה בוגון - ס.מנהל אגף תשתיות בינוי ופיתוח</t>
  </si>
  <si>
    <t>רונן שכנר</t>
  </si>
  <si>
    <t>אמי מתום</t>
  </si>
  <si>
    <t>קראוס-חן</t>
  </si>
  <si>
    <t>החלטה מס' 2021-15-08</t>
  </si>
  <si>
    <t>החלפת ריהוט בבית הכנסת הגדול</t>
  </si>
  <si>
    <t>ריקי גרוזמן</t>
  </si>
  <si>
    <t>רבקה כרמי</t>
  </si>
  <si>
    <t>ציון אסולין</t>
  </si>
  <si>
    <t xml:space="preserve"> קידום בריאות בבתי ספר יסודיים ועל יסודיים </t>
  </si>
  <si>
    <t>שרון ג'ורג'י- מנהלת המחלקה לקידום הבריאות ולחוסן עירוני</t>
  </si>
  <si>
    <t>מיכל סגל</t>
  </si>
  <si>
    <t>הדס חלימי</t>
  </si>
  <si>
    <t>מיטל מינסטר</t>
  </si>
  <si>
    <t xml:space="preserve">מיכל סגל היא תזונאית קלינית בעלת ניסיון בפיתוח תוכניות וליווי צוותים חינוכיים בקידום בריאות . עובדת   מול  צוותי בתי ספר ומחלקת גני ילדים ויוצרת רצף חינוכי  מהגיל הרך ועד העל יסודי.   </t>
  </si>
  <si>
    <t>בקרה במזנונים</t>
  </si>
  <si>
    <t>נגה מרקו</t>
  </si>
  <si>
    <t>מיטל מינסטר דיאטנית תברואנית עם שנות וותק וניסיון בהנחיית רשויות מקומיות ומלווה את כפר-סבא בחמש השנים האחרונות: כותבת מכרז+מנחה יום הכשרה לבעלי הזנונים+מבצעת בקרות בשטח וכותבת דוחות</t>
  </si>
  <si>
    <r>
      <rPr>
        <b/>
        <sz val="10"/>
        <rFont val="Arial"/>
        <family val="2"/>
      </rPr>
      <t>חגית ברגמן</t>
    </r>
    <r>
      <rPr>
        <sz val="10"/>
        <rFont val="Arial"/>
        <family val="2"/>
      </rPr>
      <t xml:space="preserve"> </t>
    </r>
  </si>
  <si>
    <t>החלטה מס' 2021-15-06</t>
  </si>
  <si>
    <t>החלטה מס' 2021-15-09</t>
  </si>
  <si>
    <t>החלטה מס' 2021-13.1-01</t>
  </si>
  <si>
    <t>החלטה מס' 2021-13.1-02</t>
  </si>
  <si>
    <t xml:space="preserve">שבילי אופניים (הגליל, רופין, אז"ר) + רחוב גלר </t>
  </si>
  <si>
    <t>זמיר גת הנדסה</t>
  </si>
  <si>
    <t>הועדה ביקשה הנחה ל-3.3 %. נעשתה פניה ע"י שמעון גיטליץ להסכמת היועץ.</t>
  </si>
  <si>
    <t>מרום תובל</t>
  </si>
  <si>
    <t>החלטה מס' 2021-13.1-03</t>
  </si>
  <si>
    <t>תכנית מרתפים צמודי קרקע</t>
  </si>
  <si>
    <t xml:space="preserve">אדריכלית העיר - מיכל שרייבר </t>
  </si>
  <si>
    <t>אביב AMCG</t>
  </si>
  <si>
    <t>מאושר חלופה ב' בהצעת המחיר בכפוף להנחה של 20%. מצ"ב הצעת מחיר מעודכנת בהתאם(חלופה ב' =95,000 ) .</t>
  </si>
  <si>
    <t xml:space="preserve">ענת ברקאי נבו </t>
  </si>
  <si>
    <t xml:space="preserve">אמנון פרנקל </t>
  </si>
  <si>
    <t>מצ</t>
  </si>
  <si>
    <t>החלטה מס' 2021-13.1-04</t>
  </si>
  <si>
    <t xml:space="preserve">בקשה לקבלת הצעה לעריכת יזמים להצגת פרוייקטי התחדשדות עירונית </t>
  </si>
  <si>
    <t xml:space="preserve">מהנדסת העיר- עליזה זיידלר גרנות </t>
  </si>
  <si>
    <t>שירה הספרי</t>
  </si>
  <si>
    <t>.</t>
  </si>
  <si>
    <t>אורלי כתב</t>
  </si>
  <si>
    <t>חנן בראל</t>
  </si>
  <si>
    <t xml:space="preserve"> הגדלת התקשרות- הנהלת חשבונות פוטו וולתאים</t>
  </si>
  <si>
    <t>אורית דנאי גנדל- ס. גזבר</t>
  </si>
  <si>
    <t>יוספי שאוער רו"ח</t>
  </si>
  <si>
    <t>בהמשך להחלטה מיום 26.1.12 מבקשים הגדלת התקשרות לפי סעיף 3.21 לנוהל התקשרויות  וזאת לאור הרחבת הפרויקט למס' אתרים גדול יותר</t>
  </si>
  <si>
    <t>החלטה מס' 2021-15-10</t>
  </si>
  <si>
    <t>החלטה מס' 2021-15-11</t>
  </si>
  <si>
    <t>החלטה מס' 2021-15-12</t>
  </si>
  <si>
    <t>החלטה מס' 2021-15-13</t>
  </si>
  <si>
    <t>מזור - פירשט אדרכלים ומתכנני ערים</t>
  </si>
  <si>
    <t>יועץ בטיחות במוסדות העירייה</t>
  </si>
  <si>
    <t>253020
246017</t>
  </si>
  <si>
    <t>סייפטי פוינט - גיל אלבויים</t>
  </si>
  <si>
    <t>לבטח הנדסה ובטיחותי</t>
  </si>
  <si>
    <t>מכ-לין בע"מ דניאל לוין</t>
  </si>
  <si>
    <t>הגדלת התקשרות- קידום מחודש של תכנית המתאר הכוללנית</t>
  </si>
  <si>
    <t>בהמשך להחלטה 2020-16-09 מבקשים הגדלת התקשרות לפי סעיף 3.21 לנוהל התקשרויות עבור הידרולוג</t>
  </si>
  <si>
    <t>פרוטוקול ועדת התקשרויות מס' 2021-15 תאריך: 19/10/2021</t>
  </si>
  <si>
    <t xml:space="preserve"> ספירות תנועה בצומת מרומזר עבור 5 צמתים ברחבי העיר </t>
  </si>
  <si>
    <t xml:space="preserve">לאור החלטות וועדה 2021-12.1 מתבקש להעבירהצעה מאוחדת שכוללת את כל האתרים </t>
  </si>
  <si>
    <t>שביל אופניים בן יהודה - אדריכל נוף</t>
  </si>
  <si>
    <t>תב"ר 2250062951</t>
  </si>
  <si>
    <t>צוור - וולף</t>
  </si>
  <si>
    <t>אילנה קליין</t>
  </si>
  <si>
    <t>סוזנה-ליהוא</t>
  </si>
  <si>
    <t>סריג - וקסמן</t>
  </si>
  <si>
    <t>ליווי מכרז למתן שירותי הדפסה לחשבונות ארנונה שילוט וחינוך</t>
  </si>
  <si>
    <t xml:space="preserve">אגף הכנסות </t>
  </si>
  <si>
    <t xml:space="preserve">תשתיות מידע </t>
  </si>
  <si>
    <t>טיפ קון</t>
  </si>
  <si>
    <t>מניב הכנסות בע"מ</t>
  </si>
  <si>
    <t xml:space="preserve"> </t>
  </si>
  <si>
    <t>בכפוף באישור תקציבי</t>
  </si>
  <si>
    <t>לא ענו</t>
  </si>
  <si>
    <t>משתתפים: יובל בודניצקי - מנכ"ל העירייה, צבי אפרת- ס/גזבר, יעקב אוחין - נציג יועמ"ש, רעות סימונס -מ"מ רכזת הוועדה, מהנדסת העיר- עליזה זיידלר גרנות, מנהלים רלוונטים</t>
  </si>
  <si>
    <t xml:space="preserve"> הארכת התקשרות- יעוץ לראש העיר בתחום מדיניות  חינוך וקהילה</t>
  </si>
  <si>
    <t>בכפוף להורדת אחוז שכ"ט ל- 3.5%.לאור ההחלטה נעשתה פניה למציע לבקשת הנחה וזה אישר את גובה ההנחה. הוצגה לועדה הצעה מתוקנת. הועדה אישרה את הבקשה</t>
  </si>
  <si>
    <t>פרוטוקול ועדת התקשרויות מס' 2021-16 תאריך: 02/11/2021</t>
  </si>
  <si>
    <t>החלטה מס' 2021-16-01</t>
  </si>
  <si>
    <t>אריק גולדיאן</t>
  </si>
  <si>
    <t xml:space="preserve"> הגדלת התקשרות- יועץ לביקורת חניית רכבי מאגר</t>
  </si>
  <si>
    <t>אריק גולדיאן רשום כמייצג העירייה בפני שלטונות המס. במסגרת הייצוג של העירייה הוא מבצע במהלך השנה בדיקות לנוכחות רכבי מאגר במחסן העירייה לאחר שעות העבודה.</t>
  </si>
  <si>
    <t>הגדלת התקשרות- ייועץ תוכנית לקידום חינוך בנושא סביבה במערכת החינוך (בתי ספר וגני ילדים) פרק ב' במסגרת קול קורא של המשרד להגנת הסביבה</t>
  </si>
  <si>
    <t>החלטה מס' 2021-16-02</t>
  </si>
  <si>
    <t>בהמשך להחלטה מס' 2020-15-22 מבקשים הגדלת התקשרות לפי סעיף 3.21 לנוהל התקשרויות, הואיל וכדי לאפשר את הכלת הקול קורא בשנת הלימודים תשפ"ב,  מחכים לאישור היועצת להמשך הפרויקט.</t>
  </si>
  <si>
    <t>שחר פלום</t>
  </si>
  <si>
    <t>חידון הקיימות העירוני תשפ"א</t>
  </si>
  <si>
    <t>החלטה מס' 2021-16-03</t>
  </si>
  <si>
    <t>קומיוניטי</t>
  </si>
  <si>
    <t>היחידה הסביבתית</t>
  </si>
  <si>
    <t>נעשתה פניה ל-3 מציעים. המציע השלישי אינו מעוניין</t>
  </si>
  <si>
    <t>החלטה מס' 2021-16-04</t>
  </si>
  <si>
    <t>החלטה מס' 2021-16-05</t>
  </si>
  <si>
    <t>החלטה מס' 2021-16-06</t>
  </si>
  <si>
    <t>הגדלת התקשרות - שביל אופניים רחוב תל חי  - מדידות</t>
  </si>
  <si>
    <t>י.דוידובסקי אחזקות</t>
  </si>
  <si>
    <t>שמעון גיטליץ - מנהל אגף תשתיות פיתוח ובינוי</t>
  </si>
  <si>
    <t>צבי וכליס- מנהל מח' פיקוח על הבניה</t>
  </si>
  <si>
    <t>תב"ר תכנון 44014</t>
  </si>
  <si>
    <t>ג.גוטמן ניהול והנדסת בטיחות בע"מ</t>
  </si>
  <si>
    <t>מתן שירותים הנדסיים בתחום אדריכלות במבני העירייה קיימים למחלקת מבני ציבור</t>
  </si>
  <si>
    <t>253020
246014</t>
  </si>
  <si>
    <t>בהמשך להחלטה מס' 2018-25-10 חוזה 54/19  מבקשים הגדלת התקשרות לפי סעיף 3.21 לנוהל התקשרויות</t>
  </si>
  <si>
    <t>בהמשך להחלטה מס' 2019-06-03  חוזה 336/19 מבקשים הגדלת התקשרות לפי סעיף 3.21 לנוהל התקשרויות</t>
  </si>
  <si>
    <t>מאושר עד גובה של 30 שעות</t>
  </si>
  <si>
    <t>בכפוף למתן הנחה נוספת</t>
  </si>
  <si>
    <t xml:space="preserve"> הגדלת התקשרות- בדיקת תיקי בטיחות באתרי בניה</t>
  </si>
  <si>
    <t>מאושר לתקופה של שנה עד 20 פרויקטים</t>
  </si>
  <si>
    <t>משתתפים: יובל בודניצקי - מנכ"ל העירייה, צבי אפרת- ס/גזבר, אלון בן זקן - יועמ"ש, רעות סימונס -מ"מ רכזת הוועדה, מהנדסת העיר- עליזה זיידלר גרנות, מנהלים רלוונטים</t>
  </si>
  <si>
    <t>החלטה מס' 2021-16-07</t>
  </si>
  <si>
    <t>ניהול קהילת נשות העסקים</t>
  </si>
  <si>
    <t>ימית דהרי ורחלי לושי ברקת</t>
  </si>
  <si>
    <t>אמנות התודעה</t>
  </si>
  <si>
    <t>מיה מילר</t>
  </si>
  <si>
    <t>פרוטוקול ועדת התקשרויות מס' 2021-17 תאריך: 08/11/2021</t>
  </si>
  <si>
    <t>יועץ כלכלי לגזברות</t>
  </si>
  <si>
    <t>מ"מ גזבר העיריה- צחי בן אדרת</t>
  </si>
  <si>
    <t xml:space="preserve">משרד קסלמן - PWC </t>
  </si>
  <si>
    <t>אופר בוכניק</t>
  </si>
  <si>
    <t>החלטה מס' 2021-17-01</t>
  </si>
  <si>
    <t>הערות:  לאור בדחיפות הועבר בסבב מיילים</t>
  </si>
  <si>
    <t>14,400 ₪</t>
  </si>
  <si>
    <t>16,848 ₪</t>
  </si>
  <si>
    <t>בתאריך 5/7/2021 אושרה הבקשה על גובה 20,358 ₪ . הצעת המחיר שהוגשה הינה על סך 14,400 ₪ לפני מע"מ ולכן מבוצע תיקון בשכ"ט (11/11/2021).</t>
  </si>
  <si>
    <t xml:space="preserve"> יועץ תנועה - תכנון שביל אופניים ברחוב אז''ר</t>
  </si>
  <si>
    <t>יועץ תנועה - תכנון שביל אופניים ברחוב הגליל</t>
  </si>
  <si>
    <t>יועץ תנועה - תכנון שביל אופניים ברחוב רופין</t>
  </si>
  <si>
    <t>משתתפים: יובל בודניצקי - מנכ"ל העירייה, צחי בן אדרת- מ"מ גזבר, אלון בן זקן - יועמ"ש, רעות סימונס -מ"מ רכזת הוועדה, מהנדסת העיר- עליזה זיידלר גרנות, מנהלים רלוונטים</t>
  </si>
  <si>
    <t>החלטה מס' 2021-18-01</t>
  </si>
  <si>
    <t>החלטה מס' 2021-18-02</t>
  </si>
  <si>
    <t>החלטה מס' 2021-18-03</t>
  </si>
  <si>
    <t>החלטה מס' 2021-18-04</t>
  </si>
  <si>
    <t>החלטה מס' 2021-18-05</t>
  </si>
  <si>
    <t>שרותים הנדסיים בתחום חשמל למחלקת מבני ציבור</t>
  </si>
  <si>
    <t>אריאל מלכה מהנדסים</t>
  </si>
  <si>
    <t>שדרוג והרחבת חטיבת אלון</t>
  </si>
  <si>
    <t>ערן זילברמן</t>
  </si>
  <si>
    <t>ניהול פרוייקט הכנת קובץ פרטים סטנדרטיים</t>
  </si>
  <si>
    <t>עמי יפה ניהול פרוייקטים</t>
  </si>
  <si>
    <t>נעשתה פניה לשלושה מציעים נוספים (  מריו גולדשטיין, זמיר גת הנדסה, מעוז הנדסה) לא התקבלה הצעת מחיר מהיועצים.</t>
  </si>
  <si>
    <t>ספירות תנועה בצומת כביש 5504 כניסה לכס/50</t>
  </si>
  <si>
    <t>יונדיה בוגון - ס. מנהל אגף תשתיות</t>
  </si>
  <si>
    <t>ספירות תנועה עבור בדיקת השינוי בנפחי תנועה וביקושים לצורכי הכנת חוות דעת תנועתית.</t>
  </si>
  <si>
    <t>שביל אופניים רחוב תל חי - דרום,יועץ נגישות</t>
  </si>
  <si>
    <t>תב"ר תל חי</t>
  </si>
  <si>
    <t>סדר יום- ועדת התקשרויות מס' 2021-18 תאריך: 30/11/2021</t>
  </si>
  <si>
    <t>מיכל שרייבר גלבנדורף אדריכלית העיר</t>
  </si>
  <si>
    <t>2440132951 תבעות שונות</t>
  </si>
  <si>
    <t>החלטה מס' 2021-18-10</t>
  </si>
  <si>
    <t>אדריכל נוף - מהיר לעיר DP5</t>
  </si>
  <si>
    <t xml:space="preserve">למשרד זה חוזה לתכנון הכניסה לעיר.  במסגרת עבודה זו נקבעה שפת הרחוב של המהיר לעיר  בהתאם לשפה זו בחן היועץ את הרחוב לגבי סוגיות תיכנוניות.   מבקשים לפטור ממכרז מאחר ואנו מבקשים כי שפת התכנון תהיה זהה לכל אורך התוואי. ולמתכנן זה יש את המיידע והידע לביצוע זאת.  כל משרד אחר שייכנס לנעליו יידרש ללמוד את הפרוייקט.   אנו במצוקה של זמן מאחר והשאיפה לסיים את DP5 עד קיץ 2022 </t>
  </si>
  <si>
    <t>מס מרכבה 1001002493</t>
  </si>
  <si>
    <t>שצקי את בן מאיר</t>
  </si>
  <si>
    <t>סטודיו אורבנוף</t>
  </si>
  <si>
    <t>החלטה מס' 2021-17-02</t>
  </si>
  <si>
    <t>ארגון והפקת שבוע חינוך בכפר סבא</t>
  </si>
  <si>
    <t>מנהלת אגף חינוך אסנת חכמון</t>
  </si>
  <si>
    <t>פוקסיה הפקות</t>
  </si>
  <si>
    <t>ידיים יוצרות</t>
  </si>
  <si>
    <t>וייסמן הפקות</t>
  </si>
  <si>
    <t>נעשתה פניה ל-4 מציעים. המציע הרביעי אינו מעוניין</t>
  </si>
  <si>
    <t>החלטה מס' 2021-17-03</t>
  </si>
  <si>
    <t>מוגנות מינית לילדים</t>
  </si>
  <si>
    <t>שני חן כהן- מנהלת הרשות למניעת אלימות, סמים ואלכוהול</t>
  </si>
  <si>
    <t>לתת פה</t>
  </si>
  <si>
    <t>מהות ישראל</t>
  </si>
  <si>
    <t>מידע אמין על מין</t>
  </si>
  <si>
    <t>לתת פה, מומחים בתחומם בהנגשת הנושא של פגיעות מיניות בילדים, כל סדנא שלהם משותפת גם להורים ועבדו איתנו בשנתיים האחרונות וזו תוכנית ייחודית שאושרה ע"י הפיקוח היועצות</t>
  </si>
  <si>
    <t>החלטה מס' 2021-17-04</t>
  </si>
  <si>
    <t>מניעת אלימות בבתי ספר ושיפור אקלים חיובי</t>
  </si>
  <si>
    <t>מרכז מצמיחים</t>
  </si>
  <si>
    <t>קשת אנושית</t>
  </si>
  <si>
    <t>עמותת רקפת</t>
  </si>
  <si>
    <t xml:space="preserve">מרכז מצמיחים פועל הכחלק מתוכניות חנוך רחבות למען שיפור אקלים מיטבי </t>
  </si>
  <si>
    <t>החלטה מס' 2021-17-05</t>
  </si>
  <si>
    <t>מוגנות מינית ומניעת אלימות מינית מתבגרים</t>
  </si>
  <si>
    <t>מרכז סיוע לנפגעי לתקיפה מינית</t>
  </si>
  <si>
    <t>שלי פורפר רוזן</t>
  </si>
  <si>
    <t>סדנאות מרכז סיוע הינן ללא מע"מ- לכן הסכום 1450 הוא לכיתה, שתעבור 3 סדנאות, המרכז עובד איתנו שנים רבות, מעביר את החומר בצורה מקצועית מאוד עם שביעות רצון מצד הצוות החינוכי ומצד התלמידים וההורים</t>
  </si>
  <si>
    <t>מוגנות ברשת</t>
  </si>
  <si>
    <t>ד"ר עמיר גפן</t>
  </si>
  <si>
    <t>גלעד האן</t>
  </si>
  <si>
    <t>דורון הרמן</t>
  </si>
  <si>
    <t>התנהוגיות סיכון ומניעת שימוש בחומרים פסיכואקטיביים</t>
  </si>
  <si>
    <t>רן בראון</t>
  </si>
  <si>
    <t>אלה שוורצמן</t>
  </si>
  <si>
    <t>איתי מלר</t>
  </si>
  <si>
    <t xml:space="preserve">	15,938.46</t>
  </si>
  <si>
    <t>18,648 ₪</t>
  </si>
  <si>
    <t>משרד של צור וולף (דן צור לשעבר) תכנן את שכונת הפארק במסגרת חוזה 80/97.  תכנון זה כלל תכנון ראשוני ושפת תכנון.  לאחר מכן הופעל משרד זה לתכנון מקטעים על פי התקדמות הבניה במתחם.  בשנים אחרונות לא בוצעו כל עבודות פיתוח במתח.  אנו רוצים להשלים תכנון ולצאת לביצוע לשאר העבודות במתחם.  מאחר ומדובר בערב רב של מקטעים (חלק בכל רחוב) קשה לכמת לפרוייקט ומבקשים להעסיק את משרד צור וולף על פי שעות.</t>
  </si>
  <si>
    <t>צור וולף - אדריכלות נוף</t>
  </si>
  <si>
    <t>מבקש להאריך את חוזה מנהל הפרוייקט.  פרוייקט פיתוח שכונת הפארק החל  לפני כמה שנים ונעצר.  לאור איכלוס של בתים רבים בשכונה מבקש להמשיך את הפרוייקט</t>
  </si>
  <si>
    <t>זמיר - גת</t>
  </si>
  <si>
    <t>אפלבאום מדידות</t>
  </si>
  <si>
    <t xml:space="preserve"> מס מרכבה 1001002493</t>
  </si>
  <si>
    <t>הארכת חוזה קיים בשל תוספת עבודה (מאברהם קרן לתל חי), הגדלת שטח העבודה ב 15%</t>
  </si>
  <si>
    <t>שריג וקסמן</t>
  </si>
  <si>
    <t>מירב מור אופיר</t>
  </si>
  <si>
    <t xml:space="preserve"> תזונאית בגני הילדים</t>
  </si>
  <si>
    <t>שירה ברף- מנהלת מחלקת חינוך קדם יסודי</t>
  </si>
  <si>
    <t>איריס אינברגר</t>
  </si>
  <si>
    <t>מדובר ב48 שעות חודשיות לתקופה של 10 חודשים</t>
  </si>
  <si>
    <t>יועץ כלכלי למנהל אגף הכנסות</t>
  </si>
  <si>
    <t xml:space="preserve"> הגדלת התקשרות- יעוץ אסטרטגי ושירותי לובינג בנושא מאבק בתחנות הכוח</t>
  </si>
  <si>
    <t>יובל בודניצקי- מנכ"ל העיריה</t>
  </si>
  <si>
    <t>הקבינט</t>
  </si>
  <si>
    <t>דבורה הררי</t>
  </si>
  <si>
    <t>אורי בארי רואה חשבון</t>
  </si>
  <si>
    <t>אופיר אוני ושות</t>
  </si>
  <si>
    <t>שכ"ט הינו עפ"י שעות ייעוץ בפועל ובהתאם לצורך האגף, מבקשים לאשר התקשרות בהתאם לצורך עם כלל המציעים.</t>
  </si>
  <si>
    <t>אושר בסבב מיילים באמצעות שמעון מנהל אגף תשתיות</t>
  </si>
  <si>
    <t>שיפוץ עומק של 10 גני ילדים - אדריכלות</t>
  </si>
  <si>
    <t>רם כרמי אדריכלים</t>
  </si>
  <si>
    <t>אדם בקר</t>
  </si>
  <si>
    <t>החלטה מס' 2021-18-06</t>
  </si>
  <si>
    <t>החלטה מס' 2021-18-07</t>
  </si>
  <si>
    <t>החלטה מס' 2021-18-08</t>
  </si>
  <si>
    <t>החלטה מס' 2021-18-09</t>
  </si>
  <si>
    <t>החלטה מס' 2021-18-11</t>
  </si>
  <si>
    <t>החלטה מס' 2021-18-13</t>
  </si>
  <si>
    <t>החלטה מס' 2021-18-14</t>
  </si>
  <si>
    <t>הגדלת התקשרות - ייעוץ שימור</t>
  </si>
  <si>
    <t>הגדלת התקשרות  - ייעוץ בתחום  הכנת תוכנית השימור - השלמת מסמכי תוכנית השימור</t>
  </si>
  <si>
    <t xml:space="preserve">החלטה מס'' 2021-18-12  </t>
  </si>
  <si>
    <t>בהמשך לחוזה מס'  148/20 מבקשים הגדלת התקשרות לפי סעיף 3.21 לנוהל התקשרויות,</t>
  </si>
  <si>
    <t xml:space="preserve">  בהמשך לחוזה מס'  148/20 מבקשים הגדלת התקשרות לפי סעיף 3.21 לנוהל התקשרויות   - בית הכנסת - ליווי תכנון מעטפת חיצונית בלבד (150 אלש"ח),  תיק תיעוד (40 אלש"ח)</t>
  </si>
  <si>
    <t xml:space="preserve"> יועץ תחבורה ציבורית הילדים</t>
  </si>
  <si>
    <t>אסף גולן- מנהל מחלקת הסעות</t>
  </si>
  <si>
    <t>תהילה גפני קליין</t>
  </si>
  <si>
    <t>שי קלוט</t>
  </si>
  <si>
    <t xml:space="preserve">    בהמשך להחלטה מס'  2021- 14-06 מבקשים הגדלת התקשרות לפי סעיף 3.21 לנוהל התקשרויות, הואיל ויש צורך בהארכת החוזה הקיים  , עדכון הצעת מחיר בשל תוספת שטח (מאברהם קרן עד תל חי)  </t>
  </si>
  <si>
    <t>הגדלת התקשרות- פיתוח שכונת הפארק - אדריכל נוף</t>
  </si>
  <si>
    <t>הגדלת התקשרות- פיתוח שכונת הפארק - ניהול פרויקטים</t>
  </si>
  <si>
    <t>מאושר רק תיק תיעוד ע"ס 40,000</t>
  </si>
  <si>
    <t>לבקש הנחה משמעותית על גובה 35,000</t>
  </si>
  <si>
    <t>אושר פה אחד התקשרות עם כל המציעים בהתאם לצורך</t>
  </si>
  <si>
    <t>משתתפים: יובל בודניצקי - מנכ"ל העירייה, צחי בן אדרת-  מ"מ גזבר, אלון בן זקן - יועמ"ש, רעות סימונס -מ"מ רכזת הוועדה, מהנדסת העיר- עליזה זיידלר גרנות, מנהלים רלוונטים</t>
  </si>
  <si>
    <t>פרוטוקול ועדת התקשרויות מס' 2021-18 תאריך: 06/12/2021</t>
  </si>
  <si>
    <t xml:space="preserve">	21,818.16</t>
  </si>
  <si>
    <t>יעלה</t>
  </si>
  <si>
    <t>לא נדון, יעלה בוועדה הבאה</t>
  </si>
  <si>
    <t>הגדלת התקשרות-  יעוץ חשמל -תכנון  רחוב בן גוריון</t>
  </si>
  <si>
    <t>הגדלת התקשרות- תכנון רחוב בן גוריון - יועץ מדידות</t>
  </si>
  <si>
    <t>בהמשך להחלטה מס' 2020-12-05 מבקשים הגדלת התקשרות לפי סעיף 3.21 לנוהל התקשרויות, הואיל ויש צורך בהארכת החוזה הקיים לשנה נוספת. הסכום החודשי המוצע בהצעת המחיר כולל מע"מ</t>
  </si>
  <si>
    <t>אחוזים בפועל</t>
  </si>
  <si>
    <t>פרוטוקול ועדת התקשרויות מס' 2021-19 תאריך: 27/12/2021</t>
  </si>
  <si>
    <t>החלטה מס' 2021-19-01</t>
  </si>
  <si>
    <t>גיוס כ"א</t>
  </si>
  <si>
    <t>ענת קרן- מנהלת מח' כ"א</t>
  </si>
  <si>
    <t xml:space="preserve">שווה אייץ'.אר - הכוונה תעסוקתית בע"מ </t>
  </si>
  <si>
    <t>תגבור</t>
  </si>
  <si>
    <t>דנאל משאבי אנוש</t>
  </si>
  <si>
    <t>נישה הייטק – גיוס והשמה בע"מ</t>
  </si>
  <si>
    <t>חבר הון אנושי בע"מ</t>
  </si>
  <si>
    <t>אחוזים משכר עובד</t>
  </si>
  <si>
    <t>משתתפים: יובל בודניצקי - מנכ"ל העירייה, צחי בן אדרת-מ"מ גזבר, אלון בן זקן - יועמ"ש,  רעות סימונס -מ"מ רכזת הוועדה, מהנדסת העיר- עליזה זיידלר גרנות, מנהלים רלוונטים</t>
  </si>
  <si>
    <t>שימוש נקודתי בחברת כ"א בהתאם לצורך, לצורך השמת כ"א שלא אותר בדרכים אחרות (מכרז/ דרושים)</t>
  </si>
  <si>
    <t>הגדלת התקשרות - תכנון רח בן גוריון -  ייעוץ סביבתי</t>
  </si>
  <si>
    <t>הארכת חוזה קיים  783/18 בשל תוספת עבודה (מאברהם קרן לתל חי), הגדלת שטח העבודה ב 15%</t>
  </si>
  <si>
    <t>החלטה מס' 2021-18-15</t>
  </si>
  <si>
    <r>
      <t>פרוטוקול ועדת התקשרויות מס' 2021-</t>
    </r>
    <r>
      <rPr>
        <b/>
        <sz val="16"/>
        <color rgb="FFFF0000"/>
        <rFont val="Arial"/>
        <family val="2"/>
      </rPr>
      <t>13.1</t>
    </r>
    <r>
      <rPr>
        <b/>
        <sz val="16"/>
        <rFont val="Arial"/>
        <family val="2"/>
      </rPr>
      <t xml:space="preserve"> תאריך: 3/10/2021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</si>
</sst>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7" formatCode="&quot;₪&quot;\ #,##0.00;&quot;₪&quot;\ \-#,##0.00"/>
    <numFmt numFmtId="8" formatCode="&quot;₪&quot;\ #,##0.00;[Red]&quot;₪&quot;\ \-#,##0.00"/>
    <numFmt numFmtId="44" formatCode="_ &quot;₪&quot;\ * #,##0.00_ ;_ &quot;₪&quot;\ * \-#,##0.00_ ;_ &quot;₪&quot;\ * &quot;-&quot;??_ ;_ @_ "/>
    <numFmt numFmtId="164" formatCode="_(&quot;₪&quot;* #,##0.00_);_(&quot;₪&quot;* \(#,##0.00\);_(&quot;₪&quot;* &quot;-&quot;??_);_(@_)"/>
    <numFmt numFmtId="165" formatCode="_(* #,##0.00_);_(* \(#,##0.00\);_(* &quot;-&quot;??_);_(@_)"/>
    <numFmt numFmtId="166" formatCode="&quot;₪&quot;\ #,##0"/>
    <numFmt numFmtId="167" formatCode="&quot;₪&quot;\ #,##0.00"/>
    <numFmt numFmtId="168" formatCode="[$₪-40D]\ #,##0"/>
  </numFmts>
  <fonts count="45" x14ac:knownFonts="1">
    <font>
      <sz val="11"/>
      <color theme="1"/>
      <name val="Arial"/>
      <family val="2"/>
      <charset val="177"/>
      <scheme val="minor"/>
    </font>
    <font>
      <sz val="11"/>
      <color rgb="FF006100"/>
      <name val="Arial"/>
      <family val="2"/>
      <charset val="177"/>
      <scheme val="minor"/>
    </font>
    <font>
      <sz val="11"/>
      <color rgb="FF9C0006"/>
      <name val="Arial"/>
      <family val="2"/>
      <charset val="177"/>
      <scheme val="minor"/>
    </font>
    <font>
      <b/>
      <sz val="16"/>
      <name val="Arial"/>
      <family val="2"/>
    </font>
    <font>
      <b/>
      <sz val="10"/>
      <name val="Arial"/>
      <family val="2"/>
    </font>
    <font>
      <b/>
      <sz val="12"/>
      <name val="Arial"/>
      <family val="2"/>
    </font>
    <font>
      <sz val="10"/>
      <name val="Arial"/>
      <family val="2"/>
    </font>
    <font>
      <sz val="10"/>
      <color theme="1"/>
      <name val="Arial"/>
      <family val="2"/>
      <scheme val="minor"/>
    </font>
    <font>
      <sz val="11"/>
      <color rgb="FF008000"/>
      <name val="Arial"/>
      <family val="2"/>
      <charset val="177"/>
      <scheme val="minor"/>
    </font>
    <font>
      <sz val="10"/>
      <name val="Arial"/>
      <family val="2"/>
      <charset val="177"/>
      <scheme val="minor"/>
    </font>
    <font>
      <sz val="12"/>
      <name val="Arial"/>
      <family val="2"/>
      <scheme val="minor"/>
    </font>
    <font>
      <sz val="11"/>
      <color theme="1"/>
      <name val="Arial"/>
      <family val="2"/>
      <charset val="177"/>
      <scheme val="minor"/>
    </font>
    <font>
      <b/>
      <sz val="11"/>
      <name val="Arial"/>
      <family val="2"/>
    </font>
    <font>
      <sz val="9"/>
      <name val="Arial"/>
      <family val="2"/>
    </font>
    <font>
      <sz val="10"/>
      <name val="Arial"/>
      <family val="2"/>
      <scheme val="minor"/>
    </font>
    <font>
      <sz val="11"/>
      <color theme="1"/>
      <name val="Arial"/>
      <family val="2"/>
    </font>
    <font>
      <b/>
      <sz val="9"/>
      <name val="Arial"/>
      <family val="2"/>
    </font>
    <font>
      <sz val="9"/>
      <name val="Arial"/>
      <family val="2"/>
      <charset val="177"/>
      <scheme val="minor"/>
    </font>
    <font>
      <sz val="8"/>
      <name val="Arial"/>
      <family val="2"/>
      <charset val="177"/>
      <scheme val="minor"/>
    </font>
    <font>
      <sz val="10"/>
      <color rgb="FF9C0006"/>
      <name val="Arial"/>
      <family val="2"/>
      <charset val="177"/>
      <scheme val="minor"/>
    </font>
    <font>
      <b/>
      <sz val="10"/>
      <color rgb="FF00B050"/>
      <name val="Arial"/>
      <family val="2"/>
    </font>
    <font>
      <sz val="10"/>
      <color theme="1"/>
      <name val="Times New Roman"/>
      <family val="1"/>
    </font>
    <font>
      <b/>
      <sz val="12"/>
      <color theme="1"/>
      <name val="Arial"/>
      <family val="2"/>
    </font>
    <font>
      <b/>
      <sz val="12"/>
      <color rgb="FF000000"/>
      <name val="Arial"/>
      <family val="2"/>
    </font>
    <font>
      <sz val="10"/>
      <color rgb="FF000000"/>
      <name val="Arial"/>
      <family val="2"/>
    </font>
    <font>
      <sz val="10"/>
      <color theme="1"/>
      <name val="Arial"/>
      <family val="2"/>
    </font>
    <font>
      <b/>
      <sz val="10"/>
      <color theme="1"/>
      <name val="Arial"/>
      <family val="2"/>
    </font>
    <font>
      <sz val="11"/>
      <color rgb="FF006100"/>
      <name val="Arial"/>
      <family val="2"/>
    </font>
    <font>
      <sz val="11"/>
      <color theme="1"/>
      <name val="Arial"/>
      <family val="2"/>
      <scheme val="minor"/>
    </font>
    <font>
      <sz val="11"/>
      <name val="Arial"/>
      <family val="2"/>
      <charset val="177"/>
      <scheme val="minor"/>
    </font>
    <font>
      <b/>
      <sz val="10"/>
      <name val="Arial"/>
      <family val="2"/>
      <scheme val="minor"/>
    </font>
    <font>
      <sz val="11"/>
      <name val="Arial"/>
      <family val="2"/>
    </font>
    <font>
      <b/>
      <u/>
      <sz val="10"/>
      <name val="Arial"/>
      <family val="2"/>
    </font>
    <font>
      <sz val="10"/>
      <color theme="1"/>
      <name val="Arial"/>
      <family val="2"/>
      <charset val="177"/>
      <scheme val="minor"/>
    </font>
    <font>
      <u/>
      <sz val="10"/>
      <name val="Arial"/>
      <family val="2"/>
    </font>
    <font>
      <sz val="11"/>
      <name val="Arial"/>
      <family val="2"/>
      <scheme val="minor"/>
    </font>
    <font>
      <sz val="9"/>
      <color theme="1"/>
      <name val="Arial"/>
      <family val="2"/>
      <scheme val="minor"/>
    </font>
    <font>
      <sz val="8"/>
      <name val="Arial"/>
      <family val="2"/>
    </font>
    <font>
      <b/>
      <sz val="10"/>
      <color theme="1"/>
      <name val="Arial"/>
      <family val="2"/>
      <scheme val="minor"/>
    </font>
    <font>
      <sz val="10"/>
      <color rgb="FF006100"/>
      <name val="Arial"/>
      <family val="2"/>
      <scheme val="minor"/>
    </font>
    <font>
      <b/>
      <sz val="16"/>
      <color rgb="FFFF0000"/>
      <name val="Arial"/>
      <family val="2"/>
    </font>
    <font>
      <b/>
      <sz val="12"/>
      <color rgb="FFFF0000"/>
      <name val="Arial"/>
      <family val="2"/>
    </font>
    <font>
      <sz val="12"/>
      <name val="Arial"/>
      <family val="2"/>
    </font>
    <font>
      <b/>
      <sz val="14"/>
      <name val="Arial"/>
      <family val="2"/>
    </font>
    <font>
      <b/>
      <sz val="10"/>
      <color rgb="FFFF0000"/>
      <name val="Arial"/>
      <family val="2"/>
    </font>
  </fonts>
  <fills count="20">
    <fill>
      <patternFill patternType="none"/>
    </fill>
    <fill>
      <patternFill patternType="gray125"/>
    </fill>
    <fill>
      <patternFill patternType="solid">
        <fgColor rgb="FFC6EFCE"/>
      </patternFill>
    </fill>
    <fill>
      <patternFill patternType="solid">
        <fgColor rgb="FFFFC7CE"/>
      </patternFill>
    </fill>
    <fill>
      <patternFill patternType="solid">
        <fgColor theme="0" tint="-0.14999847407452621"/>
        <bgColor indexed="64"/>
      </patternFill>
    </fill>
    <fill>
      <patternFill patternType="solid">
        <fgColor theme="2"/>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59999389629810485"/>
        <bgColor indexed="64"/>
      </patternFill>
    </fill>
    <fill>
      <patternFill patternType="solid">
        <fgColor rgb="FFE7E6E6"/>
        <bgColor indexed="64"/>
      </patternFill>
    </fill>
    <fill>
      <patternFill patternType="solid">
        <fgColor rgb="FFFFFFFF"/>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9" tint="0.39997558519241921"/>
        <bgColor indexed="64"/>
      </patternFill>
    </fill>
    <fill>
      <patternFill patternType="solid">
        <fgColor rgb="FFFFFF99"/>
        <bgColor indexed="64"/>
      </patternFill>
    </fill>
    <fill>
      <patternFill patternType="solid">
        <fgColor theme="9" tint="0.79998168889431442"/>
        <bgColor indexed="64"/>
      </patternFill>
    </fill>
    <fill>
      <patternFill patternType="solid">
        <fgColor rgb="FFFDCECD"/>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7" tint="0.39997558519241921"/>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s>
  <cellStyleXfs count="5">
    <xf numFmtId="0" fontId="0" fillId="0" borderId="0"/>
    <xf numFmtId="0" fontId="1" fillId="2" borderId="0" applyNumberFormat="0" applyBorder="0" applyAlignment="0" applyProtection="0"/>
    <xf numFmtId="0" fontId="2" fillId="3" borderId="0" applyNumberFormat="0" applyBorder="0" applyAlignment="0" applyProtection="0"/>
    <xf numFmtId="9" fontId="11" fillId="0" borderId="0" applyFont="0" applyFill="0" applyBorder="0" applyAlignment="0" applyProtection="0"/>
    <xf numFmtId="165" fontId="11" fillId="0" borderId="0" applyFont="0" applyFill="0" applyBorder="0" applyAlignment="0" applyProtection="0"/>
  </cellStyleXfs>
  <cellXfs count="803">
    <xf numFmtId="0" fontId="0" fillId="0" borderId="0" xfId="0"/>
    <xf numFmtId="0" fontId="5" fillId="0" borderId="1" xfId="0" applyFont="1" applyBorder="1" applyAlignment="1">
      <alignment horizontal="center" vertical="center" wrapText="1" readingOrder="2"/>
    </xf>
    <xf numFmtId="166" fontId="5" fillId="0" borderId="1" xfId="0" applyNumberFormat="1" applyFont="1" applyBorder="1" applyAlignment="1">
      <alignment vertical="center" wrapText="1" readingOrder="2"/>
    </xf>
    <xf numFmtId="166" fontId="5" fillId="0" borderId="1" xfId="0" applyNumberFormat="1" applyFont="1" applyBorder="1" applyAlignment="1">
      <alignment horizontal="right" vertical="center" wrapText="1" readingOrder="2"/>
    </xf>
    <xf numFmtId="3" fontId="6" fillId="0" borderId="1" xfId="0" applyNumberFormat="1" applyFont="1" applyFill="1" applyBorder="1" applyAlignment="1">
      <alignment horizontal="center" vertical="center" wrapText="1" readingOrder="2"/>
    </xf>
    <xf numFmtId="167" fontId="6" fillId="0" borderId="1" xfId="0" applyNumberFormat="1" applyFont="1" applyFill="1" applyBorder="1" applyAlignment="1">
      <alignment horizontal="center" vertical="center" wrapText="1" readingOrder="2"/>
    </xf>
    <xf numFmtId="0" fontId="0" fillId="0" borderId="0" xfId="0" applyFill="1"/>
    <xf numFmtId="0" fontId="0" fillId="0" borderId="0" xfId="0" applyAlignment="1">
      <alignment readingOrder="2"/>
    </xf>
    <xf numFmtId="166" fontId="0" fillId="0" borderId="0" xfId="0" applyNumberFormat="1" applyAlignment="1">
      <alignment readingOrder="2"/>
    </xf>
    <xf numFmtId="0" fontId="10" fillId="0" borderId="0" xfId="0" applyFont="1" applyAlignment="1">
      <alignment readingOrder="2"/>
    </xf>
    <xf numFmtId="0" fontId="10" fillId="0" borderId="0" xfId="0" applyFont="1" applyFill="1"/>
    <xf numFmtId="0" fontId="7" fillId="0" borderId="0" xfId="0" applyFont="1" applyAlignment="1">
      <alignment horizontal="center" vertical="center"/>
    </xf>
    <xf numFmtId="167" fontId="9" fillId="0" borderId="1" xfId="2" applyNumberFormat="1" applyFont="1" applyFill="1" applyBorder="1" applyAlignment="1">
      <alignment horizontal="center" vertical="center" wrapText="1" readingOrder="2"/>
    </xf>
    <xf numFmtId="0" fontId="6" fillId="6" borderId="1" xfId="0" applyFont="1" applyFill="1" applyBorder="1" applyAlignment="1">
      <alignment horizontal="center" vertical="center" wrapText="1" readingOrder="2"/>
    </xf>
    <xf numFmtId="3" fontId="6" fillId="6" borderId="1" xfId="0" applyNumberFormat="1" applyFont="1" applyFill="1" applyBorder="1" applyAlignment="1">
      <alignment horizontal="center" vertical="center" wrapText="1" readingOrder="2"/>
    </xf>
    <xf numFmtId="167" fontId="6" fillId="6" borderId="1" xfId="0" applyNumberFormat="1" applyFont="1" applyFill="1" applyBorder="1" applyAlignment="1">
      <alignment horizontal="center" vertical="center" wrapText="1" readingOrder="2"/>
    </xf>
    <xf numFmtId="0" fontId="9" fillId="6" borderId="1" xfId="2" applyFont="1" applyFill="1" applyBorder="1" applyAlignment="1">
      <alignment horizontal="center" vertical="center" wrapText="1" readingOrder="2"/>
    </xf>
    <xf numFmtId="3" fontId="9" fillId="6" borderId="1" xfId="2" applyNumberFormat="1" applyFont="1" applyFill="1" applyBorder="1" applyAlignment="1">
      <alignment horizontal="center" vertical="center" wrapText="1" readingOrder="2"/>
    </xf>
    <xf numFmtId="167" fontId="9" fillId="6" borderId="1" xfId="2" applyNumberFormat="1" applyFont="1" applyFill="1" applyBorder="1" applyAlignment="1">
      <alignment horizontal="center" vertical="center" wrapText="1" readingOrder="2"/>
    </xf>
    <xf numFmtId="0" fontId="9" fillId="0" borderId="1" xfId="2" applyFont="1" applyFill="1" applyBorder="1" applyAlignment="1">
      <alignment horizontal="center" vertical="center" wrapText="1" readingOrder="2"/>
    </xf>
    <xf numFmtId="0" fontId="5" fillId="0" borderId="0" xfId="0" applyFont="1" applyFill="1" applyBorder="1" applyAlignment="1">
      <alignment horizontal="center" vertical="center" readingOrder="2"/>
    </xf>
    <xf numFmtId="0" fontId="0" fillId="0" borderId="1" xfId="0" applyBorder="1"/>
    <xf numFmtId="167" fontId="14" fillId="6" borderId="1" xfId="2" applyNumberFormat="1" applyFont="1" applyFill="1" applyBorder="1" applyAlignment="1">
      <alignment horizontal="center" vertical="center" wrapText="1" readingOrder="2"/>
    </xf>
    <xf numFmtId="0" fontId="15" fillId="0" borderId="0" xfId="0" applyFont="1" applyAlignment="1">
      <alignment horizontal="right" vertical="center" readingOrder="2"/>
    </xf>
    <xf numFmtId="3" fontId="9" fillId="0" borderId="1" xfId="2" applyNumberFormat="1" applyFont="1" applyFill="1" applyBorder="1" applyAlignment="1">
      <alignment horizontal="center" vertical="center" wrapText="1" readingOrder="2"/>
    </xf>
    <xf numFmtId="9" fontId="9" fillId="6" borderId="1" xfId="3" applyFont="1" applyFill="1" applyBorder="1" applyAlignment="1">
      <alignment horizontal="center" vertical="center" wrapText="1" readingOrder="2"/>
    </xf>
    <xf numFmtId="0" fontId="6" fillId="8" borderId="1" xfId="0" applyFont="1" applyFill="1" applyBorder="1" applyAlignment="1">
      <alignment horizontal="center" vertical="center" wrapText="1" readingOrder="2"/>
    </xf>
    <xf numFmtId="3" fontId="6" fillId="8" borderId="1" xfId="0" applyNumberFormat="1" applyFont="1" applyFill="1" applyBorder="1" applyAlignment="1">
      <alignment horizontal="center" vertical="center" wrapText="1" readingOrder="2"/>
    </xf>
    <xf numFmtId="167" fontId="6" fillId="8" borderId="1" xfId="0" applyNumberFormat="1" applyFont="1" applyFill="1" applyBorder="1" applyAlignment="1">
      <alignment horizontal="center" vertical="center" wrapText="1" readingOrder="2"/>
    </xf>
    <xf numFmtId="3" fontId="9" fillId="8" borderId="1" xfId="2" applyNumberFormat="1" applyFont="1" applyFill="1" applyBorder="1" applyAlignment="1">
      <alignment horizontal="center" vertical="center" wrapText="1" readingOrder="2"/>
    </xf>
    <xf numFmtId="167" fontId="9" fillId="8" borderId="1" xfId="2" applyNumberFormat="1" applyFont="1" applyFill="1" applyBorder="1" applyAlignment="1">
      <alignment horizontal="center" vertical="center" wrapText="1" readingOrder="2"/>
    </xf>
    <xf numFmtId="0" fontId="9" fillId="8" borderId="1" xfId="2" applyFont="1" applyFill="1" applyBorder="1" applyAlignment="1">
      <alignment horizontal="center" vertical="center" wrapText="1" readingOrder="2"/>
    </xf>
    <xf numFmtId="0" fontId="7" fillId="0" borderId="5" xfId="0" applyFont="1" applyBorder="1" applyAlignment="1">
      <alignment horizontal="center" vertical="center" wrapText="1"/>
    </xf>
    <xf numFmtId="0" fontId="16" fillId="0" borderId="5" xfId="0" applyFont="1" applyFill="1" applyBorder="1" applyAlignment="1">
      <alignment horizontal="center" vertical="center" wrapText="1" readingOrder="2"/>
    </xf>
    <xf numFmtId="167" fontId="6" fillId="0" borderId="1" xfId="0" applyNumberFormat="1" applyFont="1" applyBorder="1" applyAlignment="1">
      <alignment horizontal="center" vertical="center" wrapText="1" readingOrder="2"/>
    </xf>
    <xf numFmtId="0" fontId="5" fillId="0" borderId="1" xfId="0" applyFont="1" applyFill="1" applyBorder="1" applyAlignment="1">
      <alignment horizontal="center" vertical="center" wrapText="1" readingOrder="2"/>
    </xf>
    <xf numFmtId="167" fontId="17" fillId="6" borderId="1" xfId="2" applyNumberFormat="1" applyFont="1" applyFill="1" applyBorder="1" applyAlignment="1">
      <alignment horizontal="center" vertical="center" wrapText="1" readingOrder="2"/>
    </xf>
    <xf numFmtId="0" fontId="13" fillId="0" borderId="5" xfId="0" applyFont="1" applyBorder="1" applyAlignment="1">
      <alignment horizontal="center" vertical="center" wrapText="1" readingOrder="2"/>
    </xf>
    <xf numFmtId="3" fontId="6" fillId="0" borderId="1" xfId="0" applyNumberFormat="1" applyFont="1" applyBorder="1" applyAlignment="1">
      <alignment horizontal="center" vertical="center" wrapText="1" readingOrder="2"/>
    </xf>
    <xf numFmtId="0" fontId="4" fillId="0" borderId="0" xfId="0" applyFont="1" applyFill="1" applyBorder="1" applyAlignment="1">
      <alignment horizontal="right" vertical="center" wrapText="1" readingOrder="2"/>
    </xf>
    <xf numFmtId="0" fontId="6" fillId="0" borderId="7" xfId="0" applyFont="1" applyFill="1" applyBorder="1" applyAlignment="1">
      <alignment horizontal="center" vertical="center" wrapText="1" readingOrder="2"/>
    </xf>
    <xf numFmtId="0" fontId="8" fillId="0" borderId="5" xfId="0" applyFont="1" applyBorder="1" applyAlignment="1">
      <alignment horizontal="center" vertical="center"/>
    </xf>
    <xf numFmtId="0" fontId="8" fillId="0" borderId="1" xfId="0" applyFont="1" applyBorder="1" applyAlignment="1">
      <alignment horizontal="center" vertical="center"/>
    </xf>
    <xf numFmtId="0" fontId="4" fillId="0" borderId="5" xfId="0" applyFont="1" applyFill="1" applyBorder="1" applyAlignment="1">
      <alignment horizontal="center" vertical="center" wrapText="1" readingOrder="2"/>
    </xf>
    <xf numFmtId="164" fontId="1" fillId="0" borderId="5" xfId="1" applyNumberFormat="1" applyFill="1" applyBorder="1" applyAlignment="1">
      <alignment horizontal="center" vertical="center" wrapText="1"/>
    </xf>
    <xf numFmtId="0" fontId="7" fillId="0" borderId="5" xfId="0" applyFont="1" applyFill="1" applyBorder="1" applyAlignment="1">
      <alignment horizontal="center" vertical="center" wrapText="1" readingOrder="2"/>
    </xf>
    <xf numFmtId="0" fontId="6" fillId="0" borderId="5" xfId="0" applyFont="1" applyFill="1" applyBorder="1" applyAlignment="1">
      <alignment horizontal="center" vertical="center" wrapText="1" readingOrder="2"/>
    </xf>
    <xf numFmtId="167" fontId="5" fillId="0" borderId="5" xfId="0" applyNumberFormat="1" applyFont="1" applyFill="1" applyBorder="1" applyAlignment="1">
      <alignment horizontal="center" vertical="center" wrapText="1" readingOrder="2"/>
    </xf>
    <xf numFmtId="0" fontId="5" fillId="0" borderId="1" xfId="0" applyFont="1" applyFill="1" applyBorder="1" applyAlignment="1">
      <alignment horizontal="center" vertical="center" readingOrder="2"/>
    </xf>
    <xf numFmtId="0" fontId="6" fillId="0" borderId="1" xfId="0" applyFont="1" applyFill="1" applyBorder="1" applyAlignment="1">
      <alignment horizontal="center" vertical="center" wrapText="1" readingOrder="2"/>
    </xf>
    <xf numFmtId="0" fontId="4" fillId="0" borderId="1" xfId="0" applyFont="1" applyBorder="1" applyAlignment="1">
      <alignment horizontal="center" vertical="center" wrapText="1" readingOrder="2"/>
    </xf>
    <xf numFmtId="0" fontId="5" fillId="0" borderId="1" xfId="0" applyFont="1" applyBorder="1" applyAlignment="1">
      <alignment horizontal="center" vertical="center" readingOrder="2"/>
    </xf>
    <xf numFmtId="0" fontId="6" fillId="0" borderId="1" xfId="0" applyFont="1" applyBorder="1" applyAlignment="1">
      <alignment horizontal="center" vertical="center" wrapText="1" readingOrder="2"/>
    </xf>
    <xf numFmtId="0" fontId="6" fillId="0" borderId="5" xfId="0" applyFont="1" applyBorder="1" applyAlignment="1">
      <alignment horizontal="center" vertical="center" wrapText="1" readingOrder="2"/>
    </xf>
    <xf numFmtId="164" fontId="1" fillId="0" borderId="5" xfId="1" applyNumberFormat="1" applyFill="1" applyBorder="1" applyAlignment="1">
      <alignment horizontal="center" vertical="center" wrapText="1"/>
    </xf>
    <xf numFmtId="0" fontId="4" fillId="0" borderId="5" xfId="0" applyFont="1" applyFill="1" applyBorder="1" applyAlignment="1">
      <alignment horizontal="center" vertical="center" wrapText="1" readingOrder="2"/>
    </xf>
    <xf numFmtId="0" fontId="6" fillId="0" borderId="5" xfId="0" applyFont="1" applyFill="1" applyBorder="1" applyAlignment="1">
      <alignment horizontal="center" vertical="center" wrapText="1" readingOrder="2"/>
    </xf>
    <xf numFmtId="167" fontId="5" fillId="0" borderId="5" xfId="0" applyNumberFormat="1" applyFont="1" applyFill="1" applyBorder="1" applyAlignment="1">
      <alignment horizontal="center" vertical="center" wrapText="1" readingOrder="2"/>
    </xf>
    <xf numFmtId="0" fontId="7" fillId="0" borderId="5" xfId="0" applyFont="1" applyFill="1" applyBorder="1" applyAlignment="1">
      <alignment horizontal="center" vertical="center" wrapText="1" readingOrder="2"/>
    </xf>
    <xf numFmtId="0" fontId="5" fillId="0" borderId="9" xfId="0" applyFont="1" applyBorder="1" applyAlignment="1">
      <alignment horizontal="center" vertical="center" readingOrder="2"/>
    </xf>
    <xf numFmtId="7" fontId="9" fillId="6" borderId="1" xfId="2" applyNumberFormat="1" applyFont="1" applyFill="1" applyBorder="1" applyAlignment="1">
      <alignment horizontal="center" vertical="center" wrapText="1" readingOrder="2"/>
    </xf>
    <xf numFmtId="0" fontId="4" fillId="0" borderId="5" xfId="0" applyFont="1" applyBorder="1" applyAlignment="1">
      <alignment horizontal="center" vertical="center" wrapText="1" readingOrder="2"/>
    </xf>
    <xf numFmtId="0" fontId="7" fillId="0" borderId="5" xfId="0" applyFont="1" applyBorder="1" applyAlignment="1">
      <alignment horizontal="center" vertical="center" wrapText="1" readingOrder="2"/>
    </xf>
    <xf numFmtId="0" fontId="4" fillId="0" borderId="3" xfId="0" applyFont="1" applyBorder="1" applyAlignment="1">
      <alignment horizontal="right" vertical="center" wrapText="1" readingOrder="2"/>
    </xf>
    <xf numFmtId="0" fontId="4" fillId="0" borderId="4" xfId="0" applyFont="1" applyBorder="1" applyAlignment="1">
      <alignment horizontal="right" vertical="center" wrapText="1" readingOrder="2"/>
    </xf>
    <xf numFmtId="0" fontId="0" fillId="0" borderId="2" xfId="0" applyBorder="1" applyAlignment="1">
      <alignment horizontal="center" readingOrder="2"/>
    </xf>
    <xf numFmtId="0" fontId="5" fillId="0" borderId="3" xfId="0" applyFont="1" applyFill="1" applyBorder="1" applyAlignment="1">
      <alignment horizontal="center" vertical="center" readingOrder="2"/>
    </xf>
    <xf numFmtId="0" fontId="5" fillId="0" borderId="3" xfId="0" applyFont="1" applyBorder="1" applyAlignment="1">
      <alignment horizontal="center" vertical="center" readingOrder="2"/>
    </xf>
    <xf numFmtId="0" fontId="5" fillId="0" borderId="3" xfId="0" applyFont="1" applyBorder="1" applyAlignment="1">
      <alignment horizontal="center" vertical="center" wrapText="1" readingOrder="2"/>
    </xf>
    <xf numFmtId="166" fontId="5" fillId="0" borderId="3" xfId="0" applyNumberFormat="1" applyFont="1" applyBorder="1" applyAlignment="1">
      <alignment vertical="center" wrapText="1" readingOrder="2"/>
    </xf>
    <xf numFmtId="166" fontId="5" fillId="0" borderId="3" xfId="0" applyNumberFormat="1" applyFont="1" applyBorder="1" applyAlignment="1">
      <alignment horizontal="right" vertical="center" wrapText="1" readingOrder="2"/>
    </xf>
    <xf numFmtId="0" fontId="4" fillId="0" borderId="3" xfId="0" applyFont="1" applyBorder="1" applyAlignment="1">
      <alignment horizontal="center" vertical="center" wrapText="1" readingOrder="2"/>
    </xf>
    <xf numFmtId="0" fontId="5" fillId="0" borderId="3" xfId="0" applyFont="1" applyFill="1" applyBorder="1" applyAlignment="1">
      <alignment horizontal="center" vertical="center" wrapText="1" readingOrder="2"/>
    </xf>
    <xf numFmtId="0" fontId="5" fillId="0" borderId="4" xfId="0" applyFont="1" applyBorder="1" applyAlignment="1">
      <alignment horizontal="center" vertical="center" wrapText="1" readingOrder="2"/>
    </xf>
    <xf numFmtId="44" fontId="1" fillId="0" borderId="5" xfId="1" applyNumberFormat="1" applyFill="1" applyBorder="1" applyAlignment="1">
      <alignment horizontal="center" vertical="center" wrapText="1"/>
    </xf>
    <xf numFmtId="167" fontId="5" fillId="0" borderId="1" xfId="0" applyNumberFormat="1" applyFont="1" applyBorder="1" applyAlignment="1">
      <alignment horizontal="center" vertical="center" wrapText="1" readingOrder="2"/>
    </xf>
    <xf numFmtId="0" fontId="7" fillId="0" borderId="1" xfId="0" applyFont="1" applyBorder="1" applyAlignment="1">
      <alignment horizontal="center" vertical="center" wrapText="1" readingOrder="2"/>
    </xf>
    <xf numFmtId="167" fontId="17" fillId="0" borderId="1" xfId="2" applyNumberFormat="1" applyFont="1" applyFill="1" applyBorder="1" applyAlignment="1">
      <alignment horizontal="center" vertical="center" wrapText="1" readingOrder="2"/>
    </xf>
    <xf numFmtId="0" fontId="6" fillId="7" borderId="1" xfId="0" applyFont="1" applyFill="1" applyBorder="1" applyAlignment="1">
      <alignment horizontal="center" vertical="center" wrapText="1" readingOrder="2"/>
    </xf>
    <xf numFmtId="3" fontId="6" fillId="7" borderId="1" xfId="0" applyNumberFormat="1" applyFont="1" applyFill="1" applyBorder="1" applyAlignment="1">
      <alignment horizontal="center" vertical="center" wrapText="1" readingOrder="2"/>
    </xf>
    <xf numFmtId="167" fontId="5" fillId="0" borderId="5" xfId="0" applyNumberFormat="1" applyFont="1" applyBorder="1" applyAlignment="1">
      <alignment horizontal="center" vertical="center" wrapText="1" readingOrder="2"/>
    </xf>
    <xf numFmtId="0" fontId="2" fillId="3" borderId="1" xfId="2" applyBorder="1" applyAlignment="1">
      <alignment horizontal="center" vertical="center" wrapText="1" readingOrder="2"/>
    </xf>
    <xf numFmtId="3" fontId="2" fillId="3" borderId="1" xfId="2" applyNumberFormat="1" applyBorder="1" applyAlignment="1">
      <alignment horizontal="center" vertical="center" wrapText="1" readingOrder="2"/>
    </xf>
    <xf numFmtId="167" fontId="2" fillId="3" borderId="1" xfId="2" applyNumberFormat="1" applyBorder="1" applyAlignment="1">
      <alignment horizontal="center" vertical="center" wrapText="1" readingOrder="2"/>
    </xf>
    <xf numFmtId="0" fontId="5" fillId="0" borderId="1" xfId="0" applyFont="1" applyBorder="1" applyAlignment="1">
      <alignment horizontal="center" vertical="center" readingOrder="2"/>
    </xf>
    <xf numFmtId="0" fontId="6" fillId="0" borderId="1" xfId="0" applyFont="1" applyBorder="1" applyAlignment="1">
      <alignment horizontal="center" vertical="center" wrapText="1" readingOrder="2"/>
    </xf>
    <xf numFmtId="0" fontId="4" fillId="0" borderId="5" xfId="0" applyFont="1" applyBorder="1" applyAlignment="1">
      <alignment horizontal="center" vertical="center" wrapText="1" readingOrder="2"/>
    </xf>
    <xf numFmtId="0" fontId="5" fillId="0" borderId="1" xfId="0" applyFont="1" applyBorder="1" applyAlignment="1">
      <alignment horizontal="center" vertical="center" wrapText="1" readingOrder="2"/>
    </xf>
    <xf numFmtId="0" fontId="4" fillId="0" borderId="1" xfId="0" applyFont="1" applyBorder="1" applyAlignment="1">
      <alignment horizontal="center" vertical="center" wrapText="1" readingOrder="2"/>
    </xf>
    <xf numFmtId="0" fontId="6" fillId="0" borderId="5" xfId="0" applyFont="1" applyBorder="1" applyAlignment="1">
      <alignment horizontal="center" vertical="center" wrapText="1" readingOrder="2"/>
    </xf>
    <xf numFmtId="167" fontId="5" fillId="0" borderId="5" xfId="0" applyNumberFormat="1" applyFont="1" applyBorder="1" applyAlignment="1">
      <alignment horizontal="center" vertical="center" wrapText="1" readingOrder="2"/>
    </xf>
    <xf numFmtId="0" fontId="4" fillId="0" borderId="5" xfId="0" applyFont="1" applyFill="1" applyBorder="1" applyAlignment="1">
      <alignment horizontal="center" vertical="center" wrapText="1" readingOrder="2"/>
    </xf>
    <xf numFmtId="164" fontId="1" fillId="0" borderId="5" xfId="1" applyNumberFormat="1" applyFill="1" applyBorder="1" applyAlignment="1">
      <alignment horizontal="center" vertical="center" wrapText="1"/>
    </xf>
    <xf numFmtId="0" fontId="6" fillId="0" borderId="1" xfId="0" applyFont="1" applyBorder="1" applyAlignment="1">
      <alignment horizontal="center" vertical="center" wrapText="1" readingOrder="2"/>
    </xf>
    <xf numFmtId="0" fontId="6" fillId="0" borderId="1" xfId="0" applyFont="1" applyBorder="1" applyAlignment="1">
      <alignment horizontal="center" vertical="center" wrapText="1" readingOrder="2"/>
    </xf>
    <xf numFmtId="167" fontId="6" fillId="0" borderId="7" xfId="0" applyNumberFormat="1" applyFont="1" applyFill="1" applyBorder="1" applyAlignment="1">
      <alignment horizontal="center" vertical="center" wrapText="1" readingOrder="2"/>
    </xf>
    <xf numFmtId="0" fontId="6" fillId="0" borderId="10" xfId="0" applyFont="1" applyFill="1" applyBorder="1" applyAlignment="1">
      <alignment horizontal="center" vertical="center" wrapText="1" readingOrder="2"/>
    </xf>
    <xf numFmtId="167" fontId="19" fillId="3" borderId="4" xfId="2" applyNumberFormat="1" applyFont="1" applyBorder="1" applyAlignment="1">
      <alignment horizontal="center" vertical="center" wrapText="1" readingOrder="2"/>
    </xf>
    <xf numFmtId="167" fontId="19" fillId="3" borderId="1" xfId="2" applyNumberFormat="1" applyFont="1" applyBorder="1" applyAlignment="1">
      <alignment horizontal="center" vertical="center" wrapText="1" readingOrder="2"/>
    </xf>
    <xf numFmtId="167" fontId="19" fillId="3" borderId="2" xfId="2" applyNumberFormat="1" applyFont="1" applyBorder="1" applyAlignment="1">
      <alignment horizontal="center" vertical="center" wrapText="1" readingOrder="2"/>
    </xf>
    <xf numFmtId="0" fontId="6" fillId="0" borderId="1" xfId="0" applyFont="1" applyBorder="1" applyAlignment="1">
      <alignment horizontal="center" vertical="center" wrapText="1" readingOrder="2"/>
    </xf>
    <xf numFmtId="0" fontId="4" fillId="0" borderId="1" xfId="0" applyFont="1" applyBorder="1" applyAlignment="1">
      <alignment horizontal="center" vertical="center" wrapText="1" readingOrder="2"/>
    </xf>
    <xf numFmtId="0" fontId="5" fillId="0" borderId="1" xfId="0" applyFont="1" applyBorder="1" applyAlignment="1">
      <alignment horizontal="center" vertical="center" readingOrder="2"/>
    </xf>
    <xf numFmtId="0" fontId="5" fillId="0" borderId="1" xfId="0" applyFont="1" applyBorder="1" applyAlignment="1">
      <alignment horizontal="center" vertical="center" wrapText="1" readingOrder="2"/>
    </xf>
    <xf numFmtId="0" fontId="6" fillId="0" borderId="5" xfId="0" applyFont="1" applyFill="1" applyBorder="1" applyAlignment="1">
      <alignment horizontal="center" vertical="center" wrapText="1" readingOrder="2"/>
    </xf>
    <xf numFmtId="0" fontId="4" fillId="0" borderId="5" xfId="0" applyFont="1" applyFill="1" applyBorder="1" applyAlignment="1">
      <alignment horizontal="center" vertical="center" wrapText="1" readingOrder="2"/>
    </xf>
    <xf numFmtId="164" fontId="1" fillId="0" borderId="5" xfId="1" applyNumberFormat="1" applyFill="1" applyBorder="1" applyAlignment="1">
      <alignment horizontal="center" vertical="center" wrapText="1"/>
    </xf>
    <xf numFmtId="0" fontId="4" fillId="0" borderId="5" xfId="0" applyFont="1" applyFill="1" applyBorder="1" applyAlignment="1">
      <alignment horizontal="center" vertical="center" wrapText="1" readingOrder="2"/>
    </xf>
    <xf numFmtId="164" fontId="1" fillId="0" borderId="5" xfId="1" applyNumberFormat="1" applyFill="1" applyBorder="1" applyAlignment="1">
      <alignment horizontal="center" vertical="center" wrapText="1"/>
    </xf>
    <xf numFmtId="0" fontId="6" fillId="0" borderId="5" xfId="0" applyFont="1" applyFill="1" applyBorder="1" applyAlignment="1">
      <alignment horizontal="center" vertical="center" wrapText="1" readingOrder="2"/>
    </xf>
    <xf numFmtId="0" fontId="5" fillId="0" borderId="1" xfId="0" applyFont="1" applyBorder="1" applyAlignment="1">
      <alignment horizontal="center" vertical="center" readingOrder="2"/>
    </xf>
    <xf numFmtId="0" fontId="6" fillId="0" borderId="1" xfId="0" applyFont="1" applyBorder="1" applyAlignment="1">
      <alignment horizontal="center" vertical="center" wrapText="1" readingOrder="2"/>
    </xf>
    <xf numFmtId="0" fontId="5" fillId="0" borderId="1" xfId="0" applyFont="1" applyBorder="1" applyAlignment="1">
      <alignment horizontal="center" vertical="center" wrapText="1" readingOrder="2"/>
    </xf>
    <xf numFmtId="0" fontId="4" fillId="0" borderId="1" xfId="0" applyFont="1" applyBorder="1" applyAlignment="1">
      <alignment horizontal="center" vertical="center" wrapText="1" readingOrder="2"/>
    </xf>
    <xf numFmtId="0" fontId="6" fillId="0" borderId="5" xfId="0" applyFont="1" applyFill="1" applyBorder="1" applyAlignment="1">
      <alignment horizontal="center" vertical="center" wrapText="1" readingOrder="2"/>
    </xf>
    <xf numFmtId="0" fontId="4" fillId="0" borderId="5" xfId="0" applyFont="1" applyFill="1" applyBorder="1" applyAlignment="1">
      <alignment horizontal="center" vertical="center" wrapText="1" readingOrder="2"/>
    </xf>
    <xf numFmtId="164" fontId="1" fillId="0" borderId="5" xfId="1" applyNumberFormat="1" applyFill="1" applyBorder="1" applyAlignment="1">
      <alignment horizontal="center" vertical="center" wrapText="1"/>
    </xf>
    <xf numFmtId="0" fontId="6" fillId="0" borderId="1" xfId="0" applyFont="1" applyBorder="1" applyAlignment="1">
      <alignment horizontal="center" vertical="center" wrapText="1" readingOrder="2"/>
    </xf>
    <xf numFmtId="167" fontId="6" fillId="7" borderId="1" xfId="0" applyNumberFormat="1" applyFont="1" applyFill="1" applyBorder="1" applyAlignment="1">
      <alignment horizontal="center" vertical="center" wrapText="1" readingOrder="2"/>
    </xf>
    <xf numFmtId="10" fontId="6" fillId="0" borderId="1" xfId="3" applyNumberFormat="1" applyFont="1" applyFill="1" applyBorder="1" applyAlignment="1">
      <alignment horizontal="center" vertical="center" wrapText="1" readingOrder="2"/>
    </xf>
    <xf numFmtId="0" fontId="4" fillId="0" borderId="5" xfId="0" applyFont="1" applyFill="1" applyBorder="1" applyAlignment="1">
      <alignment horizontal="center" vertical="center" wrapText="1" readingOrder="2"/>
    </xf>
    <xf numFmtId="0" fontId="4" fillId="0" borderId="5" xfId="0" applyFont="1" applyFill="1" applyBorder="1" applyAlignment="1">
      <alignment horizontal="center" vertical="center" wrapText="1" readingOrder="2"/>
    </xf>
    <xf numFmtId="164" fontId="1" fillId="0" borderId="5" xfId="1" applyNumberFormat="1" applyFill="1" applyBorder="1" applyAlignment="1">
      <alignment horizontal="center" vertical="center" wrapText="1"/>
    </xf>
    <xf numFmtId="0" fontId="6" fillId="0" borderId="5" xfId="0" applyFont="1" applyFill="1" applyBorder="1" applyAlignment="1">
      <alignment horizontal="center" vertical="center" wrapText="1" readingOrder="2"/>
    </xf>
    <xf numFmtId="0" fontId="19" fillId="3" borderId="1" xfId="2" applyFont="1" applyBorder="1" applyAlignment="1">
      <alignment horizontal="center" vertical="center" wrapText="1" readingOrder="2"/>
    </xf>
    <xf numFmtId="3" fontId="19" fillId="3" borderId="1" xfId="2" applyNumberFormat="1" applyFont="1" applyBorder="1" applyAlignment="1">
      <alignment horizontal="center" vertical="center" wrapText="1" readingOrder="2"/>
    </xf>
    <xf numFmtId="0" fontId="4" fillId="0" borderId="5" xfId="0" applyFont="1" applyFill="1" applyBorder="1" applyAlignment="1">
      <alignment horizontal="center" vertical="center" wrapText="1" readingOrder="2"/>
    </xf>
    <xf numFmtId="164" fontId="1" fillId="0" borderId="5" xfId="1" applyNumberFormat="1" applyFill="1" applyBorder="1" applyAlignment="1">
      <alignment horizontal="center" vertical="center" wrapText="1"/>
    </xf>
    <xf numFmtId="0" fontId="6" fillId="0" borderId="5" xfId="0" applyFont="1" applyFill="1" applyBorder="1" applyAlignment="1">
      <alignment horizontal="center" vertical="center" wrapText="1" readingOrder="2"/>
    </xf>
    <xf numFmtId="0" fontId="6" fillId="0" borderId="1" xfId="0" applyFont="1" applyBorder="1" applyAlignment="1">
      <alignment horizontal="center" vertical="center" wrapText="1" readingOrder="2"/>
    </xf>
    <xf numFmtId="0" fontId="4" fillId="0" borderId="5" xfId="0" applyFont="1" applyFill="1" applyBorder="1" applyAlignment="1">
      <alignment horizontal="center" vertical="center" wrapText="1" readingOrder="2"/>
    </xf>
    <xf numFmtId="0" fontId="25" fillId="0" borderId="1" xfId="0" applyFont="1" applyBorder="1" applyAlignment="1">
      <alignment horizontal="center" vertical="center" wrapText="1" readingOrder="2"/>
    </xf>
    <xf numFmtId="0" fontId="24" fillId="10" borderId="1" xfId="0" applyFont="1" applyFill="1" applyBorder="1" applyAlignment="1">
      <alignment horizontal="center" vertical="center" wrapText="1" readingOrder="2"/>
    </xf>
    <xf numFmtId="10" fontId="25" fillId="0" borderId="1" xfId="0" applyNumberFormat="1" applyFont="1" applyBorder="1" applyAlignment="1">
      <alignment horizontal="center" vertical="center" wrapText="1" readingOrder="2"/>
    </xf>
    <xf numFmtId="8" fontId="24" fillId="10" borderId="1" xfId="0" applyNumberFormat="1" applyFont="1" applyFill="1" applyBorder="1" applyAlignment="1">
      <alignment horizontal="center" vertical="center" wrapText="1" readingOrder="2"/>
    </xf>
    <xf numFmtId="0" fontId="21" fillId="0" borderId="1" xfId="0" applyFont="1" applyBorder="1" applyAlignment="1">
      <alignment vertical="center" wrapText="1"/>
    </xf>
    <xf numFmtId="0" fontId="25" fillId="0" borderId="1" xfId="0" applyFont="1" applyBorder="1" applyAlignment="1">
      <alignment horizontal="center" vertical="center" wrapText="1" readingOrder="2"/>
    </xf>
    <xf numFmtId="0" fontId="6" fillId="0" borderId="5" xfId="0" applyFont="1" applyBorder="1" applyAlignment="1">
      <alignment horizontal="center" vertical="center" wrapText="1" readingOrder="2"/>
    </xf>
    <xf numFmtId="0" fontId="4" fillId="0" borderId="5" xfId="0" applyFont="1" applyFill="1" applyBorder="1" applyAlignment="1">
      <alignment horizontal="center" vertical="center" wrapText="1" readingOrder="2"/>
    </xf>
    <xf numFmtId="167" fontId="5" fillId="0" borderId="5" xfId="0" applyNumberFormat="1" applyFont="1" applyBorder="1" applyAlignment="1">
      <alignment horizontal="center" vertical="center" wrapText="1" readingOrder="2"/>
    </xf>
    <xf numFmtId="164" fontId="1" fillId="0" borderId="5" xfId="1" applyNumberFormat="1" applyFill="1" applyBorder="1" applyAlignment="1">
      <alignment horizontal="center" vertical="center" wrapText="1"/>
    </xf>
    <xf numFmtId="0" fontId="7" fillId="0" borderId="5" xfId="4" applyNumberFormat="1" applyFont="1" applyBorder="1" applyAlignment="1">
      <alignment horizontal="center" vertical="center" wrapText="1" readingOrder="2"/>
    </xf>
    <xf numFmtId="0" fontId="6" fillId="0" borderId="5" xfId="0" applyFont="1" applyFill="1" applyBorder="1" applyAlignment="1">
      <alignment horizontal="center" vertical="center" wrapText="1" readingOrder="2"/>
    </xf>
    <xf numFmtId="0" fontId="5" fillId="0" borderId="1" xfId="0" applyFont="1" applyBorder="1" applyAlignment="1">
      <alignment horizontal="center" vertical="center" readingOrder="2"/>
    </xf>
    <xf numFmtId="0" fontId="6" fillId="0" borderId="1" xfId="0" applyFont="1" applyBorder="1" applyAlignment="1">
      <alignment horizontal="center" vertical="center" wrapText="1" readingOrder="2"/>
    </xf>
    <xf numFmtId="0" fontId="5" fillId="0" borderId="1" xfId="0" applyFont="1" applyBorder="1" applyAlignment="1">
      <alignment horizontal="center" vertical="center" wrapText="1" readingOrder="2"/>
    </xf>
    <xf numFmtId="0" fontId="4" fillId="0" borderId="1" xfId="0" applyFont="1" applyBorder="1" applyAlignment="1">
      <alignment horizontal="center" vertical="center" wrapText="1" readingOrder="2"/>
    </xf>
    <xf numFmtId="0" fontId="6" fillId="0" borderId="5" xfId="0" applyFont="1" applyBorder="1" applyAlignment="1">
      <alignment horizontal="center" vertical="center" wrapText="1" readingOrder="2"/>
    </xf>
    <xf numFmtId="0" fontId="4" fillId="0" borderId="5" xfId="0" applyFont="1" applyFill="1" applyBorder="1" applyAlignment="1">
      <alignment horizontal="center" vertical="center" wrapText="1" readingOrder="2"/>
    </xf>
    <xf numFmtId="167" fontId="5" fillId="0" borderId="5" xfId="0" applyNumberFormat="1" applyFont="1" applyBorder="1" applyAlignment="1">
      <alignment horizontal="center" vertical="center" wrapText="1" readingOrder="2"/>
    </xf>
    <xf numFmtId="164" fontId="1" fillId="0" borderId="5" xfId="1" applyNumberFormat="1" applyFill="1" applyBorder="1" applyAlignment="1">
      <alignment horizontal="center" vertical="center" wrapText="1"/>
    </xf>
    <xf numFmtId="0" fontId="7" fillId="0" borderId="5" xfId="4" applyNumberFormat="1" applyFont="1" applyBorder="1" applyAlignment="1">
      <alignment horizontal="center" vertical="center" wrapText="1" readingOrder="2"/>
    </xf>
    <xf numFmtId="0" fontId="6" fillId="0" borderId="1" xfId="0" applyFont="1" applyBorder="1" applyAlignment="1">
      <alignment horizontal="center" vertical="center" wrapText="1" readingOrder="2"/>
    </xf>
    <xf numFmtId="8" fontId="24" fillId="7" borderId="1" xfId="0" applyNumberFormat="1" applyFont="1" applyFill="1" applyBorder="1" applyAlignment="1">
      <alignment horizontal="center" vertical="center" wrapText="1" readingOrder="2"/>
    </xf>
    <xf numFmtId="0" fontId="24" fillId="0" borderId="1" xfId="0" applyFont="1" applyFill="1" applyBorder="1" applyAlignment="1">
      <alignment horizontal="center" vertical="center" wrapText="1" readingOrder="2"/>
    </xf>
    <xf numFmtId="0" fontId="6" fillId="0" borderId="1" xfId="0" applyFont="1" applyBorder="1" applyAlignment="1">
      <alignment horizontal="center" vertical="center" wrapText="1" readingOrder="2"/>
    </xf>
    <xf numFmtId="167" fontId="4" fillId="0" borderId="5" xfId="0" applyNumberFormat="1" applyFont="1" applyBorder="1" applyAlignment="1">
      <alignment horizontal="center" vertical="center" wrapText="1" readingOrder="2"/>
    </xf>
    <xf numFmtId="9" fontId="9" fillId="0" borderId="1" xfId="3" applyFont="1" applyFill="1" applyBorder="1" applyAlignment="1">
      <alignment horizontal="center" vertical="center" wrapText="1" readingOrder="2"/>
    </xf>
    <xf numFmtId="10" fontId="24" fillId="6" borderId="1" xfId="0" applyNumberFormat="1" applyFont="1" applyFill="1" applyBorder="1" applyAlignment="1">
      <alignment horizontal="center" vertical="center" wrapText="1" readingOrder="2"/>
    </xf>
    <xf numFmtId="0" fontId="24" fillId="6" borderId="1" xfId="0" applyFont="1" applyFill="1" applyBorder="1" applyAlignment="1">
      <alignment horizontal="center" vertical="center" wrapText="1" readingOrder="2"/>
    </xf>
    <xf numFmtId="8" fontId="24" fillId="6" borderId="1" xfId="0" applyNumberFormat="1" applyFont="1" applyFill="1" applyBorder="1" applyAlignment="1">
      <alignment horizontal="center" vertical="center" wrapText="1" readingOrder="2"/>
    </xf>
    <xf numFmtId="0" fontId="25" fillId="0" borderId="1" xfId="0" applyFont="1" applyBorder="1" applyAlignment="1">
      <alignment horizontal="center" vertical="center" wrapText="1" readingOrder="2"/>
    </xf>
    <xf numFmtId="10" fontId="6" fillId="6" borderId="1" xfId="3" applyNumberFormat="1" applyFont="1" applyFill="1" applyBorder="1" applyAlignment="1">
      <alignment horizontal="center" vertical="center" wrapText="1" readingOrder="2"/>
    </xf>
    <xf numFmtId="164" fontId="1" fillId="0" borderId="5" xfId="1" applyNumberFormat="1" applyFill="1" applyBorder="1" applyAlignment="1">
      <alignment horizontal="center" vertical="center" wrapText="1"/>
    </xf>
    <xf numFmtId="0" fontId="6" fillId="0" borderId="5" xfId="0" applyFont="1" applyFill="1" applyBorder="1" applyAlignment="1">
      <alignment horizontal="center" vertical="center" wrapText="1" readingOrder="2"/>
    </xf>
    <xf numFmtId="0" fontId="5" fillId="0" borderId="1" xfId="0" applyFont="1" applyBorder="1" applyAlignment="1">
      <alignment horizontal="center" vertical="center" readingOrder="2"/>
    </xf>
    <xf numFmtId="0" fontId="6" fillId="0" borderId="1" xfId="0" applyFont="1" applyBorder="1" applyAlignment="1">
      <alignment horizontal="center" vertical="center" wrapText="1" readingOrder="2"/>
    </xf>
    <xf numFmtId="167" fontId="5" fillId="0" borderId="1" xfId="0" applyNumberFormat="1" applyFont="1" applyBorder="1" applyAlignment="1">
      <alignment horizontal="center" vertical="center" wrapText="1" readingOrder="2"/>
    </xf>
    <xf numFmtId="0" fontId="5" fillId="0" borderId="1" xfId="0" applyFont="1" applyBorder="1" applyAlignment="1">
      <alignment horizontal="center" vertical="center" wrapText="1" readingOrder="2"/>
    </xf>
    <xf numFmtId="0" fontId="7" fillId="0" borderId="1" xfId="0" applyFont="1" applyBorder="1" applyAlignment="1">
      <alignment horizontal="center" vertical="center" wrapText="1" readingOrder="2"/>
    </xf>
    <xf numFmtId="0" fontId="4" fillId="0" borderId="1" xfId="0" applyFont="1" applyBorder="1" applyAlignment="1">
      <alignment horizontal="center" vertical="center" wrapText="1" readingOrder="2"/>
    </xf>
    <xf numFmtId="0" fontId="6" fillId="0" borderId="1" xfId="0" applyFont="1" applyBorder="1" applyAlignment="1">
      <alignment horizontal="center" vertical="center" wrapText="1" readingOrder="2"/>
    </xf>
    <xf numFmtId="0" fontId="9" fillId="11" borderId="1" xfId="2" applyFont="1" applyFill="1" applyBorder="1" applyAlignment="1">
      <alignment horizontal="center" vertical="center" wrapText="1" readingOrder="2"/>
    </xf>
    <xf numFmtId="3" fontId="9" fillId="11" borderId="1" xfId="2" applyNumberFormat="1" applyFont="1" applyFill="1" applyBorder="1" applyAlignment="1">
      <alignment horizontal="center" vertical="center" wrapText="1" readingOrder="2"/>
    </xf>
    <xf numFmtId="167" fontId="9" fillId="11" borderId="1" xfId="2" applyNumberFormat="1" applyFont="1" applyFill="1" applyBorder="1" applyAlignment="1">
      <alignment horizontal="center" vertical="center" wrapText="1" readingOrder="2"/>
    </xf>
    <xf numFmtId="0" fontId="4" fillId="0" borderId="5" xfId="0" applyFont="1" applyFill="1" applyBorder="1" applyAlignment="1">
      <alignment horizontal="center" vertical="center" wrapText="1" readingOrder="2"/>
    </xf>
    <xf numFmtId="164" fontId="1" fillId="0" borderId="5" xfId="1" applyNumberFormat="1" applyFill="1" applyBorder="1" applyAlignment="1">
      <alignment horizontal="center" vertical="center" wrapText="1"/>
    </xf>
    <xf numFmtId="0" fontId="13" fillId="0" borderId="5" xfId="0" applyFont="1" applyBorder="1" applyAlignment="1">
      <alignment horizontal="center" vertical="center" wrapText="1" readingOrder="2"/>
    </xf>
    <xf numFmtId="0" fontId="6" fillId="0" borderId="5" xfId="0" applyFont="1" applyFill="1" applyBorder="1" applyAlignment="1">
      <alignment horizontal="center" vertical="center" wrapText="1" readingOrder="2"/>
    </xf>
    <xf numFmtId="0" fontId="6" fillId="0" borderId="5" xfId="0" applyFont="1" applyBorder="1" applyAlignment="1">
      <alignment horizontal="center" vertical="center" wrapText="1" readingOrder="2"/>
    </xf>
    <xf numFmtId="0" fontId="13" fillId="0" borderId="5" xfId="0" applyFont="1" applyBorder="1" applyAlignment="1">
      <alignment horizontal="center" vertical="center" wrapText="1" readingOrder="2"/>
    </xf>
    <xf numFmtId="0" fontId="4" fillId="0" borderId="5" xfId="0" applyFont="1" applyFill="1" applyBorder="1" applyAlignment="1">
      <alignment horizontal="center" vertical="center" wrapText="1" readingOrder="2"/>
    </xf>
    <xf numFmtId="164" fontId="1" fillId="0" borderId="5" xfId="1" applyNumberFormat="1" applyFill="1" applyBorder="1" applyAlignment="1">
      <alignment horizontal="center" vertical="center" wrapText="1"/>
    </xf>
    <xf numFmtId="0" fontId="4" fillId="0" borderId="5" xfId="0" applyFont="1" applyBorder="1" applyAlignment="1">
      <alignment horizontal="center" vertical="center" wrapText="1" readingOrder="2"/>
    </xf>
    <xf numFmtId="0" fontId="7" fillId="0" borderId="5" xfId="0" applyFont="1" applyBorder="1" applyAlignment="1">
      <alignment horizontal="center" vertical="center" wrapText="1" readingOrder="2"/>
    </xf>
    <xf numFmtId="0" fontId="8" fillId="0" borderId="5" xfId="0" applyFont="1" applyBorder="1" applyAlignment="1">
      <alignment horizontal="center" vertical="center"/>
    </xf>
    <xf numFmtId="0" fontId="6" fillId="0" borderId="5" xfId="0" applyFont="1" applyFill="1" applyBorder="1" applyAlignment="1">
      <alignment horizontal="center" vertical="center" wrapText="1" readingOrder="2"/>
    </xf>
    <xf numFmtId="0" fontId="6" fillId="0" borderId="1" xfId="0" applyFont="1" applyBorder="1" applyAlignment="1">
      <alignment horizontal="center" vertical="center" wrapText="1" readingOrder="2"/>
    </xf>
    <xf numFmtId="0" fontId="5" fillId="0" borderId="0" xfId="0" applyFont="1" applyBorder="1" applyAlignment="1">
      <alignment horizontal="center" vertical="center" readingOrder="2"/>
    </xf>
    <xf numFmtId="0" fontId="4" fillId="0" borderId="0" xfId="0" applyFont="1" applyBorder="1" applyAlignment="1">
      <alignment horizontal="right" vertical="center" wrapText="1" readingOrder="2"/>
    </xf>
    <xf numFmtId="167" fontId="5" fillId="0" borderId="5" xfId="0" applyNumberFormat="1" applyFont="1" applyBorder="1" applyAlignment="1">
      <alignment horizontal="center" vertical="center" wrapText="1" readingOrder="2"/>
    </xf>
    <xf numFmtId="0" fontId="4" fillId="0" borderId="5" xfId="0" applyFont="1" applyFill="1" applyBorder="1" applyAlignment="1">
      <alignment horizontal="center" vertical="center" wrapText="1" readingOrder="2"/>
    </xf>
    <xf numFmtId="0" fontId="6" fillId="0" borderId="1" xfId="0" applyFont="1" applyBorder="1" applyAlignment="1">
      <alignment horizontal="center" vertical="center" wrapText="1" readingOrder="2"/>
    </xf>
    <xf numFmtId="0" fontId="4" fillId="0" borderId="5" xfId="0" applyFont="1" applyFill="1" applyBorder="1" applyAlignment="1">
      <alignment horizontal="center" vertical="center" wrapText="1" readingOrder="2"/>
    </xf>
    <xf numFmtId="164" fontId="1" fillId="0" borderId="5" xfId="1" applyNumberFormat="1" applyFill="1" applyBorder="1" applyAlignment="1">
      <alignment horizontal="center" vertical="center" wrapText="1"/>
    </xf>
    <xf numFmtId="0" fontId="6" fillId="0" borderId="5" xfId="0" applyFont="1" applyFill="1" applyBorder="1" applyAlignment="1">
      <alignment horizontal="center" vertical="center" wrapText="1" readingOrder="2"/>
    </xf>
    <xf numFmtId="167" fontId="9" fillId="6" borderId="4" xfId="2" applyNumberFormat="1" applyFont="1" applyFill="1" applyBorder="1" applyAlignment="1">
      <alignment horizontal="center" vertical="center" wrapText="1" readingOrder="2"/>
    </xf>
    <xf numFmtId="167" fontId="9" fillId="6" borderId="2" xfId="2" applyNumberFormat="1" applyFont="1" applyFill="1" applyBorder="1" applyAlignment="1">
      <alignment horizontal="center" vertical="center" wrapText="1" readingOrder="2"/>
    </xf>
    <xf numFmtId="167" fontId="14" fillId="0" borderId="1" xfId="2" applyNumberFormat="1" applyFont="1" applyFill="1" applyBorder="1" applyAlignment="1">
      <alignment horizontal="center" vertical="center" wrapText="1" readingOrder="2"/>
    </xf>
    <xf numFmtId="0" fontId="4" fillId="0" borderId="1" xfId="0" applyFont="1" applyBorder="1" applyAlignment="1">
      <alignment horizontal="center" vertical="center" wrapText="1" readingOrder="2"/>
    </xf>
    <xf numFmtId="0" fontId="12" fillId="0" borderId="1" xfId="0" applyFont="1" applyFill="1" applyBorder="1" applyAlignment="1">
      <alignment horizontal="center" vertical="center" readingOrder="2"/>
    </xf>
    <xf numFmtId="0" fontId="12" fillId="0" borderId="1" xfId="0" applyFont="1" applyBorder="1" applyAlignment="1">
      <alignment horizontal="center" vertical="center" readingOrder="2"/>
    </xf>
    <xf numFmtId="0" fontId="12" fillId="0" borderId="1" xfId="0" applyFont="1" applyBorder="1" applyAlignment="1">
      <alignment horizontal="center" vertical="center" wrapText="1" readingOrder="2"/>
    </xf>
    <xf numFmtId="166" fontId="12" fillId="0" borderId="1" xfId="0" applyNumberFormat="1" applyFont="1" applyBorder="1" applyAlignment="1">
      <alignment vertical="center" wrapText="1" readingOrder="2"/>
    </xf>
    <xf numFmtId="166" fontId="12" fillId="0" borderId="1" xfId="0" applyNumberFormat="1" applyFont="1" applyBorder="1" applyAlignment="1">
      <alignment horizontal="right" vertical="center" wrapText="1" readingOrder="2"/>
    </xf>
    <xf numFmtId="0" fontId="12" fillId="0" borderId="1" xfId="0" applyFont="1" applyFill="1" applyBorder="1" applyAlignment="1">
      <alignment horizontal="center" vertical="center" wrapText="1" readingOrder="2"/>
    </xf>
    <xf numFmtId="0" fontId="28" fillId="0" borderId="0" xfId="0" applyFont="1"/>
    <xf numFmtId="0" fontId="6" fillId="0" borderId="5" xfId="0" applyFont="1" applyBorder="1" applyAlignment="1">
      <alignment horizontal="center" vertical="center" wrapText="1" readingOrder="2"/>
    </xf>
    <xf numFmtId="167" fontId="5" fillId="0" borderId="5" xfId="0" applyNumberFormat="1" applyFont="1" applyBorder="1" applyAlignment="1">
      <alignment horizontal="center" vertical="center" wrapText="1" readingOrder="2"/>
    </xf>
    <xf numFmtId="0" fontId="4" fillId="0" borderId="5" xfId="0" applyFont="1" applyBorder="1" applyAlignment="1">
      <alignment horizontal="center" vertical="center" wrapText="1" readingOrder="2"/>
    </xf>
    <xf numFmtId="0" fontId="8" fillId="0" borderId="5" xfId="0" applyFont="1" applyBorder="1" applyAlignment="1">
      <alignment horizontal="center" vertical="center"/>
    </xf>
    <xf numFmtId="0" fontId="7" fillId="0" borderId="5" xfId="0" applyFont="1" applyBorder="1" applyAlignment="1">
      <alignment horizontal="center" vertical="center" wrapText="1" readingOrder="2"/>
    </xf>
    <xf numFmtId="0" fontId="6" fillId="0" borderId="5" xfId="0" applyFont="1" applyBorder="1" applyAlignment="1">
      <alignment horizontal="center" vertical="center" wrapText="1" readingOrder="2"/>
    </xf>
    <xf numFmtId="0" fontId="13" fillId="0" borderId="5" xfId="0" applyFont="1" applyBorder="1" applyAlignment="1">
      <alignment horizontal="center" vertical="center" wrapText="1" readingOrder="2"/>
    </xf>
    <xf numFmtId="0" fontId="4" fillId="0" borderId="5" xfId="0" applyFont="1" applyFill="1" applyBorder="1" applyAlignment="1">
      <alignment horizontal="center" vertical="center" wrapText="1" readingOrder="2"/>
    </xf>
    <xf numFmtId="167" fontId="5" fillId="0" borderId="5" xfId="0" applyNumberFormat="1" applyFont="1" applyBorder="1" applyAlignment="1">
      <alignment horizontal="center" vertical="center" wrapText="1" readingOrder="2"/>
    </xf>
    <xf numFmtId="164" fontId="1" fillId="0" borderId="5" xfId="1" applyNumberFormat="1" applyFill="1" applyBorder="1" applyAlignment="1">
      <alignment horizontal="center" vertical="center" wrapText="1"/>
    </xf>
    <xf numFmtId="0" fontId="8" fillId="0" borderId="5" xfId="0" applyFont="1" applyBorder="1" applyAlignment="1">
      <alignment horizontal="center" vertical="center"/>
    </xf>
    <xf numFmtId="0" fontId="7" fillId="0" borderId="5" xfId="0" applyFont="1" applyBorder="1" applyAlignment="1">
      <alignment horizontal="center" vertical="center" wrapText="1" readingOrder="2"/>
    </xf>
    <xf numFmtId="0" fontId="6" fillId="0" borderId="5" xfId="0" applyFont="1" applyFill="1" applyBorder="1" applyAlignment="1">
      <alignment horizontal="center" vertical="center" wrapText="1" readingOrder="2"/>
    </xf>
    <xf numFmtId="0" fontId="5" fillId="0" borderId="1" xfId="0" applyFont="1" applyBorder="1" applyAlignment="1">
      <alignment horizontal="center" vertical="center" readingOrder="2"/>
    </xf>
    <xf numFmtId="0" fontId="6" fillId="0" borderId="1" xfId="0" applyFont="1" applyBorder="1" applyAlignment="1">
      <alignment horizontal="center" vertical="center" wrapText="1" readingOrder="2"/>
    </xf>
    <xf numFmtId="0" fontId="5" fillId="0" borderId="1" xfId="0" applyFont="1" applyBorder="1" applyAlignment="1">
      <alignment horizontal="center" vertical="center" wrapText="1" readingOrder="2"/>
    </xf>
    <xf numFmtId="0" fontId="4" fillId="0" borderId="1" xfId="0" applyFont="1" applyBorder="1" applyAlignment="1">
      <alignment horizontal="center" vertical="center" wrapText="1" readingOrder="2"/>
    </xf>
    <xf numFmtId="0" fontId="6" fillId="11" borderId="1" xfId="0" applyFont="1" applyFill="1" applyBorder="1" applyAlignment="1">
      <alignment horizontal="center" vertical="center" wrapText="1" readingOrder="2"/>
    </xf>
    <xf numFmtId="3" fontId="6" fillId="11" borderId="1" xfId="0" applyNumberFormat="1" applyFont="1" applyFill="1" applyBorder="1" applyAlignment="1">
      <alignment horizontal="center" vertical="center" wrapText="1" readingOrder="2"/>
    </xf>
    <xf numFmtId="167" fontId="6" fillId="11" borderId="1" xfId="0" applyNumberFormat="1" applyFont="1" applyFill="1" applyBorder="1" applyAlignment="1">
      <alignment horizontal="center" vertical="center" wrapText="1" readingOrder="2"/>
    </xf>
    <xf numFmtId="0" fontId="13" fillId="0" borderId="5" xfId="0" applyFont="1" applyBorder="1" applyAlignment="1">
      <alignment horizontal="center" vertical="center" wrapText="1" readingOrder="2"/>
    </xf>
    <xf numFmtId="0" fontId="4" fillId="0" borderId="5" xfId="0" applyFont="1" applyFill="1" applyBorder="1" applyAlignment="1">
      <alignment horizontal="center" vertical="center" wrapText="1" readingOrder="2"/>
    </xf>
    <xf numFmtId="164" fontId="1" fillId="0" borderId="5" xfId="1" applyNumberFormat="1" applyFill="1" applyBorder="1" applyAlignment="1">
      <alignment horizontal="center" vertical="center" wrapText="1"/>
    </xf>
    <xf numFmtId="0" fontId="6" fillId="0" borderId="5" xfId="0" applyFont="1" applyFill="1" applyBorder="1" applyAlignment="1">
      <alignment horizontal="center" vertical="center" wrapText="1" readingOrder="2"/>
    </xf>
    <xf numFmtId="0" fontId="13" fillId="0" borderId="5" xfId="0" applyFont="1" applyBorder="1" applyAlignment="1">
      <alignment horizontal="center" vertical="center" wrapText="1" readingOrder="2"/>
    </xf>
    <xf numFmtId="0" fontId="4" fillId="0" borderId="5" xfId="0" applyFont="1" applyFill="1" applyBorder="1" applyAlignment="1">
      <alignment horizontal="center" vertical="center" wrapText="1" readingOrder="2"/>
    </xf>
    <xf numFmtId="164" fontId="1" fillId="0" borderId="5" xfId="1" applyNumberFormat="1" applyFill="1" applyBorder="1" applyAlignment="1">
      <alignment horizontal="center" vertical="center" wrapText="1"/>
    </xf>
    <xf numFmtId="0" fontId="6" fillId="0" borderId="5" xfId="0" applyFont="1" applyFill="1" applyBorder="1" applyAlignment="1">
      <alignment horizontal="center" vertical="center" wrapText="1" readingOrder="2"/>
    </xf>
    <xf numFmtId="0" fontId="16" fillId="0" borderId="5" xfId="0" applyFont="1" applyBorder="1" applyAlignment="1">
      <alignment horizontal="center" vertical="center" wrapText="1" readingOrder="2"/>
    </xf>
    <xf numFmtId="0" fontId="4" fillId="0" borderId="5" xfId="0" applyFont="1" applyFill="1" applyBorder="1" applyAlignment="1">
      <alignment horizontal="center" vertical="center" wrapText="1" readingOrder="2"/>
    </xf>
    <xf numFmtId="0" fontId="9" fillId="6" borderId="5" xfId="2" applyFont="1" applyFill="1" applyBorder="1" applyAlignment="1">
      <alignment horizontal="center" vertical="center" wrapText="1" readingOrder="2"/>
    </xf>
    <xf numFmtId="3" fontId="9" fillId="6" borderId="5" xfId="2" applyNumberFormat="1" applyFont="1" applyFill="1" applyBorder="1" applyAlignment="1">
      <alignment horizontal="center" vertical="center" wrapText="1" readingOrder="2"/>
    </xf>
    <xf numFmtId="0" fontId="6" fillId="12" borderId="1" xfId="0" applyFont="1" applyFill="1" applyBorder="1" applyAlignment="1">
      <alignment horizontal="center" vertical="center" wrapText="1" readingOrder="2"/>
    </xf>
    <xf numFmtId="3" fontId="6" fillId="12" borderId="1" xfId="0" applyNumberFormat="1" applyFont="1" applyFill="1" applyBorder="1" applyAlignment="1">
      <alignment horizontal="center" vertical="center" wrapText="1" readingOrder="2"/>
    </xf>
    <xf numFmtId="167" fontId="6" fillId="12" borderId="1" xfId="0" applyNumberFormat="1" applyFont="1" applyFill="1" applyBorder="1" applyAlignment="1">
      <alignment horizontal="center" vertical="center" wrapText="1" readingOrder="2"/>
    </xf>
    <xf numFmtId="0" fontId="6" fillId="0" borderId="1" xfId="0" applyFont="1" applyFill="1" applyBorder="1" applyAlignment="1">
      <alignment horizontal="center" vertical="center" wrapText="1" readingOrder="2"/>
    </xf>
    <xf numFmtId="0" fontId="6" fillId="0" borderId="1" xfId="0" applyFont="1" applyFill="1" applyBorder="1" applyAlignment="1">
      <alignment horizontal="center" vertical="center" wrapText="1" readingOrder="2"/>
    </xf>
    <xf numFmtId="0" fontId="29" fillId="6" borderId="1" xfId="2" applyFont="1" applyFill="1" applyBorder="1" applyAlignment="1">
      <alignment horizontal="center" vertical="center" wrapText="1" readingOrder="2"/>
    </xf>
    <xf numFmtId="3" fontId="29" fillId="6" borderId="1" xfId="2" applyNumberFormat="1" applyFont="1" applyFill="1" applyBorder="1" applyAlignment="1">
      <alignment horizontal="center" vertical="center" wrapText="1" readingOrder="2"/>
    </xf>
    <xf numFmtId="167" fontId="29" fillId="6" borderId="1" xfId="2" applyNumberFormat="1" applyFont="1" applyFill="1" applyBorder="1" applyAlignment="1">
      <alignment horizontal="center" vertical="center" wrapText="1" readingOrder="2"/>
    </xf>
    <xf numFmtId="0" fontId="10" fillId="0" borderId="0" xfId="0" applyFont="1"/>
    <xf numFmtId="0" fontId="29" fillId="7" borderId="1" xfId="2" applyFont="1" applyFill="1" applyBorder="1" applyAlignment="1">
      <alignment horizontal="center" vertical="center" wrapText="1" readingOrder="2"/>
    </xf>
    <xf numFmtId="167" fontId="29" fillId="7" borderId="1" xfId="2" applyNumberFormat="1" applyFont="1" applyFill="1" applyBorder="1" applyAlignment="1">
      <alignment horizontal="center" vertical="center" wrapText="1" readingOrder="2"/>
    </xf>
    <xf numFmtId="9" fontId="9" fillId="11" borderId="1" xfId="4" applyNumberFormat="1" applyFont="1" applyFill="1" applyBorder="1" applyAlignment="1">
      <alignment horizontal="center" vertical="center" wrapText="1" readingOrder="2"/>
    </xf>
    <xf numFmtId="0" fontId="29" fillId="8" borderId="1" xfId="2" applyFont="1" applyFill="1" applyBorder="1" applyAlignment="1">
      <alignment horizontal="center" vertical="center" wrapText="1" readingOrder="2"/>
    </xf>
    <xf numFmtId="3" fontId="29" fillId="8" borderId="1" xfId="2" applyNumberFormat="1" applyFont="1" applyFill="1" applyBorder="1" applyAlignment="1">
      <alignment horizontal="center" vertical="center" wrapText="1" readingOrder="2"/>
    </xf>
    <xf numFmtId="167" fontId="29" fillId="8" borderId="1" xfId="2" applyNumberFormat="1" applyFont="1" applyFill="1" applyBorder="1" applyAlignment="1">
      <alignment horizontal="center" vertical="center" wrapText="1" readingOrder="2"/>
    </xf>
    <xf numFmtId="164" fontId="1" fillId="0" borderId="5" xfId="1" applyNumberFormat="1" applyFill="1" applyBorder="1" applyAlignment="1">
      <alignment horizontal="center" vertical="center" wrapText="1"/>
    </xf>
    <xf numFmtId="0" fontId="6" fillId="0" borderId="5" xfId="0" applyFont="1" applyBorder="1" applyAlignment="1">
      <alignment horizontal="center" vertical="center" wrapText="1" readingOrder="2"/>
    </xf>
    <xf numFmtId="0" fontId="13" fillId="0" borderId="5" xfId="0" applyFont="1" applyBorder="1" applyAlignment="1">
      <alignment horizontal="center" vertical="center" wrapText="1" readingOrder="2"/>
    </xf>
    <xf numFmtId="167" fontId="5" fillId="0" borderId="5" xfId="0" applyNumberFormat="1" applyFont="1" applyBorder="1" applyAlignment="1">
      <alignment horizontal="center" vertical="center" wrapText="1" readingOrder="2"/>
    </xf>
    <xf numFmtId="44" fontId="1" fillId="0" borderId="5" xfId="1" applyNumberFormat="1" applyFill="1" applyBorder="1" applyAlignment="1">
      <alignment horizontal="center" vertical="center" wrapText="1"/>
    </xf>
    <xf numFmtId="0" fontId="4" fillId="0" borderId="5" xfId="0" applyFont="1" applyBorder="1" applyAlignment="1">
      <alignment horizontal="center" vertical="center" wrapText="1" readingOrder="2"/>
    </xf>
    <xf numFmtId="0" fontId="7" fillId="0" borderId="5" xfId="0" applyFont="1" applyBorder="1" applyAlignment="1">
      <alignment horizontal="center" vertical="center" wrapText="1" readingOrder="2"/>
    </xf>
    <xf numFmtId="167" fontId="16" fillId="0" borderId="5" xfId="0" applyNumberFormat="1" applyFont="1" applyBorder="1" applyAlignment="1">
      <alignment horizontal="center" vertical="center" wrapText="1" readingOrder="2"/>
    </xf>
    <xf numFmtId="0" fontId="6" fillId="0" borderId="5" xfId="0" applyFont="1" applyBorder="1" applyAlignment="1">
      <alignment horizontal="center" vertical="center" wrapText="1" readingOrder="2"/>
    </xf>
    <xf numFmtId="0" fontId="13" fillId="0" borderId="5" xfId="0" applyFont="1" applyBorder="1" applyAlignment="1">
      <alignment horizontal="center" vertical="center" wrapText="1" readingOrder="2"/>
    </xf>
    <xf numFmtId="167" fontId="5" fillId="0" borderId="5" xfId="0" applyNumberFormat="1" applyFont="1" applyBorder="1" applyAlignment="1">
      <alignment horizontal="center" vertical="center" wrapText="1" readingOrder="2"/>
    </xf>
    <xf numFmtId="0" fontId="7" fillId="0" borderId="5" xfId="0" applyFont="1" applyBorder="1" applyAlignment="1">
      <alignment horizontal="center" vertical="center" wrapText="1" readingOrder="2"/>
    </xf>
    <xf numFmtId="0" fontId="4" fillId="0" borderId="5" xfId="0" applyFont="1" applyBorder="1" applyAlignment="1">
      <alignment horizontal="center" vertical="center" wrapText="1" readingOrder="2"/>
    </xf>
    <xf numFmtId="44" fontId="1" fillId="0" borderId="5" xfId="1" applyNumberFormat="1" applyFill="1" applyBorder="1" applyAlignment="1">
      <alignment horizontal="center" vertical="center" wrapText="1"/>
    </xf>
    <xf numFmtId="0" fontId="5" fillId="0" borderId="0" xfId="0" applyFont="1" applyAlignment="1">
      <alignment horizontal="center" vertical="center" readingOrder="2"/>
    </xf>
    <xf numFmtId="0" fontId="4" fillId="0" borderId="0" xfId="0" applyFont="1" applyAlignment="1">
      <alignment horizontal="right" vertical="center" wrapText="1" readingOrder="2"/>
    </xf>
    <xf numFmtId="167" fontId="29" fillId="0" borderId="1" xfId="2" applyNumberFormat="1" applyFont="1" applyFill="1" applyBorder="1" applyAlignment="1">
      <alignment horizontal="center" vertical="center" wrapText="1" readingOrder="2"/>
    </xf>
    <xf numFmtId="0" fontId="6" fillId="0" borderId="5" xfId="0" applyFont="1" applyBorder="1" applyAlignment="1">
      <alignment horizontal="center" vertical="center" wrapText="1" readingOrder="2"/>
    </xf>
    <xf numFmtId="0" fontId="13" fillId="0" borderId="5" xfId="0" applyFont="1" applyBorder="1" applyAlignment="1">
      <alignment horizontal="center" vertical="center" wrapText="1" readingOrder="2"/>
    </xf>
    <xf numFmtId="44" fontId="1" fillId="0" borderId="5" xfId="1" applyNumberFormat="1" applyFill="1" applyBorder="1" applyAlignment="1">
      <alignment horizontal="center" vertical="center" wrapText="1"/>
    </xf>
    <xf numFmtId="0" fontId="7" fillId="0" borderId="5" xfId="0" applyFont="1" applyBorder="1" applyAlignment="1">
      <alignment horizontal="center" vertical="center" wrapText="1" readingOrder="2"/>
    </xf>
    <xf numFmtId="0" fontId="12" fillId="0" borderId="5" xfId="0" applyFont="1" applyBorder="1" applyAlignment="1">
      <alignment horizontal="center" vertical="center" wrapText="1" readingOrder="2"/>
    </xf>
    <xf numFmtId="167" fontId="16" fillId="0" borderId="7" xfId="0" applyNumberFormat="1" applyFont="1" applyBorder="1" applyAlignment="1">
      <alignment horizontal="center" vertical="center" wrapText="1" readingOrder="2"/>
    </xf>
    <xf numFmtId="7" fontId="9" fillId="6" borderId="1" xfId="4" applyNumberFormat="1" applyFont="1" applyFill="1" applyBorder="1" applyAlignment="1">
      <alignment horizontal="center" vertical="center" wrapText="1" readingOrder="2"/>
    </xf>
    <xf numFmtId="0" fontId="5" fillId="0" borderId="5" xfId="0" applyFont="1" applyBorder="1" applyAlignment="1">
      <alignment horizontal="center" vertical="center" wrapText="1" readingOrder="2"/>
    </xf>
    <xf numFmtId="0" fontId="6" fillId="0" borderId="5" xfId="0" applyFont="1" applyBorder="1" applyAlignment="1">
      <alignment horizontal="center" vertical="center" wrapText="1" readingOrder="2"/>
    </xf>
    <xf numFmtId="0" fontId="13" fillId="0" borderId="5" xfId="0" applyFont="1" applyBorder="1" applyAlignment="1">
      <alignment horizontal="center" vertical="center" wrapText="1" readingOrder="2"/>
    </xf>
    <xf numFmtId="0" fontId="6" fillId="0" borderId="1" xfId="0" applyFont="1" applyBorder="1" applyAlignment="1">
      <alignment horizontal="center" vertical="center" wrapText="1" readingOrder="2"/>
    </xf>
    <xf numFmtId="44" fontId="1" fillId="0" borderId="5" xfId="1" applyNumberFormat="1" applyFill="1" applyBorder="1" applyAlignment="1">
      <alignment horizontal="center" vertical="center" wrapText="1"/>
    </xf>
    <xf numFmtId="0" fontId="7" fillId="0" borderId="5" xfId="0" applyFont="1" applyBorder="1" applyAlignment="1">
      <alignment horizontal="center" vertical="center" wrapText="1" readingOrder="2"/>
    </xf>
    <xf numFmtId="167" fontId="16" fillId="0" borderId="7" xfId="0" applyNumberFormat="1" applyFont="1" applyBorder="1" applyAlignment="1">
      <alignment horizontal="center" vertical="center" wrapText="1" readingOrder="2"/>
    </xf>
    <xf numFmtId="0" fontId="4" fillId="0" borderId="5" xfId="0" applyFont="1" applyBorder="1" applyAlignment="1">
      <alignment horizontal="center" vertical="center" wrapText="1" readingOrder="2"/>
    </xf>
    <xf numFmtId="0" fontId="6" fillId="13" borderId="1" xfId="0" applyFont="1" applyFill="1" applyBorder="1" applyAlignment="1">
      <alignment horizontal="center" vertical="center" wrapText="1" readingOrder="2"/>
    </xf>
    <xf numFmtId="3" fontId="6" fillId="13" borderId="1" xfId="0" applyNumberFormat="1" applyFont="1" applyFill="1" applyBorder="1" applyAlignment="1">
      <alignment horizontal="center" vertical="center" wrapText="1" readingOrder="2"/>
    </xf>
    <xf numFmtId="167" fontId="6" fillId="13" borderId="1" xfId="0" applyNumberFormat="1" applyFont="1" applyFill="1" applyBorder="1" applyAlignment="1">
      <alignment horizontal="center" vertical="center" wrapText="1" readingOrder="2"/>
    </xf>
    <xf numFmtId="167" fontId="17" fillId="13" borderId="1" xfId="2" applyNumberFormat="1" applyFont="1" applyFill="1" applyBorder="1" applyAlignment="1">
      <alignment horizontal="center" vertical="center" wrapText="1" readingOrder="2"/>
    </xf>
    <xf numFmtId="167" fontId="9" fillId="13" borderId="1" xfId="2" applyNumberFormat="1" applyFont="1" applyFill="1" applyBorder="1" applyAlignment="1">
      <alignment horizontal="center" vertical="center" wrapText="1" readingOrder="2"/>
    </xf>
    <xf numFmtId="0" fontId="9" fillId="13" borderId="1" xfId="2" applyFont="1" applyFill="1" applyBorder="1" applyAlignment="1">
      <alignment horizontal="center" vertical="center" wrapText="1" readingOrder="2"/>
    </xf>
    <xf numFmtId="3" fontId="9" fillId="13" borderId="1" xfId="2" applyNumberFormat="1" applyFont="1" applyFill="1" applyBorder="1" applyAlignment="1">
      <alignment horizontal="center" vertical="center" wrapText="1" readingOrder="2"/>
    </xf>
    <xf numFmtId="7" fontId="9" fillId="13" borderId="1" xfId="4" applyNumberFormat="1" applyFont="1" applyFill="1" applyBorder="1" applyAlignment="1">
      <alignment horizontal="center" vertical="center" wrapText="1" readingOrder="2"/>
    </xf>
    <xf numFmtId="0" fontId="5" fillId="0" borderId="6" xfId="0" applyFont="1" applyBorder="1" applyAlignment="1">
      <alignment horizontal="center" vertical="center" readingOrder="2"/>
    </xf>
    <xf numFmtId="0" fontId="5" fillId="0" borderId="1" xfId="0" applyFont="1" applyBorder="1" applyAlignment="1">
      <alignment horizontal="center" vertical="center" readingOrder="2"/>
    </xf>
    <xf numFmtId="0" fontId="6" fillId="0" borderId="1" xfId="0" applyFont="1" applyBorder="1" applyAlignment="1">
      <alignment horizontal="center" vertical="center" wrapText="1" readingOrder="2"/>
    </xf>
    <xf numFmtId="0" fontId="4" fillId="0" borderId="5" xfId="0" applyFont="1" applyBorder="1" applyAlignment="1">
      <alignment horizontal="center" vertical="center" wrapText="1" readingOrder="2"/>
    </xf>
    <xf numFmtId="0" fontId="6" fillId="0" borderId="5" xfId="0" applyFont="1" applyBorder="1" applyAlignment="1">
      <alignment horizontal="center" vertical="center" wrapText="1" readingOrder="2"/>
    </xf>
    <xf numFmtId="3" fontId="6" fillId="0" borderId="1" xfId="0" applyNumberFormat="1" applyFont="1" applyBorder="1" applyAlignment="1">
      <alignment horizontal="center" vertical="center" wrapText="1" readingOrder="2"/>
    </xf>
    <xf numFmtId="164" fontId="1" fillId="0" borderId="5" xfId="1" applyNumberFormat="1" applyFill="1" applyBorder="1" applyAlignment="1">
      <alignment horizontal="center" vertical="center" wrapText="1"/>
    </xf>
    <xf numFmtId="0" fontId="7" fillId="0" borderId="5" xfId="4" applyNumberFormat="1" applyFont="1" applyBorder="1" applyAlignment="1">
      <alignment horizontal="center" vertical="center" wrapText="1" readingOrder="2"/>
    </xf>
    <xf numFmtId="0" fontId="13" fillId="0" borderId="5" xfId="0" applyFont="1" applyBorder="1" applyAlignment="1">
      <alignment horizontal="center" vertical="center" wrapText="1" readingOrder="2"/>
    </xf>
    <xf numFmtId="0" fontId="6" fillId="0" borderId="13" xfId="0" applyFont="1" applyBorder="1" applyAlignment="1">
      <alignment horizontal="center" vertical="center" wrapText="1" readingOrder="2"/>
    </xf>
    <xf numFmtId="0" fontId="6" fillId="14" borderId="1" xfId="0" applyFont="1" applyFill="1" applyBorder="1" applyAlignment="1">
      <alignment horizontal="center" vertical="center" wrapText="1" readingOrder="2"/>
    </xf>
    <xf numFmtId="3" fontId="6" fillId="14" borderId="1" xfId="0" applyNumberFormat="1" applyFont="1" applyFill="1" applyBorder="1" applyAlignment="1">
      <alignment horizontal="center" vertical="center" wrapText="1" readingOrder="2"/>
    </xf>
    <xf numFmtId="167" fontId="6" fillId="14" borderId="1" xfId="0" applyNumberFormat="1" applyFont="1" applyFill="1" applyBorder="1" applyAlignment="1">
      <alignment horizontal="center" vertical="center" wrapText="1" readingOrder="2"/>
    </xf>
    <xf numFmtId="0" fontId="0" fillId="0" borderId="0" xfId="0" applyAlignment="1">
      <alignment wrapText="1"/>
    </xf>
    <xf numFmtId="166" fontId="5" fillId="0" borderId="1" xfId="0" applyNumberFormat="1" applyFont="1" applyFill="1" applyBorder="1" applyAlignment="1">
      <alignment horizontal="center" vertical="center" wrapText="1" readingOrder="2"/>
    </xf>
    <xf numFmtId="166" fontId="5" fillId="0" borderId="1" xfId="0" applyNumberFormat="1" applyFont="1" applyFill="1" applyBorder="1" applyAlignment="1">
      <alignment vertical="center" wrapText="1" readingOrder="2"/>
    </xf>
    <xf numFmtId="166" fontId="5" fillId="0" borderId="1" xfId="0" applyNumberFormat="1" applyFont="1" applyFill="1" applyBorder="1" applyAlignment="1">
      <alignment horizontal="right" vertical="center" wrapText="1" readingOrder="2"/>
    </xf>
    <xf numFmtId="167" fontId="5" fillId="11" borderId="5" xfId="0" applyNumberFormat="1" applyFont="1" applyFill="1" applyBorder="1" applyAlignment="1">
      <alignment horizontal="center" vertical="center" wrapText="1" readingOrder="2"/>
    </xf>
    <xf numFmtId="0" fontId="30" fillId="6" borderId="1" xfId="2" applyFont="1" applyFill="1" applyBorder="1" applyAlignment="1">
      <alignment horizontal="center" vertical="center" wrapText="1" readingOrder="2"/>
    </xf>
    <xf numFmtId="3" fontId="30" fillId="6" borderId="1" xfId="2" applyNumberFormat="1" applyFont="1" applyFill="1" applyBorder="1" applyAlignment="1">
      <alignment horizontal="center" vertical="center" wrapText="1" readingOrder="2"/>
    </xf>
    <xf numFmtId="167" fontId="30" fillId="6" borderId="1" xfId="2" applyNumberFormat="1" applyFont="1" applyFill="1" applyBorder="1" applyAlignment="1">
      <alignment horizontal="center" vertical="center" wrapText="1" readingOrder="2"/>
    </xf>
    <xf numFmtId="167" fontId="31" fillId="0" borderId="1" xfId="0" applyNumberFormat="1" applyFont="1" applyBorder="1" applyAlignment="1">
      <alignment horizontal="center" vertical="center" wrapText="1" readingOrder="2"/>
    </xf>
    <xf numFmtId="0" fontId="33" fillId="0" borderId="0" xfId="0" applyFont="1" applyAlignment="1">
      <alignment horizontal="center" vertical="center" wrapText="1"/>
    </xf>
    <xf numFmtId="0" fontId="13" fillId="0" borderId="0" xfId="0" applyFont="1" applyAlignment="1">
      <alignment horizontal="center" vertical="center" wrapText="1" readingOrder="2"/>
    </xf>
    <xf numFmtId="0" fontId="6" fillId="0" borderId="3" xfId="0" applyFont="1" applyBorder="1" applyAlignment="1">
      <alignment horizontal="center" vertical="center" wrapText="1" readingOrder="2"/>
    </xf>
    <xf numFmtId="3" fontId="6" fillId="0" borderId="3" xfId="0" applyNumberFormat="1" applyFont="1" applyBorder="1" applyAlignment="1">
      <alignment horizontal="center" vertical="center" wrapText="1" readingOrder="2"/>
    </xf>
    <xf numFmtId="167" fontId="6" fillId="0" borderId="3" xfId="0" applyNumberFormat="1" applyFont="1" applyBorder="1" applyAlignment="1">
      <alignment horizontal="center" vertical="center" wrapText="1" readingOrder="2"/>
    </xf>
    <xf numFmtId="0" fontId="4" fillId="0" borderId="14" xfId="0" applyFont="1" applyBorder="1" applyAlignment="1">
      <alignment horizontal="center" vertical="center" wrapText="1" readingOrder="2"/>
    </xf>
    <xf numFmtId="0" fontId="4" fillId="0" borderId="0" xfId="0" applyFont="1" applyAlignment="1">
      <alignment horizontal="center" vertical="center" wrapText="1" readingOrder="2"/>
    </xf>
    <xf numFmtId="167" fontId="5" fillId="0" borderId="0" xfId="0" applyNumberFormat="1" applyFont="1" applyAlignment="1">
      <alignment horizontal="center" vertical="center" wrapText="1" readingOrder="2"/>
    </xf>
    <xf numFmtId="164" fontId="1" fillId="0" borderId="0" xfId="1" applyNumberFormat="1" applyFill="1" applyBorder="1" applyAlignment="1">
      <alignment horizontal="center" vertical="center" wrapText="1"/>
    </xf>
    <xf numFmtId="0" fontId="7" fillId="0" borderId="10" xfId="4" applyNumberFormat="1" applyFont="1" applyBorder="1" applyAlignment="1">
      <alignment horizontal="center" vertical="center" wrapText="1" readingOrder="2"/>
    </xf>
    <xf numFmtId="0" fontId="14" fillId="6" borderId="1" xfId="2" applyFont="1" applyFill="1" applyBorder="1" applyAlignment="1">
      <alignment horizontal="center" vertical="center" wrapText="1" readingOrder="2"/>
    </xf>
    <xf numFmtId="0" fontId="33" fillId="0" borderId="1" xfId="0" applyFont="1" applyBorder="1" applyAlignment="1">
      <alignment horizontal="center" vertical="center"/>
    </xf>
    <xf numFmtId="3" fontId="33" fillId="0" borderId="1" xfId="0" applyNumberFormat="1" applyFont="1" applyBorder="1" applyAlignment="1">
      <alignment horizontal="center" vertical="center"/>
    </xf>
    <xf numFmtId="0" fontId="6" fillId="0" borderId="1" xfId="0" applyFont="1" applyBorder="1" applyAlignment="1">
      <alignment horizontal="center" vertical="center" wrapText="1" readingOrder="2"/>
    </xf>
    <xf numFmtId="0" fontId="4" fillId="0" borderId="5" xfId="0" applyFont="1" applyBorder="1" applyAlignment="1">
      <alignment horizontal="center" vertical="center" wrapText="1" readingOrder="2"/>
    </xf>
    <xf numFmtId="0" fontId="4" fillId="0" borderId="7" xfId="0" applyFont="1" applyBorder="1" applyAlignment="1">
      <alignment horizontal="center" vertical="center" wrapText="1" readingOrder="2"/>
    </xf>
    <xf numFmtId="3" fontId="6" fillId="0" borderId="1" xfId="0" applyNumberFormat="1" applyFont="1" applyBorder="1" applyAlignment="1">
      <alignment horizontal="center" vertical="center" wrapText="1" readingOrder="2"/>
    </xf>
    <xf numFmtId="0" fontId="4" fillId="0" borderId="1" xfId="0" applyFont="1" applyBorder="1" applyAlignment="1">
      <alignment horizontal="center" vertical="center" wrapText="1" readingOrder="2"/>
    </xf>
    <xf numFmtId="0" fontId="6" fillId="0" borderId="1" xfId="0" applyFont="1" applyBorder="1" applyAlignment="1">
      <alignment horizontal="center" vertical="center" wrapText="1" readingOrder="2"/>
    </xf>
    <xf numFmtId="0" fontId="0" fillId="0" borderId="1" xfId="0" applyBorder="1" applyAlignment="1">
      <alignment horizontal="center" vertical="center"/>
    </xf>
    <xf numFmtId="167" fontId="4" fillId="0" borderId="1" xfId="0" applyNumberFormat="1" applyFont="1" applyBorder="1" applyAlignment="1">
      <alignment horizontal="center" vertical="center" wrapText="1" readingOrder="2"/>
    </xf>
    <xf numFmtId="44" fontId="1" fillId="0" borderId="1" xfId="1" applyNumberFormat="1" applyFill="1" applyBorder="1" applyAlignment="1">
      <alignment horizontal="center" vertical="center" wrapText="1"/>
    </xf>
    <xf numFmtId="0" fontId="13" fillId="0" borderId="1" xfId="0" applyFont="1" applyBorder="1" applyAlignment="1">
      <alignment horizontal="center" vertical="center" wrapText="1" readingOrder="2"/>
    </xf>
    <xf numFmtId="0" fontId="4" fillId="0" borderId="1" xfId="0" applyFont="1" applyFill="1" applyBorder="1" applyAlignment="1">
      <alignment horizontal="center" vertical="center" wrapText="1" readingOrder="2"/>
    </xf>
    <xf numFmtId="0" fontId="5" fillId="15" borderId="1" xfId="0" applyFont="1" applyFill="1" applyBorder="1" applyAlignment="1">
      <alignment horizontal="center" vertical="center" readingOrder="2"/>
    </xf>
    <xf numFmtId="0" fontId="5" fillId="15" borderId="1" xfId="0" applyFont="1" applyFill="1" applyBorder="1" applyAlignment="1">
      <alignment horizontal="center" vertical="center" wrapText="1" readingOrder="2"/>
    </xf>
    <xf numFmtId="166" fontId="5" fillId="15" borderId="1" xfId="0" applyNumberFormat="1" applyFont="1" applyFill="1" applyBorder="1" applyAlignment="1">
      <alignment vertical="center" wrapText="1" readingOrder="2"/>
    </xf>
    <xf numFmtId="166" fontId="5" fillId="15" borderId="1" xfId="0" applyNumberFormat="1" applyFont="1" applyFill="1" applyBorder="1" applyAlignment="1">
      <alignment horizontal="right" vertical="center" wrapText="1" readingOrder="2"/>
    </xf>
    <xf numFmtId="0" fontId="4" fillId="15" borderId="1" xfId="0" applyFont="1" applyFill="1" applyBorder="1" applyAlignment="1">
      <alignment horizontal="center" vertical="center" wrapText="1" readingOrder="2"/>
    </xf>
    <xf numFmtId="0" fontId="0" fillId="15" borderId="0" xfId="0" applyFill="1"/>
    <xf numFmtId="0" fontId="9" fillId="15" borderId="1" xfId="2" applyFont="1" applyFill="1" applyBorder="1" applyAlignment="1">
      <alignment horizontal="center" vertical="center" wrapText="1" readingOrder="2"/>
    </xf>
    <xf numFmtId="3" fontId="9" fillId="15" borderId="1" xfId="2" applyNumberFormat="1" applyFont="1" applyFill="1" applyBorder="1" applyAlignment="1">
      <alignment horizontal="center" vertical="center" wrapText="1" readingOrder="2"/>
    </xf>
    <xf numFmtId="167" fontId="9" fillId="15" borderId="1" xfId="2" applyNumberFormat="1" applyFont="1" applyFill="1" applyBorder="1" applyAlignment="1">
      <alignment horizontal="center" vertical="center" wrapText="1" readingOrder="2"/>
    </xf>
    <xf numFmtId="0" fontId="9" fillId="15" borderId="1" xfId="2" applyNumberFormat="1" applyFont="1" applyFill="1" applyBorder="1" applyAlignment="1">
      <alignment horizontal="center" vertical="center" wrapText="1" readingOrder="2"/>
    </xf>
    <xf numFmtId="0" fontId="0" fillId="11" borderId="0" xfId="0" applyFill="1"/>
    <xf numFmtId="0" fontId="14" fillId="15" borderId="1" xfId="2" applyFont="1" applyFill="1" applyBorder="1" applyAlignment="1">
      <alignment horizontal="center" vertical="center" wrapText="1" readingOrder="2"/>
    </xf>
    <xf numFmtId="3" fontId="14" fillId="15" borderId="1" xfId="2" applyNumberFormat="1" applyFont="1" applyFill="1" applyBorder="1" applyAlignment="1">
      <alignment horizontal="center" vertical="center" wrapText="1" readingOrder="2"/>
    </xf>
    <xf numFmtId="167" fontId="14" fillId="15" borderId="1" xfId="2" applyNumberFormat="1" applyFont="1" applyFill="1" applyBorder="1" applyAlignment="1">
      <alignment horizontal="center" vertical="center" wrapText="1" readingOrder="2"/>
    </xf>
    <xf numFmtId="0" fontId="14" fillId="15" borderId="1" xfId="2" applyNumberFormat="1" applyFont="1" applyFill="1" applyBorder="1" applyAlignment="1">
      <alignment horizontal="center" vertical="center" wrapText="1" readingOrder="2"/>
    </xf>
    <xf numFmtId="0" fontId="14" fillId="0" borderId="1" xfId="2" applyNumberFormat="1" applyFont="1" applyFill="1" applyBorder="1" applyAlignment="1">
      <alignment horizontal="center" vertical="center" wrapText="1" readingOrder="2"/>
    </xf>
    <xf numFmtId="0" fontId="14" fillId="16" borderId="1" xfId="2" applyFont="1" applyFill="1" applyBorder="1" applyAlignment="1">
      <alignment horizontal="center" vertical="center" wrapText="1" readingOrder="2"/>
    </xf>
    <xf numFmtId="3" fontId="14" fillId="16" borderId="1" xfId="2" applyNumberFormat="1" applyFont="1" applyFill="1" applyBorder="1" applyAlignment="1">
      <alignment horizontal="center" vertical="center" wrapText="1" readingOrder="2"/>
    </xf>
    <xf numFmtId="167" fontId="14" fillId="16" borderId="1" xfId="2" applyNumberFormat="1" applyFont="1" applyFill="1" applyBorder="1" applyAlignment="1">
      <alignment horizontal="center" vertical="center" wrapText="1" readingOrder="2"/>
    </xf>
    <xf numFmtId="0" fontId="14" fillId="16" borderId="1" xfId="2" applyNumberFormat="1" applyFont="1" applyFill="1" applyBorder="1" applyAlignment="1">
      <alignment horizontal="center" vertical="center" wrapText="1" readingOrder="2"/>
    </xf>
    <xf numFmtId="0" fontId="29" fillId="15" borderId="1" xfId="2" applyFont="1" applyFill="1" applyBorder="1" applyAlignment="1">
      <alignment horizontal="center" vertical="center" wrapText="1" readingOrder="2"/>
    </xf>
    <xf numFmtId="0" fontId="16" fillId="0" borderId="1" xfId="0" applyFont="1" applyBorder="1" applyAlignment="1">
      <alignment horizontal="center" vertical="center" wrapText="1" readingOrder="2"/>
    </xf>
    <xf numFmtId="0" fontId="37" fillId="0" borderId="1" xfId="0" applyFont="1" applyBorder="1" applyAlignment="1">
      <alignment horizontal="center" vertical="center" wrapText="1" readingOrder="2"/>
    </xf>
    <xf numFmtId="0" fontId="38" fillId="0" borderId="0" xfId="0" applyFont="1" applyAlignment="1">
      <alignment horizontal="center" vertical="center" wrapText="1"/>
    </xf>
    <xf numFmtId="1" fontId="6" fillId="6" borderId="1" xfId="0" applyNumberFormat="1" applyFont="1" applyFill="1" applyBorder="1" applyAlignment="1">
      <alignment horizontal="center" vertical="center" wrapText="1" readingOrder="2"/>
    </xf>
    <xf numFmtId="1" fontId="6" fillId="0" borderId="1" xfId="0" applyNumberFormat="1" applyFont="1" applyFill="1" applyBorder="1" applyAlignment="1">
      <alignment horizontal="center" vertical="center" wrapText="1" readingOrder="2"/>
    </xf>
    <xf numFmtId="0" fontId="14" fillId="14" borderId="1" xfId="2" applyFont="1" applyFill="1" applyBorder="1" applyAlignment="1">
      <alignment horizontal="center" vertical="center" wrapText="1" readingOrder="2"/>
    </xf>
    <xf numFmtId="0" fontId="14" fillId="0" borderId="1" xfId="2" applyFont="1" applyFill="1" applyBorder="1" applyAlignment="1">
      <alignment horizontal="center" vertical="center" wrapText="1" readingOrder="2"/>
    </xf>
    <xf numFmtId="168" fontId="6" fillId="0" borderId="1" xfId="0" applyNumberFormat="1" applyFont="1" applyFill="1" applyBorder="1" applyAlignment="1">
      <alignment horizontal="center" vertical="center" wrapText="1"/>
    </xf>
    <xf numFmtId="168" fontId="14" fillId="0" borderId="1" xfId="2" applyNumberFormat="1" applyFont="1" applyFill="1" applyBorder="1" applyAlignment="1">
      <alignment horizontal="center" vertical="center" wrapText="1"/>
    </xf>
    <xf numFmtId="167" fontId="14" fillId="14" borderId="1" xfId="2"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readingOrder="2"/>
    </xf>
    <xf numFmtId="167" fontId="14" fillId="0" borderId="1" xfId="2" applyNumberFormat="1" applyFont="1" applyFill="1" applyBorder="1" applyAlignment="1">
      <alignment horizontal="center" vertical="center" wrapText="1"/>
    </xf>
    <xf numFmtId="167" fontId="6" fillId="0" borderId="1" xfId="0" applyNumberFormat="1" applyFont="1" applyFill="1" applyBorder="1" applyAlignment="1">
      <alignment horizontal="center" vertical="center" wrapText="1"/>
    </xf>
    <xf numFmtId="10" fontId="6" fillId="0" borderId="1" xfId="0" applyNumberFormat="1" applyFont="1" applyFill="1" applyBorder="1" applyAlignment="1">
      <alignment horizontal="center" vertical="center" wrapText="1" readingOrder="2"/>
    </xf>
    <xf numFmtId="167" fontId="6" fillId="14" borderId="1" xfId="0" applyNumberFormat="1" applyFont="1" applyFill="1" applyBorder="1" applyAlignment="1">
      <alignment horizontal="center" vertical="center" wrapText="1"/>
    </xf>
    <xf numFmtId="10" fontId="6" fillId="14" borderId="1" xfId="0" applyNumberFormat="1" applyFont="1" applyFill="1" applyBorder="1" applyAlignment="1">
      <alignment horizontal="center" vertical="center" wrapText="1" readingOrder="2"/>
    </xf>
    <xf numFmtId="0" fontId="4" fillId="0" borderId="1" xfId="0" applyFont="1" applyFill="1" applyBorder="1" applyAlignment="1">
      <alignment horizontal="center" vertical="center" wrapText="1" readingOrder="2"/>
    </xf>
    <xf numFmtId="168" fontId="6" fillId="6" borderId="1" xfId="0" applyNumberFormat="1" applyFont="1" applyFill="1" applyBorder="1" applyAlignment="1">
      <alignment horizontal="center" vertical="center" wrapText="1"/>
    </xf>
    <xf numFmtId="168" fontId="14" fillId="6" borderId="1" xfId="2" applyNumberFormat="1" applyFont="1" applyFill="1" applyBorder="1" applyAlignment="1">
      <alignment horizontal="center" vertical="center" wrapText="1"/>
    </xf>
    <xf numFmtId="0" fontId="6" fillId="6" borderId="1" xfId="0" applyNumberFormat="1" applyFont="1" applyFill="1" applyBorder="1" applyAlignment="1">
      <alignment horizontal="center" vertical="center" wrapText="1" readingOrder="2"/>
    </xf>
    <xf numFmtId="167" fontId="14" fillId="6" borderId="1" xfId="2" applyNumberFormat="1" applyFont="1" applyFill="1" applyBorder="1" applyAlignment="1">
      <alignment horizontal="center" vertical="center" wrapText="1"/>
    </xf>
    <xf numFmtId="0" fontId="14" fillId="8" borderId="1" xfId="2" applyFont="1" applyFill="1" applyBorder="1" applyAlignment="1">
      <alignment horizontal="center" vertical="center" wrapText="1" readingOrder="2"/>
    </xf>
    <xf numFmtId="3" fontId="14" fillId="8" borderId="1" xfId="2" applyNumberFormat="1" applyFont="1" applyFill="1" applyBorder="1" applyAlignment="1">
      <alignment horizontal="center" vertical="center" wrapText="1" readingOrder="2"/>
    </xf>
    <xf numFmtId="167" fontId="14" fillId="8" borderId="1" xfId="2" applyNumberFormat="1" applyFont="1" applyFill="1" applyBorder="1" applyAlignment="1">
      <alignment horizontal="center" vertical="center" wrapText="1" readingOrder="2"/>
    </xf>
    <xf numFmtId="0" fontId="14" fillId="8" borderId="1" xfId="2" applyNumberFormat="1" applyFont="1" applyFill="1" applyBorder="1" applyAlignment="1">
      <alignment horizontal="center" vertical="center" wrapText="1" readingOrder="2"/>
    </xf>
    <xf numFmtId="0" fontId="38" fillId="0" borderId="1" xfId="0" applyFont="1" applyBorder="1" applyAlignment="1">
      <alignment horizontal="center" vertical="center" wrapText="1"/>
    </xf>
    <xf numFmtId="0" fontId="0" fillId="0" borderId="2" xfId="0" applyBorder="1"/>
    <xf numFmtId="0" fontId="0" fillId="0" borderId="3" xfId="0" applyBorder="1"/>
    <xf numFmtId="0" fontId="0" fillId="0" borderId="3" xfId="0" applyBorder="1" applyAlignment="1">
      <alignment readingOrder="2"/>
    </xf>
    <xf numFmtId="166" fontId="0" fillId="0" borderId="3" xfId="0" applyNumberFormat="1" applyBorder="1" applyAlignment="1">
      <alignment readingOrder="2"/>
    </xf>
    <xf numFmtId="0" fontId="10" fillId="0" borderId="3" xfId="0" applyFont="1" applyBorder="1" applyAlignment="1">
      <alignment readingOrder="2"/>
    </xf>
    <xf numFmtId="0" fontId="10" fillId="0" borderId="4" xfId="0" applyFont="1" applyBorder="1"/>
    <xf numFmtId="0" fontId="4" fillId="0" borderId="1" xfId="0" applyFont="1" applyBorder="1" applyAlignment="1">
      <alignment horizontal="center" vertical="center" wrapText="1" readingOrder="2"/>
    </xf>
    <xf numFmtId="0" fontId="6" fillId="0" borderId="1" xfId="0" applyFont="1" applyBorder="1" applyAlignment="1">
      <alignment horizontal="center" vertical="center" wrapText="1" readingOrder="2"/>
    </xf>
    <xf numFmtId="0" fontId="13" fillId="0" borderId="1" xfId="0" applyFont="1" applyBorder="1" applyAlignment="1">
      <alignment horizontal="center" vertical="center" wrapText="1" readingOrder="2"/>
    </xf>
    <xf numFmtId="3" fontId="6" fillId="0" borderId="1" xfId="0" applyNumberFormat="1" applyFont="1" applyFill="1" applyBorder="1" applyAlignment="1">
      <alignment horizontal="center" vertical="center" wrapText="1" readingOrder="2"/>
    </xf>
    <xf numFmtId="167" fontId="4" fillId="0" borderId="1" xfId="0" applyNumberFormat="1" applyFont="1" applyBorder="1" applyAlignment="1">
      <alignment horizontal="center" vertical="center" wrapText="1" readingOrder="2"/>
    </xf>
    <xf numFmtId="44" fontId="1" fillId="0" borderId="1" xfId="1" applyNumberFormat="1" applyFill="1" applyBorder="1" applyAlignment="1">
      <alignment horizontal="center" vertical="center" wrapText="1"/>
    </xf>
    <xf numFmtId="3" fontId="6" fillId="0" borderId="1" xfId="0" applyNumberFormat="1" applyFont="1" applyBorder="1" applyAlignment="1">
      <alignment horizontal="center" vertical="center" wrapText="1" readingOrder="2"/>
    </xf>
    <xf numFmtId="0" fontId="6" fillId="0" borderId="1" xfId="0" applyFont="1" applyFill="1" applyBorder="1" applyAlignment="1">
      <alignment horizontal="center" vertical="center" wrapText="1" readingOrder="2"/>
    </xf>
    <xf numFmtId="0" fontId="4" fillId="0" borderId="1" xfId="0" applyFont="1" applyFill="1" applyBorder="1" applyAlignment="1">
      <alignment horizontal="center" vertical="center" wrapText="1" readingOrder="2"/>
    </xf>
    <xf numFmtId="0" fontId="4" fillId="0" borderId="1" xfId="0" applyFont="1" applyBorder="1" applyAlignment="1">
      <alignment horizontal="center" vertical="center" wrapText="1" readingOrder="2"/>
    </xf>
    <xf numFmtId="0" fontId="6" fillId="0" borderId="1" xfId="0" applyFont="1" applyBorder="1" applyAlignment="1">
      <alignment horizontal="center" vertical="center" wrapText="1" readingOrder="2"/>
    </xf>
    <xf numFmtId="3" fontId="6" fillId="0" borderId="1" xfId="0" applyNumberFormat="1" applyFont="1" applyFill="1" applyBorder="1" applyAlignment="1">
      <alignment horizontal="center" vertical="center" wrapText="1" readingOrder="2"/>
    </xf>
    <xf numFmtId="167" fontId="4" fillId="0" borderId="1" xfId="0" applyNumberFormat="1" applyFont="1" applyBorder="1" applyAlignment="1">
      <alignment horizontal="center" vertical="center" wrapText="1" readingOrder="2"/>
    </xf>
    <xf numFmtId="3" fontId="6" fillId="0" borderId="1" xfId="0" applyNumberFormat="1" applyFont="1" applyBorder="1" applyAlignment="1">
      <alignment horizontal="center" vertical="center" wrapText="1" readingOrder="2"/>
    </xf>
    <xf numFmtId="0" fontId="6" fillId="0" borderId="1" xfId="0" applyFont="1" applyFill="1" applyBorder="1" applyAlignment="1">
      <alignment horizontal="center" vertical="center" wrapText="1" readingOrder="2"/>
    </xf>
    <xf numFmtId="0" fontId="25" fillId="0" borderId="1" xfId="0" applyFont="1" applyBorder="1" applyAlignment="1">
      <alignment horizontal="center" vertical="center" wrapText="1" readingOrder="2"/>
    </xf>
    <xf numFmtId="0" fontId="4" fillId="0" borderId="3" xfId="0" applyFont="1" applyBorder="1" applyAlignment="1">
      <alignment horizontal="right" vertical="center" wrapText="1" readingOrder="2"/>
    </xf>
    <xf numFmtId="0" fontId="7" fillId="0" borderId="5" xfId="0" applyFont="1" applyBorder="1" applyAlignment="1">
      <alignment horizontal="center" vertical="center" wrapText="1" readingOrder="2"/>
    </xf>
    <xf numFmtId="167" fontId="4" fillId="0" borderId="5" xfId="0" applyNumberFormat="1" applyFont="1" applyFill="1" applyBorder="1" applyAlignment="1">
      <alignment horizontal="center" vertical="center" wrapText="1" readingOrder="2"/>
    </xf>
    <xf numFmtId="0" fontId="4" fillId="0" borderId="5" xfId="0" applyFont="1" applyBorder="1" applyAlignment="1">
      <alignment horizontal="center" vertical="center" wrapText="1" readingOrder="2"/>
    </xf>
    <xf numFmtId="0" fontId="6" fillId="0" borderId="5" xfId="0" applyFont="1" applyBorder="1" applyAlignment="1">
      <alignment horizontal="center" vertical="center" wrapText="1" readingOrder="2"/>
    </xf>
    <xf numFmtId="3" fontId="6" fillId="0" borderId="5" xfId="0" applyNumberFormat="1" applyFont="1" applyFill="1" applyBorder="1" applyAlignment="1">
      <alignment horizontal="center" vertical="center" wrapText="1" readingOrder="2"/>
    </xf>
    <xf numFmtId="0" fontId="4" fillId="0" borderId="4" xfId="0" applyFont="1" applyBorder="1" applyAlignment="1">
      <alignment horizontal="right" vertical="center" wrapText="1" readingOrder="2"/>
    </xf>
    <xf numFmtId="3" fontId="25" fillId="0" borderId="1" xfId="0" applyNumberFormat="1" applyFont="1" applyBorder="1" applyAlignment="1">
      <alignment horizontal="center" vertical="center" wrapText="1" readingOrder="2"/>
    </xf>
    <xf numFmtId="167" fontId="25" fillId="0" borderId="1" xfId="0" applyNumberFormat="1" applyFont="1" applyBorder="1" applyAlignment="1">
      <alignment horizontal="center" vertical="center" wrapText="1" readingOrder="2"/>
    </xf>
    <xf numFmtId="167" fontId="7" fillId="0" borderId="1" xfId="2" applyNumberFormat="1" applyFont="1" applyFill="1" applyBorder="1" applyAlignment="1">
      <alignment horizontal="center" vertical="center" wrapText="1" readingOrder="2"/>
    </xf>
    <xf numFmtId="0" fontId="7" fillId="0" borderId="0" xfId="0" applyFont="1"/>
    <xf numFmtId="44" fontId="39" fillId="0" borderId="1" xfId="1" applyNumberFormat="1" applyFont="1" applyFill="1" applyBorder="1" applyAlignment="1">
      <alignment horizontal="center" vertical="center" wrapText="1"/>
    </xf>
    <xf numFmtId="0" fontId="14" fillId="0" borderId="0" xfId="0" applyFont="1"/>
    <xf numFmtId="0" fontId="14" fillId="0" borderId="5" xfId="0" applyFont="1" applyFill="1" applyBorder="1" applyAlignment="1">
      <alignment horizontal="center" readingOrder="2"/>
    </xf>
    <xf numFmtId="167" fontId="6" fillId="7" borderId="1" xfId="0" applyNumberFormat="1" applyFont="1" applyFill="1" applyBorder="1" applyAlignment="1">
      <alignment horizontal="center" vertical="center" wrapText="1" readingOrder="1"/>
    </xf>
    <xf numFmtId="0" fontId="4" fillId="0" borderId="0" xfId="0" applyFont="1" applyBorder="1" applyAlignment="1">
      <alignment horizontal="center" vertical="center" readingOrder="2"/>
    </xf>
    <xf numFmtId="0" fontId="6" fillId="7" borderId="1" xfId="0" applyNumberFormat="1" applyFont="1" applyFill="1" applyBorder="1" applyAlignment="1">
      <alignment horizontal="center" vertical="center" wrapText="1" readingOrder="2"/>
    </xf>
    <xf numFmtId="0" fontId="14" fillId="7" borderId="1" xfId="2" applyFont="1" applyFill="1" applyBorder="1" applyAlignment="1">
      <alignment horizontal="center" vertical="center" wrapText="1" readingOrder="2"/>
    </xf>
    <xf numFmtId="0" fontId="4" fillId="0" borderId="9" xfId="0" applyFont="1" applyBorder="1" applyAlignment="1">
      <alignment horizontal="center" vertical="center" readingOrder="2"/>
    </xf>
    <xf numFmtId="0" fontId="7" fillId="0" borderId="5" xfId="0" applyFont="1" applyBorder="1" applyAlignment="1">
      <alignment horizontal="center" vertical="center" wrapText="1" readingOrder="2"/>
    </xf>
    <xf numFmtId="167" fontId="4" fillId="0" borderId="5" xfId="0" applyNumberFormat="1" applyFont="1" applyFill="1" applyBorder="1" applyAlignment="1">
      <alignment horizontal="center" vertical="center" wrapText="1" readingOrder="2"/>
    </xf>
    <xf numFmtId="0" fontId="4" fillId="0" borderId="5" xfId="0" applyFont="1" applyBorder="1" applyAlignment="1">
      <alignment horizontal="center" vertical="center" wrapText="1" readingOrder="2"/>
    </xf>
    <xf numFmtId="0" fontId="14" fillId="0" borderId="5" xfId="0" applyFont="1" applyFill="1" applyBorder="1" applyAlignment="1">
      <alignment horizontal="center" readingOrder="2"/>
    </xf>
    <xf numFmtId="0" fontId="6" fillId="0" borderId="5" xfId="0" applyFont="1" applyBorder="1" applyAlignment="1">
      <alignment horizontal="center" vertical="center" wrapText="1" readingOrder="2"/>
    </xf>
    <xf numFmtId="3" fontId="6" fillId="0" borderId="5" xfId="0" applyNumberFormat="1" applyFont="1" applyFill="1" applyBorder="1" applyAlignment="1">
      <alignment horizontal="center" vertical="center" wrapText="1" readingOrder="2"/>
    </xf>
    <xf numFmtId="0" fontId="6" fillId="0" borderId="1" xfId="0" applyFont="1" applyBorder="1" applyAlignment="1">
      <alignment horizontal="center" vertical="center" wrapText="1" readingOrder="2"/>
    </xf>
    <xf numFmtId="0" fontId="4" fillId="0" borderId="5" xfId="0" applyFont="1" applyBorder="1" applyAlignment="1">
      <alignment horizontal="center" vertical="center" wrapText="1" readingOrder="2"/>
    </xf>
    <xf numFmtId="0" fontId="4" fillId="0" borderId="7" xfId="0" applyFont="1" applyBorder="1" applyAlignment="1">
      <alignment horizontal="center" vertical="center" wrapText="1" readingOrder="2"/>
    </xf>
    <xf numFmtId="3" fontId="6" fillId="0" borderId="1" xfId="0" applyNumberFormat="1" applyFont="1" applyBorder="1" applyAlignment="1">
      <alignment horizontal="center" vertical="center" wrapText="1" readingOrder="2"/>
    </xf>
    <xf numFmtId="0" fontId="4" fillId="0" borderId="1" xfId="0" applyFont="1" applyBorder="1" applyAlignment="1">
      <alignment horizontal="center" vertical="center" wrapText="1" readingOrder="2"/>
    </xf>
    <xf numFmtId="0" fontId="6" fillId="0" borderId="1" xfId="0" applyFont="1" applyBorder="1" applyAlignment="1">
      <alignment horizontal="center" vertical="center" wrapText="1" readingOrder="2"/>
    </xf>
    <xf numFmtId="3" fontId="6" fillId="0" borderId="1" xfId="0" applyNumberFormat="1" applyFont="1" applyFill="1" applyBorder="1" applyAlignment="1">
      <alignment horizontal="center" vertical="center" wrapText="1" readingOrder="2"/>
    </xf>
    <xf numFmtId="167" fontId="4" fillId="0" borderId="1" xfId="0" applyNumberFormat="1" applyFont="1" applyBorder="1" applyAlignment="1">
      <alignment horizontal="center" vertical="center" wrapText="1" readingOrder="2"/>
    </xf>
    <xf numFmtId="0" fontId="6" fillId="0" borderId="1" xfId="0" applyFont="1" applyFill="1" applyBorder="1" applyAlignment="1">
      <alignment horizontal="center" vertical="center" wrapText="1" readingOrder="2"/>
    </xf>
    <xf numFmtId="0" fontId="5" fillId="13" borderId="1" xfId="0" applyFont="1" applyFill="1" applyBorder="1" applyAlignment="1">
      <alignment horizontal="center" vertical="center" readingOrder="2"/>
    </xf>
    <xf numFmtId="0" fontId="5" fillId="13" borderId="1" xfId="0" applyFont="1" applyFill="1" applyBorder="1" applyAlignment="1">
      <alignment horizontal="center" vertical="center" wrapText="1" readingOrder="2"/>
    </xf>
    <xf numFmtId="166" fontId="5" fillId="13" borderId="1" xfId="0" applyNumberFormat="1" applyFont="1" applyFill="1" applyBorder="1" applyAlignment="1">
      <alignment vertical="center" wrapText="1" readingOrder="2"/>
    </xf>
    <xf numFmtId="166" fontId="5" fillId="13" borderId="1" xfId="0" applyNumberFormat="1" applyFont="1" applyFill="1" applyBorder="1" applyAlignment="1">
      <alignment horizontal="right" vertical="center" wrapText="1" readingOrder="2"/>
    </xf>
    <xf numFmtId="0" fontId="4" fillId="13" borderId="1" xfId="0" applyFont="1" applyFill="1" applyBorder="1" applyAlignment="1">
      <alignment horizontal="center" vertical="center" wrapText="1" readingOrder="2"/>
    </xf>
    <xf numFmtId="0" fontId="29" fillId="17" borderId="1" xfId="2" applyFont="1" applyFill="1" applyBorder="1" applyAlignment="1">
      <alignment horizontal="center" vertical="center" wrapText="1" readingOrder="2"/>
    </xf>
    <xf numFmtId="3" fontId="29" fillId="17" borderId="1" xfId="2" applyNumberFormat="1" applyFont="1" applyFill="1" applyBorder="1" applyAlignment="1">
      <alignment horizontal="center" vertical="center" wrapText="1" readingOrder="2"/>
    </xf>
    <xf numFmtId="167" fontId="29" fillId="17" borderId="1" xfId="2" applyNumberFormat="1" applyFont="1" applyFill="1" applyBorder="1" applyAlignment="1">
      <alignment horizontal="center" vertical="center" wrapText="1" readingOrder="2"/>
    </xf>
    <xf numFmtId="0" fontId="29" fillId="17" borderId="1" xfId="2" applyNumberFormat="1" applyFont="1" applyFill="1" applyBorder="1" applyAlignment="1">
      <alignment horizontal="center" vertical="center" wrapText="1" readingOrder="2"/>
    </xf>
    <xf numFmtId="0" fontId="29" fillId="13" borderId="1" xfId="2" applyFont="1" applyFill="1" applyBorder="1" applyAlignment="1">
      <alignment horizontal="center" vertical="center" wrapText="1" readingOrder="2"/>
    </xf>
    <xf numFmtId="3" fontId="29" fillId="13" borderId="1" xfId="2" applyNumberFormat="1" applyFont="1" applyFill="1" applyBorder="1" applyAlignment="1">
      <alignment horizontal="center" vertical="center" wrapText="1" readingOrder="2"/>
    </xf>
    <xf numFmtId="167" fontId="29" fillId="13" borderId="1" xfId="2" applyNumberFormat="1" applyFont="1" applyFill="1" applyBorder="1" applyAlignment="1">
      <alignment horizontal="center" vertical="center" wrapText="1" readingOrder="2"/>
    </xf>
    <xf numFmtId="10" fontId="29" fillId="13" borderId="1" xfId="2" applyNumberFormat="1" applyFont="1" applyFill="1" applyBorder="1" applyAlignment="1">
      <alignment horizontal="center" vertical="center" wrapText="1" readingOrder="2"/>
    </xf>
    <xf numFmtId="10" fontId="6" fillId="0" borderId="1" xfId="0" applyNumberFormat="1" applyFont="1" applyBorder="1" applyAlignment="1">
      <alignment horizontal="center" vertical="center" wrapText="1" readingOrder="2"/>
    </xf>
    <xf numFmtId="0" fontId="29" fillId="13" borderId="1" xfId="2" applyNumberFormat="1" applyFont="1" applyFill="1" applyBorder="1" applyAlignment="1">
      <alignment horizontal="center" vertical="center" wrapText="1" readingOrder="2"/>
    </xf>
    <xf numFmtId="0" fontId="10" fillId="0" borderId="1" xfId="2" applyFont="1" applyFill="1" applyBorder="1" applyAlignment="1">
      <alignment horizontal="center" vertical="center" wrapText="1" readingOrder="2"/>
    </xf>
    <xf numFmtId="3" fontId="42" fillId="0" borderId="1" xfId="0" applyNumberFormat="1" applyFont="1" applyBorder="1" applyAlignment="1">
      <alignment horizontal="center" vertical="center" wrapText="1" readingOrder="2"/>
    </xf>
    <xf numFmtId="167" fontId="42" fillId="0" borderId="1" xfId="0" applyNumberFormat="1" applyFont="1" applyBorder="1" applyAlignment="1">
      <alignment horizontal="center" vertical="center" wrapText="1" readingOrder="2"/>
    </xf>
    <xf numFmtId="167" fontId="10" fillId="0" borderId="1" xfId="2" applyNumberFormat="1" applyFont="1" applyFill="1" applyBorder="1" applyAlignment="1">
      <alignment horizontal="center" vertical="center" wrapText="1" readingOrder="2"/>
    </xf>
    <xf numFmtId="0" fontId="42" fillId="0" borderId="1" xfId="0" applyFont="1" applyBorder="1" applyAlignment="1">
      <alignment horizontal="center" vertical="center" wrapText="1" readingOrder="2"/>
    </xf>
    <xf numFmtId="0" fontId="6" fillId="7" borderId="1" xfId="0" applyFont="1" applyFill="1" applyBorder="1" applyAlignment="1">
      <alignment horizontal="right" vertical="center" wrapText="1" readingOrder="2"/>
    </xf>
    <xf numFmtId="1" fontId="6" fillId="7" borderId="1" xfId="0" applyNumberFormat="1" applyFont="1" applyFill="1" applyBorder="1" applyAlignment="1">
      <alignment horizontal="center" vertical="center" wrapText="1" readingOrder="2"/>
    </xf>
    <xf numFmtId="0" fontId="6" fillId="0" borderId="1" xfId="0" applyFont="1" applyFill="1" applyBorder="1" applyAlignment="1">
      <alignment horizontal="center" vertical="center" wrapText="1" readingOrder="2"/>
    </xf>
    <xf numFmtId="0" fontId="4" fillId="0" borderId="5" xfId="0" applyFont="1" applyBorder="1" applyAlignment="1">
      <alignment horizontal="center" vertical="center" wrapText="1" readingOrder="2"/>
    </xf>
    <xf numFmtId="3" fontId="6" fillId="0" borderId="1" xfId="0" applyNumberFormat="1" applyFont="1" applyFill="1" applyBorder="1" applyAlignment="1">
      <alignment horizontal="center" vertical="center" wrapText="1" readingOrder="2"/>
    </xf>
    <xf numFmtId="0" fontId="6" fillId="0" borderId="1" xfId="0" applyFont="1" applyFill="1" applyBorder="1" applyAlignment="1">
      <alignment horizontal="center" vertical="center" wrapText="1" readingOrder="2"/>
    </xf>
    <xf numFmtId="10" fontId="6" fillId="6" borderId="1" xfId="0" applyNumberFormat="1" applyFont="1" applyFill="1" applyBorder="1" applyAlignment="1">
      <alignment horizontal="center" vertical="center" wrapText="1" readingOrder="2"/>
    </xf>
    <xf numFmtId="167" fontId="6" fillId="6" borderId="1" xfId="0" applyNumberFormat="1" applyFont="1" applyFill="1" applyBorder="1" applyAlignment="1">
      <alignment horizontal="center" vertical="center" wrapText="1" readingOrder="1"/>
    </xf>
    <xf numFmtId="0" fontId="6" fillId="6" borderId="1" xfId="0" applyFont="1" applyFill="1" applyBorder="1" applyAlignment="1">
      <alignment horizontal="right" vertical="center" wrapText="1" readingOrder="2"/>
    </xf>
    <xf numFmtId="168" fontId="4" fillId="6" borderId="1" xfId="0" applyNumberFormat="1" applyFont="1" applyFill="1" applyBorder="1" applyAlignment="1">
      <alignment horizontal="center" vertical="center" wrapText="1"/>
    </xf>
    <xf numFmtId="0" fontId="4" fillId="0" borderId="1" xfId="0" applyFont="1" applyBorder="1" applyAlignment="1">
      <alignment horizontal="center" vertical="center" wrapText="1" readingOrder="2"/>
    </xf>
    <xf numFmtId="0" fontId="6" fillId="0" borderId="1" xfId="0" applyFont="1" applyBorder="1" applyAlignment="1">
      <alignment horizontal="center" vertical="center" wrapText="1" readingOrder="2"/>
    </xf>
    <xf numFmtId="0" fontId="4" fillId="0" borderId="5" xfId="0" applyFont="1" applyBorder="1" applyAlignment="1">
      <alignment horizontal="center" vertical="center" wrapText="1" readingOrder="2"/>
    </xf>
    <xf numFmtId="0" fontId="6" fillId="0" borderId="5" xfId="0" applyFont="1" applyBorder="1" applyAlignment="1">
      <alignment horizontal="center" vertical="center" wrapText="1" readingOrder="2"/>
    </xf>
    <xf numFmtId="0" fontId="13" fillId="0" borderId="5" xfId="0" applyFont="1" applyBorder="1" applyAlignment="1">
      <alignment horizontal="center" vertical="center" wrapText="1" readingOrder="2"/>
    </xf>
    <xf numFmtId="3" fontId="6" fillId="0" borderId="1" xfId="0" applyNumberFormat="1" applyFont="1" applyFill="1" applyBorder="1" applyAlignment="1">
      <alignment horizontal="center" vertical="center" wrapText="1" readingOrder="2"/>
    </xf>
    <xf numFmtId="0" fontId="4" fillId="0" borderId="1" xfId="0" applyFont="1" applyFill="1" applyBorder="1" applyAlignment="1">
      <alignment horizontal="center" vertical="center" wrapText="1" readingOrder="2"/>
    </xf>
    <xf numFmtId="44" fontId="1" fillId="0" borderId="5" xfId="1" applyNumberFormat="1" applyFill="1" applyBorder="1" applyAlignment="1">
      <alignment horizontal="center" vertical="center" wrapText="1"/>
    </xf>
    <xf numFmtId="3" fontId="6" fillId="0" borderId="1" xfId="0" applyNumberFormat="1" applyFont="1" applyBorder="1" applyAlignment="1">
      <alignment horizontal="center" vertical="center" wrapText="1" readingOrder="2"/>
    </xf>
    <xf numFmtId="0" fontId="4" fillId="0" borderId="1" xfId="0" applyFont="1" applyBorder="1" applyAlignment="1">
      <alignment horizontal="center" vertical="center" wrapText="1" readingOrder="2"/>
    </xf>
    <xf numFmtId="0" fontId="6" fillId="0" borderId="1" xfId="0" applyFont="1" applyBorder="1" applyAlignment="1">
      <alignment horizontal="center" vertical="center" wrapText="1" readingOrder="2"/>
    </xf>
    <xf numFmtId="3" fontId="6" fillId="0" borderId="1" xfId="0" applyNumberFormat="1" applyFont="1" applyFill="1" applyBorder="1" applyAlignment="1">
      <alignment horizontal="center" vertical="center" wrapText="1" readingOrder="2"/>
    </xf>
    <xf numFmtId="0" fontId="9" fillId="7" borderId="1" xfId="2" applyFont="1" applyFill="1" applyBorder="1" applyAlignment="1">
      <alignment horizontal="center" vertical="center" wrapText="1" readingOrder="2"/>
    </xf>
    <xf numFmtId="167" fontId="9" fillId="8" borderId="1" xfId="2" applyNumberFormat="1" applyFont="1" applyFill="1" applyBorder="1" applyAlignment="1">
      <alignment horizontal="center" vertical="center" wrapText="1" readingOrder="2"/>
    </xf>
    <xf numFmtId="167" fontId="43" fillId="18" borderId="5" xfId="0" applyNumberFormat="1" applyFont="1" applyFill="1" applyBorder="1" applyAlignment="1">
      <alignment horizontal="center" vertical="center" wrapText="1" readingOrder="2"/>
    </xf>
    <xf numFmtId="1" fontId="6" fillId="8" borderId="1" xfId="0" applyNumberFormat="1" applyFont="1" applyFill="1" applyBorder="1" applyAlignment="1">
      <alignment horizontal="center" vertical="center" wrapText="1" readingOrder="2"/>
    </xf>
    <xf numFmtId="0" fontId="7" fillId="0" borderId="5" xfId="0" applyFont="1" applyBorder="1"/>
    <xf numFmtId="0" fontId="0" fillId="0" borderId="1" xfId="0" applyBorder="1" applyAlignment="1">
      <alignment horizontal="center" readingOrder="2"/>
    </xf>
    <xf numFmtId="3" fontId="6" fillId="0" borderId="1" xfId="0" applyNumberFormat="1" applyFont="1" applyBorder="1" applyAlignment="1">
      <alignment horizontal="center" vertical="center" wrapText="1" readingOrder="2"/>
    </xf>
    <xf numFmtId="0" fontId="4" fillId="0" borderId="1" xfId="0" applyFont="1" applyFill="1" applyBorder="1" applyAlignment="1">
      <alignment horizontal="center" vertical="center" wrapText="1" readingOrder="2"/>
    </xf>
    <xf numFmtId="0" fontId="6" fillId="0" borderId="1" xfId="0" applyFont="1" applyFill="1" applyBorder="1" applyAlignment="1">
      <alignment horizontal="center" vertical="center" wrapText="1" readingOrder="2"/>
    </xf>
    <xf numFmtId="0" fontId="6" fillId="0" borderId="1" xfId="0" applyFont="1" applyFill="1" applyBorder="1" applyAlignment="1">
      <alignment horizontal="center" vertical="center" wrapText="1" readingOrder="2"/>
    </xf>
    <xf numFmtId="0" fontId="25" fillId="0" borderId="1" xfId="0" applyFont="1" applyFill="1" applyBorder="1" applyAlignment="1">
      <alignment horizontal="center" vertical="center" wrapText="1" readingOrder="2"/>
    </xf>
    <xf numFmtId="8" fontId="25" fillId="0" borderId="1" xfId="0" applyNumberFormat="1" applyFont="1" applyFill="1" applyBorder="1" applyAlignment="1">
      <alignment horizontal="center" vertical="center" wrapText="1" readingOrder="2"/>
    </xf>
    <xf numFmtId="0" fontId="4" fillId="0" borderId="1" xfId="0" applyFont="1" applyBorder="1" applyAlignment="1">
      <alignment horizontal="center" vertical="center" wrapText="1" readingOrder="2"/>
    </xf>
    <xf numFmtId="0" fontId="6" fillId="0" borderId="1" xfId="0" applyFont="1" applyBorder="1" applyAlignment="1">
      <alignment horizontal="center" vertical="center" wrapText="1" readingOrder="2"/>
    </xf>
    <xf numFmtId="167" fontId="43" fillId="18" borderId="5" xfId="0" applyNumberFormat="1" applyFont="1" applyFill="1" applyBorder="1" applyAlignment="1">
      <alignment horizontal="center" vertical="center" wrapText="1" readingOrder="2"/>
    </xf>
    <xf numFmtId="3" fontId="6" fillId="0" borderId="1" xfId="0" applyNumberFormat="1" applyFont="1" applyBorder="1" applyAlignment="1">
      <alignment horizontal="center" vertical="center" wrapText="1" readingOrder="2"/>
    </xf>
    <xf numFmtId="0" fontId="25" fillId="0" borderId="1" xfId="0" applyFont="1" applyBorder="1" applyAlignment="1">
      <alignment horizontal="center" vertical="center" wrapText="1" readingOrder="2"/>
    </xf>
    <xf numFmtId="166" fontId="5" fillId="0" borderId="1" xfId="0" applyNumberFormat="1" applyFont="1" applyBorder="1" applyAlignment="1">
      <alignment horizontal="center" vertical="center" wrapText="1" readingOrder="2"/>
    </xf>
    <xf numFmtId="167" fontId="4" fillId="7" borderId="1" xfId="0" applyNumberFormat="1" applyFont="1" applyFill="1" applyBorder="1" applyAlignment="1">
      <alignment horizontal="center" vertical="center" wrapText="1" readingOrder="1"/>
    </xf>
    <xf numFmtId="167" fontId="14" fillId="7" borderId="1" xfId="2" applyNumberFormat="1" applyFont="1" applyFill="1" applyBorder="1" applyAlignment="1">
      <alignment horizontal="center" vertical="center" wrapText="1" readingOrder="2"/>
    </xf>
    <xf numFmtId="0" fontId="6" fillId="14" borderId="1" xfId="0" applyFont="1" applyFill="1" applyBorder="1" applyAlignment="1">
      <alignment horizontal="center" vertical="center" wrapText="1"/>
    </xf>
    <xf numFmtId="167" fontId="6"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7" fillId="0" borderId="8" xfId="0" applyFont="1" applyBorder="1"/>
    <xf numFmtId="0" fontId="7" fillId="0" borderId="7" xfId="0" applyFont="1" applyBorder="1"/>
    <xf numFmtId="0" fontId="7" fillId="0" borderId="10" xfId="0" applyFont="1" applyBorder="1"/>
    <xf numFmtId="0" fontId="44" fillId="0" borderId="5" xfId="0" applyFont="1" applyBorder="1" applyAlignment="1">
      <alignment horizontal="center" vertical="center" wrapText="1" readingOrder="2"/>
    </xf>
    <xf numFmtId="0" fontId="7" fillId="0" borderId="5" xfId="0" applyFont="1" applyBorder="1" applyAlignment="1">
      <alignment horizontal="center" vertical="center" wrapText="1" readingOrder="2"/>
    </xf>
    <xf numFmtId="0" fontId="4" fillId="0" borderId="1" xfId="0" applyFont="1" applyBorder="1" applyAlignment="1">
      <alignment horizontal="center" vertical="center" wrapText="1" readingOrder="2"/>
    </xf>
    <xf numFmtId="0" fontId="6" fillId="0" borderId="1" xfId="0" applyFont="1" applyBorder="1" applyAlignment="1">
      <alignment horizontal="center" vertical="center" wrapText="1" readingOrder="2"/>
    </xf>
    <xf numFmtId="0" fontId="4" fillId="0" borderId="5" xfId="0" applyFont="1" applyBorder="1" applyAlignment="1">
      <alignment horizontal="center" vertical="center" wrapText="1" readingOrder="2"/>
    </xf>
    <xf numFmtId="0" fontId="6" fillId="0" borderId="5" xfId="0" applyFont="1" applyBorder="1" applyAlignment="1">
      <alignment horizontal="center" vertical="center" wrapText="1" readingOrder="2"/>
    </xf>
    <xf numFmtId="3" fontId="6" fillId="0" borderId="5" xfId="0" applyNumberFormat="1" applyFont="1" applyBorder="1" applyAlignment="1">
      <alignment horizontal="center" vertical="center" wrapText="1" readingOrder="2"/>
    </xf>
    <xf numFmtId="0" fontId="14" fillId="0" borderId="5" xfId="0" applyFont="1" applyBorder="1" applyAlignment="1">
      <alignment horizontal="center" readingOrder="2"/>
    </xf>
    <xf numFmtId="167" fontId="4" fillId="18" borderId="5" xfId="0" applyNumberFormat="1" applyFont="1" applyFill="1" applyBorder="1" applyAlignment="1">
      <alignment horizontal="center" vertical="center" wrapText="1" readingOrder="2"/>
    </xf>
    <xf numFmtId="3" fontId="6" fillId="0" borderId="1" xfId="0" applyNumberFormat="1" applyFont="1" applyBorder="1" applyAlignment="1">
      <alignment horizontal="center" vertical="center" wrapText="1" readingOrder="2"/>
    </xf>
    <xf numFmtId="0" fontId="6" fillId="0" borderId="1" xfId="0" applyFont="1" applyBorder="1" applyAlignment="1">
      <alignment horizontal="center" vertical="center" wrapText="1" readingOrder="2"/>
    </xf>
    <xf numFmtId="3" fontId="6" fillId="0" borderId="1" xfId="0" applyNumberFormat="1" applyFont="1" applyBorder="1" applyAlignment="1">
      <alignment horizontal="center" vertical="center" wrapText="1" readingOrder="2"/>
    </xf>
    <xf numFmtId="0" fontId="7" fillId="0" borderId="5" xfId="0" applyFont="1" applyBorder="1" applyAlignment="1">
      <alignment horizontal="center" vertical="center" wrapText="1" readingOrder="2"/>
    </xf>
    <xf numFmtId="0" fontId="4" fillId="0" borderId="5" xfId="0" applyFont="1" applyBorder="1" applyAlignment="1">
      <alignment horizontal="center" vertical="center" wrapText="1" readingOrder="2"/>
    </xf>
    <xf numFmtId="0" fontId="6" fillId="0" borderId="5" xfId="0" applyFont="1" applyBorder="1" applyAlignment="1">
      <alignment horizontal="center" vertical="center" wrapText="1" readingOrder="2"/>
    </xf>
    <xf numFmtId="3" fontId="6" fillId="0" borderId="5" xfId="0" applyNumberFormat="1" applyFont="1" applyBorder="1" applyAlignment="1">
      <alignment horizontal="center" vertical="center" wrapText="1" readingOrder="2"/>
    </xf>
    <xf numFmtId="0" fontId="14" fillId="0" borderId="5" xfId="0" applyFont="1" applyBorder="1" applyAlignment="1">
      <alignment horizontal="center" readingOrder="2"/>
    </xf>
    <xf numFmtId="167" fontId="4" fillId="18" borderId="5" xfId="0" applyNumberFormat="1" applyFont="1" applyFill="1" applyBorder="1" applyAlignment="1">
      <alignment horizontal="center" vertical="center" wrapText="1" readingOrder="2"/>
    </xf>
    <xf numFmtId="167" fontId="14" fillId="18" borderId="1" xfId="2" applyNumberFormat="1" applyFont="1" applyFill="1" applyBorder="1" applyAlignment="1">
      <alignment horizontal="center" vertical="center" wrapText="1"/>
    </xf>
    <xf numFmtId="0" fontId="6" fillId="0" borderId="1" xfId="0" applyFont="1" applyBorder="1" applyAlignment="1">
      <alignment horizontal="center" vertical="center" wrapText="1" readingOrder="2"/>
    </xf>
    <xf numFmtId="0" fontId="4" fillId="0" borderId="1" xfId="0" applyFont="1" applyFill="1" applyBorder="1" applyAlignment="1">
      <alignment horizontal="center" vertical="center" wrapText="1" readingOrder="2"/>
    </xf>
    <xf numFmtId="10" fontId="9" fillId="0" borderId="1" xfId="2" applyNumberFormat="1" applyFont="1" applyFill="1" applyBorder="1" applyAlignment="1">
      <alignment horizontal="center" vertical="center" wrapText="1" readingOrder="2"/>
    </xf>
    <xf numFmtId="0" fontId="0" fillId="6" borderId="1" xfId="0" applyFill="1" applyBorder="1"/>
    <xf numFmtId="10" fontId="9" fillId="6" borderId="1" xfId="2" applyNumberFormat="1" applyFont="1" applyFill="1" applyBorder="1" applyAlignment="1">
      <alignment horizontal="center" vertical="center" wrapText="1" readingOrder="2"/>
    </xf>
    <xf numFmtId="0" fontId="4" fillId="6" borderId="1" xfId="0" applyFont="1" applyFill="1" applyBorder="1" applyAlignment="1">
      <alignment horizontal="right" vertical="center" wrapText="1" readingOrder="2"/>
    </xf>
    <xf numFmtId="3" fontId="4" fillId="6" borderId="1" xfId="0" applyNumberFormat="1" applyFont="1" applyFill="1" applyBorder="1" applyAlignment="1">
      <alignment horizontal="center" vertical="center" wrapText="1" readingOrder="2"/>
    </xf>
    <xf numFmtId="167" fontId="4" fillId="6" borderId="1" xfId="0" applyNumberFormat="1" applyFont="1" applyFill="1" applyBorder="1" applyAlignment="1">
      <alignment horizontal="center" vertical="center" wrapText="1" readingOrder="2"/>
    </xf>
    <xf numFmtId="167" fontId="4" fillId="6" borderId="1" xfId="0" applyNumberFormat="1" applyFont="1" applyFill="1" applyBorder="1" applyAlignment="1">
      <alignment horizontal="center" vertical="center" wrapText="1" readingOrder="1"/>
    </xf>
    <xf numFmtId="1" fontId="4" fillId="6" borderId="1" xfId="0" applyNumberFormat="1" applyFont="1" applyFill="1" applyBorder="1" applyAlignment="1">
      <alignment horizontal="center" vertical="center" wrapText="1" readingOrder="2"/>
    </xf>
    <xf numFmtId="0" fontId="4" fillId="6" borderId="1" xfId="0" applyFont="1" applyFill="1" applyBorder="1" applyAlignment="1">
      <alignment horizontal="center" vertical="center" wrapText="1" readingOrder="2"/>
    </xf>
    <xf numFmtId="167" fontId="6" fillId="6" borderId="1" xfId="0" applyNumberFormat="1" applyFont="1" applyFill="1" applyBorder="1" applyAlignment="1">
      <alignment horizontal="center" vertical="center" wrapText="1"/>
    </xf>
    <xf numFmtId="0" fontId="6" fillId="6" borderId="1" xfId="0" applyFont="1" applyFill="1" applyBorder="1" applyAlignment="1">
      <alignment horizontal="center" vertical="center" wrapText="1"/>
    </xf>
    <xf numFmtId="0" fontId="6" fillId="19" borderId="1" xfId="0" applyFont="1" applyFill="1" applyBorder="1" applyAlignment="1">
      <alignment horizontal="center" vertical="center" wrapText="1" readingOrder="2"/>
    </xf>
    <xf numFmtId="3" fontId="6" fillId="19" borderId="1" xfId="0" applyNumberFormat="1" applyFont="1" applyFill="1" applyBorder="1" applyAlignment="1">
      <alignment horizontal="center" vertical="center" wrapText="1" readingOrder="2"/>
    </xf>
    <xf numFmtId="167" fontId="6" fillId="19" borderId="1" xfId="0" applyNumberFormat="1" applyFont="1" applyFill="1" applyBorder="1" applyAlignment="1">
      <alignment horizontal="center" vertical="center" wrapText="1" readingOrder="2"/>
    </xf>
    <xf numFmtId="167" fontId="6" fillId="19" borderId="1" xfId="0" applyNumberFormat="1" applyFont="1" applyFill="1" applyBorder="1" applyAlignment="1">
      <alignment horizontal="center" vertical="center" wrapText="1"/>
    </xf>
    <xf numFmtId="0" fontId="6" fillId="19" borderId="1" xfId="0" applyFont="1" applyFill="1" applyBorder="1" applyAlignment="1">
      <alignment horizontal="center" vertical="center" wrapText="1"/>
    </xf>
    <xf numFmtId="167" fontId="14" fillId="19" borderId="1" xfId="2" applyNumberFormat="1" applyFont="1" applyFill="1" applyBorder="1" applyAlignment="1">
      <alignment horizontal="center" vertical="center" wrapText="1"/>
    </xf>
    <xf numFmtId="0" fontId="9" fillId="8" borderId="1" xfId="2" applyFont="1" applyFill="1" applyBorder="1" applyAlignment="1">
      <alignment horizontal="center" vertical="center" wrapText="1" readingOrder="2"/>
    </xf>
    <xf numFmtId="3" fontId="9" fillId="8" borderId="1" xfId="2" applyNumberFormat="1" applyFont="1" applyFill="1" applyBorder="1" applyAlignment="1">
      <alignment horizontal="center" vertical="center" wrapText="1" readingOrder="2"/>
    </xf>
    <xf numFmtId="167" fontId="9" fillId="8" borderId="1" xfId="2" applyNumberFormat="1" applyFont="1" applyFill="1" applyBorder="1" applyAlignment="1">
      <alignment horizontal="center" vertical="center" wrapText="1" readingOrder="2"/>
    </xf>
    <xf numFmtId="0" fontId="0" fillId="8" borderId="1" xfId="0" applyFill="1" applyBorder="1" applyAlignment="1">
      <alignment horizontal="center" vertical="center"/>
    </xf>
    <xf numFmtId="167" fontId="17" fillId="8" borderId="1" xfId="2" applyNumberFormat="1" applyFont="1" applyFill="1" applyBorder="1" applyAlignment="1">
      <alignment horizontal="center" vertical="center" wrapText="1" readingOrder="2"/>
    </xf>
    <xf numFmtId="0" fontId="4" fillId="0" borderId="9" xfId="0" applyFont="1" applyBorder="1" applyAlignment="1">
      <alignment horizontal="right" vertical="center" wrapText="1" readingOrder="2"/>
    </xf>
    <xf numFmtId="0" fontId="4" fillId="0" borderId="14" xfId="0" applyFont="1" applyBorder="1" applyAlignment="1">
      <alignment horizontal="right" vertical="center" wrapText="1" readingOrder="2"/>
    </xf>
    <xf numFmtId="49" fontId="5" fillId="5" borderId="2" xfId="0" applyNumberFormat="1" applyFont="1" applyFill="1" applyBorder="1" applyAlignment="1">
      <alignment horizontal="center" vertical="center" readingOrder="2"/>
    </xf>
    <xf numFmtId="49" fontId="5" fillId="5" borderId="3" xfId="0" applyNumberFormat="1" applyFont="1" applyFill="1" applyBorder="1" applyAlignment="1">
      <alignment horizontal="center" vertical="center" readingOrder="2"/>
    </xf>
    <xf numFmtId="0" fontId="5" fillId="0" borderId="1" xfId="0" applyFont="1" applyBorder="1" applyAlignment="1">
      <alignment horizontal="center" vertical="center" readingOrder="2"/>
    </xf>
    <xf numFmtId="0" fontId="6" fillId="0" borderId="1" xfId="0" applyFont="1" applyBorder="1" applyAlignment="1">
      <alignment horizontal="center" vertical="center" wrapText="1" readingOrder="2"/>
    </xf>
    <xf numFmtId="0" fontId="4" fillId="0" borderId="5" xfId="0" applyFont="1" applyBorder="1" applyAlignment="1">
      <alignment horizontal="center" vertical="center" wrapText="1" readingOrder="2"/>
    </xf>
    <xf numFmtId="0" fontId="4" fillId="0" borderId="7" xfId="0" applyFont="1" applyBorder="1" applyAlignment="1">
      <alignment horizontal="center" vertical="center" wrapText="1" readingOrder="2"/>
    </xf>
    <xf numFmtId="0" fontId="4" fillId="0" borderId="6" xfId="0" applyFont="1" applyBorder="1" applyAlignment="1">
      <alignment horizontal="center" vertical="center" wrapText="1" readingOrder="2"/>
    </xf>
    <xf numFmtId="0" fontId="4" fillId="0" borderId="1" xfId="0" applyFont="1" applyBorder="1" applyAlignment="1">
      <alignment horizontal="center" vertical="center" wrapText="1" readingOrder="2"/>
    </xf>
    <xf numFmtId="0" fontId="10" fillId="0" borderId="1" xfId="0" applyFont="1" applyFill="1" applyBorder="1" applyAlignment="1">
      <alignment horizontal="center" readingOrder="2"/>
    </xf>
    <xf numFmtId="167" fontId="4" fillId="0" borderId="5" xfId="0" applyNumberFormat="1" applyFont="1" applyFill="1" applyBorder="1" applyAlignment="1">
      <alignment horizontal="center" vertical="center" wrapText="1" readingOrder="2"/>
    </xf>
    <xf numFmtId="167" fontId="4" fillId="0" borderId="7" xfId="0" applyNumberFormat="1" applyFont="1" applyFill="1" applyBorder="1" applyAlignment="1">
      <alignment horizontal="center" vertical="center" wrapText="1" readingOrder="2"/>
    </xf>
    <xf numFmtId="167" fontId="4" fillId="0" borderId="6" xfId="0" applyNumberFormat="1" applyFont="1" applyFill="1" applyBorder="1" applyAlignment="1">
      <alignment horizontal="center" vertical="center" wrapText="1" readingOrder="2"/>
    </xf>
    <xf numFmtId="0" fontId="7" fillId="0" borderId="5" xfId="0" applyFont="1" applyBorder="1" applyAlignment="1">
      <alignment horizontal="center" vertical="center" wrapText="1" readingOrder="2"/>
    </xf>
    <xf numFmtId="0" fontId="7" fillId="0" borderId="7" xfId="0" applyFont="1" applyBorder="1" applyAlignment="1">
      <alignment horizontal="center" vertical="center" wrapText="1" readingOrder="2"/>
    </xf>
    <xf numFmtId="0" fontId="7" fillId="0" borderId="6" xfId="0" applyFont="1" applyBorder="1" applyAlignment="1">
      <alignment horizontal="center" vertical="center" wrapText="1" readingOrder="2"/>
    </xf>
    <xf numFmtId="0" fontId="0" fillId="0" borderId="1" xfId="0" applyBorder="1" applyAlignment="1">
      <alignment horizontal="center" readingOrder="2"/>
    </xf>
    <xf numFmtId="0" fontId="3" fillId="4" borderId="1" xfId="0" applyFont="1" applyFill="1" applyBorder="1" applyAlignment="1">
      <alignment horizontal="center" vertical="center" readingOrder="2"/>
    </xf>
    <xf numFmtId="0" fontId="4" fillId="4" borderId="1" xfId="0" applyFont="1" applyFill="1" applyBorder="1" applyAlignment="1">
      <alignment horizontal="right" vertical="center" wrapText="1" readingOrder="2"/>
    </xf>
    <xf numFmtId="0" fontId="5" fillId="0" borderId="1" xfId="0" applyFont="1" applyBorder="1" applyAlignment="1">
      <alignment horizontal="right" vertical="center" readingOrder="2"/>
    </xf>
    <xf numFmtId="0" fontId="4" fillId="0" borderId="1" xfId="0" applyFont="1" applyBorder="1" applyAlignment="1">
      <alignment horizontal="right" vertical="center" readingOrder="2"/>
    </xf>
    <xf numFmtId="49" fontId="4" fillId="5" borderId="2" xfId="0" applyNumberFormat="1" applyFont="1" applyFill="1" applyBorder="1" applyAlignment="1">
      <alignment horizontal="center" vertical="center" readingOrder="2"/>
    </xf>
    <xf numFmtId="49" fontId="4" fillId="5" borderId="3" xfId="0" applyNumberFormat="1" applyFont="1" applyFill="1" applyBorder="1" applyAlignment="1">
      <alignment horizontal="center" vertical="center" readingOrder="2"/>
    </xf>
    <xf numFmtId="49" fontId="4" fillId="5" borderId="4" xfId="0" applyNumberFormat="1" applyFont="1" applyFill="1" applyBorder="1" applyAlignment="1">
      <alignment horizontal="center" vertical="center" readingOrder="2"/>
    </xf>
    <xf numFmtId="0" fontId="4" fillId="0" borderId="5" xfId="0" applyFont="1" applyBorder="1" applyAlignment="1">
      <alignment horizontal="center" vertical="center" readingOrder="2"/>
    </xf>
    <xf numFmtId="0" fontId="4" fillId="0" borderId="6" xfId="0" applyFont="1" applyBorder="1" applyAlignment="1">
      <alignment horizontal="center" vertical="center" readingOrder="2"/>
    </xf>
    <xf numFmtId="0" fontId="4" fillId="0" borderId="2" xfId="0" applyFont="1" applyBorder="1" applyAlignment="1">
      <alignment horizontal="right" vertical="center" wrapText="1" readingOrder="2"/>
    </xf>
    <xf numFmtId="0" fontId="4" fillId="0" borderId="3" xfId="0" applyFont="1" applyBorder="1" applyAlignment="1">
      <alignment horizontal="right" vertical="center" wrapText="1" readingOrder="2"/>
    </xf>
    <xf numFmtId="0" fontId="4" fillId="0" borderId="4" xfId="0" applyFont="1" applyBorder="1" applyAlignment="1">
      <alignment horizontal="right" vertical="center" wrapText="1" readingOrder="2"/>
    </xf>
    <xf numFmtId="0" fontId="4" fillId="0" borderId="7" xfId="0" applyFont="1" applyBorder="1" applyAlignment="1">
      <alignment horizontal="center" vertical="center" readingOrder="2"/>
    </xf>
    <xf numFmtId="0" fontId="6" fillId="0" borderId="5" xfId="0" applyFont="1" applyBorder="1" applyAlignment="1">
      <alignment horizontal="center" vertical="center" wrapText="1" readingOrder="2"/>
    </xf>
    <xf numFmtId="0" fontId="6" fillId="0" borderId="7" xfId="0" applyFont="1" applyBorder="1" applyAlignment="1">
      <alignment horizontal="center" vertical="center" wrapText="1" readingOrder="2"/>
    </xf>
    <xf numFmtId="3" fontId="6" fillId="0" borderId="5" xfId="0" applyNumberFormat="1" applyFont="1" applyBorder="1" applyAlignment="1">
      <alignment horizontal="center" vertical="center" wrapText="1" readingOrder="2"/>
    </xf>
    <xf numFmtId="3" fontId="6" fillId="0" borderId="7" xfId="0" applyNumberFormat="1" applyFont="1" applyBorder="1" applyAlignment="1">
      <alignment horizontal="center" vertical="center" wrapText="1" readingOrder="2"/>
    </xf>
    <xf numFmtId="0" fontId="14" fillId="0" borderId="5" xfId="0" applyFont="1" applyBorder="1" applyAlignment="1">
      <alignment horizontal="center" readingOrder="2"/>
    </xf>
    <xf numFmtId="0" fontId="14" fillId="0" borderId="7" xfId="0" applyFont="1" applyBorder="1" applyAlignment="1">
      <alignment horizontal="center" readingOrder="2"/>
    </xf>
    <xf numFmtId="167" fontId="4" fillId="18" borderId="5" xfId="0" applyNumberFormat="1" applyFont="1" applyFill="1" applyBorder="1" applyAlignment="1">
      <alignment horizontal="center" vertical="center" wrapText="1" readingOrder="2"/>
    </xf>
    <xf numFmtId="167" fontId="4" fillId="18" borderId="7" xfId="0" applyNumberFormat="1" applyFont="1" applyFill="1" applyBorder="1" applyAlignment="1">
      <alignment horizontal="center" vertical="center" wrapText="1" readingOrder="2"/>
    </xf>
    <xf numFmtId="0" fontId="5" fillId="0" borderId="5" xfId="0" applyFont="1" applyBorder="1" applyAlignment="1">
      <alignment horizontal="center" vertical="center" readingOrder="2"/>
    </xf>
    <xf numFmtId="0" fontId="5" fillId="0" borderId="7" xfId="0" applyFont="1" applyBorder="1" applyAlignment="1">
      <alignment horizontal="center" vertical="center" readingOrder="2"/>
    </xf>
    <xf numFmtId="0" fontId="5" fillId="0" borderId="6" xfId="0" applyFont="1" applyBorder="1" applyAlignment="1">
      <alignment horizontal="center" vertical="center" readingOrder="2"/>
    </xf>
    <xf numFmtId="0" fontId="6" fillId="0" borderId="6" xfId="0" applyFont="1" applyBorder="1" applyAlignment="1">
      <alignment horizontal="center" vertical="center" wrapText="1" readingOrder="2"/>
    </xf>
    <xf numFmtId="0" fontId="13" fillId="0" borderId="5" xfId="0" applyFont="1" applyBorder="1" applyAlignment="1">
      <alignment horizontal="center" vertical="center" wrapText="1" readingOrder="2"/>
    </xf>
    <xf numFmtId="0" fontId="13" fillId="0" borderId="7" xfId="0" applyFont="1" applyBorder="1" applyAlignment="1">
      <alignment horizontal="center" vertical="center" wrapText="1" readingOrder="2"/>
    </xf>
    <xf numFmtId="0" fontId="13" fillId="0" borderId="6" xfId="0" applyFont="1" applyBorder="1" applyAlignment="1">
      <alignment horizontal="center" vertical="center" wrapText="1" readingOrder="2"/>
    </xf>
    <xf numFmtId="3" fontId="6" fillId="0" borderId="6" xfId="0" applyNumberFormat="1" applyFont="1" applyBorder="1" applyAlignment="1">
      <alignment horizontal="center" vertical="center" wrapText="1" readingOrder="2"/>
    </xf>
    <xf numFmtId="0" fontId="10" fillId="0" borderId="5" xfId="0" applyFont="1" applyBorder="1" applyAlignment="1">
      <alignment horizontal="center" readingOrder="2"/>
    </xf>
    <xf numFmtId="0" fontId="10" fillId="0" borderId="7" xfId="0" applyFont="1" applyBorder="1" applyAlignment="1">
      <alignment horizontal="center" readingOrder="2"/>
    </xf>
    <xf numFmtId="0" fontId="10" fillId="0" borderId="6" xfId="0" applyFont="1" applyBorder="1" applyAlignment="1">
      <alignment horizontal="center" readingOrder="2"/>
    </xf>
    <xf numFmtId="167" fontId="43" fillId="18" borderId="5" xfId="0" applyNumberFormat="1" applyFont="1" applyFill="1" applyBorder="1" applyAlignment="1">
      <alignment horizontal="center" vertical="center" wrapText="1" readingOrder="2"/>
    </xf>
    <xf numFmtId="167" fontId="43" fillId="18" borderId="7" xfId="0" applyNumberFormat="1" applyFont="1" applyFill="1" applyBorder="1" applyAlignment="1">
      <alignment horizontal="center" vertical="center" wrapText="1" readingOrder="2"/>
    </xf>
    <xf numFmtId="167" fontId="43" fillId="18" borderId="6" xfId="0" applyNumberFormat="1" applyFont="1" applyFill="1" applyBorder="1" applyAlignment="1">
      <alignment horizontal="center" vertical="center" wrapText="1" readingOrder="2"/>
    </xf>
    <xf numFmtId="0" fontId="0" fillId="0" borderId="5" xfId="0" applyBorder="1" applyAlignment="1">
      <alignment horizontal="center" readingOrder="2"/>
    </xf>
    <xf numFmtId="0" fontId="0" fillId="0" borderId="7" xfId="0" applyBorder="1" applyAlignment="1">
      <alignment horizontal="center" readingOrder="2"/>
    </xf>
    <xf numFmtId="0" fontId="0" fillId="0" borderId="6" xfId="0" applyBorder="1" applyAlignment="1">
      <alignment horizontal="center" readingOrder="2"/>
    </xf>
    <xf numFmtId="0" fontId="3" fillId="4" borderId="2" xfId="0" applyFont="1" applyFill="1" applyBorder="1" applyAlignment="1">
      <alignment horizontal="center" vertical="center" readingOrder="2"/>
    </xf>
    <xf numFmtId="0" fontId="3" fillId="4" borderId="3" xfId="0" applyFont="1" applyFill="1" applyBorder="1" applyAlignment="1">
      <alignment horizontal="center" vertical="center" readingOrder="2"/>
    </xf>
    <xf numFmtId="0" fontId="3" fillId="4" borderId="4" xfId="0" applyFont="1" applyFill="1" applyBorder="1" applyAlignment="1">
      <alignment horizontal="center" vertical="center" readingOrder="2"/>
    </xf>
    <xf numFmtId="0" fontId="4" fillId="4" borderId="2" xfId="0" applyFont="1" applyFill="1" applyBorder="1" applyAlignment="1">
      <alignment horizontal="right" vertical="center" wrapText="1" readingOrder="2"/>
    </xf>
    <xf numFmtId="0" fontId="4" fillId="4" borderId="3" xfId="0" applyFont="1" applyFill="1" applyBorder="1" applyAlignment="1">
      <alignment horizontal="right" vertical="center" wrapText="1" readingOrder="2"/>
    </xf>
    <xf numFmtId="0" fontId="4" fillId="4" borderId="4" xfId="0" applyFont="1" applyFill="1" applyBorder="1" applyAlignment="1">
      <alignment horizontal="right" vertical="center" wrapText="1" readingOrder="2"/>
    </xf>
    <xf numFmtId="0" fontId="5" fillId="0" borderId="2" xfId="0" applyFont="1" applyBorder="1" applyAlignment="1">
      <alignment horizontal="right" vertical="center" readingOrder="2"/>
    </xf>
    <xf numFmtId="0" fontId="5" fillId="0" borderId="3" xfId="0" applyFont="1" applyBorder="1" applyAlignment="1">
      <alignment horizontal="right" vertical="center" readingOrder="2"/>
    </xf>
    <xf numFmtId="0" fontId="5" fillId="0" borderId="4" xfId="0" applyFont="1" applyBorder="1" applyAlignment="1">
      <alignment horizontal="right" vertical="center" readingOrder="2"/>
    </xf>
    <xf numFmtId="0" fontId="4" fillId="0" borderId="2" xfId="0" applyFont="1" applyBorder="1" applyAlignment="1">
      <alignment horizontal="right" vertical="center" readingOrder="2"/>
    </xf>
    <xf numFmtId="0" fontId="4" fillId="0" borderId="3" xfId="0" applyFont="1" applyBorder="1" applyAlignment="1">
      <alignment horizontal="right" vertical="center" readingOrder="2"/>
    </xf>
    <xf numFmtId="0" fontId="4" fillId="0" borderId="4" xfId="0" applyFont="1" applyBorder="1" applyAlignment="1">
      <alignment horizontal="right" vertical="center" readingOrder="2"/>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5" xfId="0" applyFont="1" applyBorder="1" applyAlignment="1">
      <alignment horizontal="center"/>
    </xf>
    <xf numFmtId="0" fontId="7" fillId="0" borderId="6" xfId="0" applyFont="1" applyBorder="1" applyAlignment="1">
      <alignment horizontal="center"/>
    </xf>
    <xf numFmtId="167" fontId="4" fillId="18" borderId="6" xfId="0" applyNumberFormat="1" applyFont="1" applyFill="1" applyBorder="1" applyAlignment="1">
      <alignment horizontal="center" vertical="center" wrapText="1" readingOrder="2"/>
    </xf>
    <xf numFmtId="0" fontId="6" fillId="0" borderId="2" xfId="0" applyFont="1" applyBorder="1" applyAlignment="1">
      <alignment horizontal="right" vertical="center" wrapText="1" readingOrder="2"/>
    </xf>
    <xf numFmtId="0" fontId="6" fillId="0" borderId="3" xfId="0" applyFont="1" applyBorder="1" applyAlignment="1">
      <alignment horizontal="right" vertical="center" wrapText="1" readingOrder="2"/>
    </xf>
    <xf numFmtId="0" fontId="6" fillId="0" borderId="4" xfId="0" applyFont="1" applyBorder="1" applyAlignment="1">
      <alignment horizontal="right" vertical="center" wrapText="1" readingOrder="2"/>
    </xf>
    <xf numFmtId="0" fontId="14" fillId="0" borderId="6" xfId="0" applyFont="1" applyBorder="1" applyAlignment="1">
      <alignment horizontal="center" readingOrder="2"/>
    </xf>
    <xf numFmtId="0" fontId="16" fillId="0" borderId="5" xfId="0" applyFont="1" applyBorder="1" applyAlignment="1">
      <alignment horizontal="center" vertical="center" wrapText="1" readingOrder="2"/>
    </xf>
    <xf numFmtId="0" fontId="16" fillId="0" borderId="7" xfId="0" applyFont="1" applyBorder="1" applyAlignment="1">
      <alignment horizontal="center" vertical="center" wrapText="1" readingOrder="2"/>
    </xf>
    <xf numFmtId="0" fontId="16" fillId="0" borderId="6" xfId="0" applyFont="1" applyBorder="1" applyAlignment="1">
      <alignment horizontal="center" vertical="center" wrapText="1" readingOrder="2"/>
    </xf>
    <xf numFmtId="0" fontId="7" fillId="0" borderId="7" xfId="0" applyFont="1" applyBorder="1" applyAlignment="1">
      <alignment horizontal="center" vertical="center" wrapText="1"/>
    </xf>
    <xf numFmtId="0" fontId="7" fillId="0" borderId="5" xfId="4" applyNumberFormat="1" applyFont="1" applyFill="1" applyBorder="1" applyAlignment="1">
      <alignment horizontal="center" vertical="center" wrapText="1" readingOrder="2"/>
    </xf>
    <xf numFmtId="0" fontId="7" fillId="0" borderId="7" xfId="4" applyNumberFormat="1" applyFont="1" applyFill="1" applyBorder="1" applyAlignment="1">
      <alignment horizontal="center" vertical="center" wrapText="1" readingOrder="2"/>
    </xf>
    <xf numFmtId="0" fontId="7" fillId="0" borderId="6" xfId="4" applyNumberFormat="1" applyFont="1" applyFill="1" applyBorder="1" applyAlignment="1">
      <alignment horizontal="center" vertical="center" wrapText="1" readingOrder="2"/>
    </xf>
    <xf numFmtId="0" fontId="37" fillId="0" borderId="5" xfId="0" applyFont="1" applyBorder="1" applyAlignment="1">
      <alignment horizontal="center" vertical="center" wrapText="1" readingOrder="2"/>
    </xf>
    <xf numFmtId="0" fontId="37" fillId="0" borderId="7" xfId="0" applyFont="1" applyBorder="1" applyAlignment="1">
      <alignment horizontal="center" vertical="center" wrapText="1" readingOrder="2"/>
    </xf>
    <xf numFmtId="0" fontId="37" fillId="0" borderId="6" xfId="0" applyFont="1" applyBorder="1" applyAlignment="1">
      <alignment horizontal="center" vertical="center" wrapText="1" readingOrder="2"/>
    </xf>
    <xf numFmtId="3" fontId="6" fillId="0" borderId="5" xfId="0" applyNumberFormat="1" applyFont="1" applyFill="1" applyBorder="1" applyAlignment="1">
      <alignment horizontal="center" vertical="center" wrapText="1" readingOrder="2"/>
    </xf>
    <xf numFmtId="3" fontId="6" fillId="0" borderId="7" xfId="0" applyNumberFormat="1" applyFont="1" applyFill="1" applyBorder="1" applyAlignment="1">
      <alignment horizontal="center" vertical="center" wrapText="1" readingOrder="2"/>
    </xf>
    <xf numFmtId="3" fontId="6" fillId="0" borderId="6" xfId="0" applyNumberFormat="1" applyFont="1" applyFill="1" applyBorder="1" applyAlignment="1">
      <alignment horizontal="center" vertical="center" wrapText="1" readingOrder="2"/>
    </xf>
    <xf numFmtId="3" fontId="6" fillId="0" borderId="11" xfId="0" applyNumberFormat="1" applyFont="1" applyFill="1" applyBorder="1" applyAlignment="1">
      <alignment horizontal="center" vertical="center" wrapText="1" readingOrder="2"/>
    </xf>
    <xf numFmtId="3" fontId="6" fillId="0" borderId="13" xfId="0" applyNumberFormat="1" applyFont="1" applyFill="1" applyBorder="1" applyAlignment="1">
      <alignment horizontal="center" vertical="center" wrapText="1" readingOrder="2"/>
    </xf>
    <xf numFmtId="3" fontId="6" fillId="0" borderId="9" xfId="0" applyNumberFormat="1" applyFont="1" applyFill="1" applyBorder="1" applyAlignment="1">
      <alignment horizontal="center" vertical="center" wrapText="1" readingOrder="2"/>
    </xf>
    <xf numFmtId="0" fontId="10" fillId="0" borderId="5" xfId="0" applyFont="1" applyFill="1" applyBorder="1" applyAlignment="1">
      <alignment horizontal="center" readingOrder="2"/>
    </xf>
    <xf numFmtId="0" fontId="10" fillId="0" borderId="7" xfId="0" applyFont="1" applyFill="1" applyBorder="1" applyAlignment="1">
      <alignment horizontal="center" readingOrder="2"/>
    </xf>
    <xf numFmtId="0" fontId="10" fillId="0" borderId="6" xfId="0" applyFont="1" applyFill="1" applyBorder="1" applyAlignment="1">
      <alignment horizontal="center" readingOrder="2"/>
    </xf>
    <xf numFmtId="0" fontId="14" fillId="0" borderId="5" xfId="0" applyFont="1" applyFill="1" applyBorder="1" applyAlignment="1">
      <alignment horizontal="center" readingOrder="2"/>
    </xf>
    <xf numFmtId="0" fontId="14" fillId="0" borderId="7" xfId="0" applyFont="1" applyFill="1" applyBorder="1" applyAlignment="1">
      <alignment horizontal="center" readingOrder="2"/>
    </xf>
    <xf numFmtId="167" fontId="4" fillId="0" borderId="5" xfId="0" applyNumberFormat="1" applyFont="1" applyBorder="1" applyAlignment="1">
      <alignment horizontal="center" vertical="center" wrapText="1" readingOrder="2"/>
    </xf>
    <xf numFmtId="167" fontId="4" fillId="0" borderId="7" xfId="0" applyNumberFormat="1" applyFont="1" applyBorder="1" applyAlignment="1">
      <alignment horizontal="center" vertical="center" wrapText="1" readingOrder="2"/>
    </xf>
    <xf numFmtId="0" fontId="6" fillId="0" borderId="5" xfId="0" applyFont="1" applyBorder="1" applyAlignment="1">
      <alignment horizontal="center" vertical="center" readingOrder="2"/>
    </xf>
    <xf numFmtId="0" fontId="6" fillId="0" borderId="7" xfId="0" applyFont="1" applyBorder="1" applyAlignment="1">
      <alignment horizontal="center" vertical="center" readingOrder="2"/>
    </xf>
    <xf numFmtId="0" fontId="6" fillId="0" borderId="6" xfId="0" applyFont="1" applyBorder="1" applyAlignment="1">
      <alignment horizontal="center" vertical="center" readingOrder="2"/>
    </xf>
    <xf numFmtId="167" fontId="5" fillId="0" borderId="5" xfId="0" applyNumberFormat="1" applyFont="1" applyBorder="1" applyAlignment="1">
      <alignment horizontal="center" vertical="center" wrapText="1" readingOrder="2"/>
    </xf>
    <xf numFmtId="167" fontId="5" fillId="0" borderId="6" xfId="0" applyNumberFormat="1" applyFont="1" applyBorder="1" applyAlignment="1">
      <alignment horizontal="center" vertical="center" wrapText="1" readingOrder="2"/>
    </xf>
    <xf numFmtId="164" fontId="1" fillId="0" borderId="5" xfId="1" applyNumberFormat="1" applyFill="1" applyBorder="1" applyAlignment="1">
      <alignment horizontal="center" vertical="center" wrapText="1"/>
    </xf>
    <xf numFmtId="164" fontId="1" fillId="0" borderId="6" xfId="1" applyNumberFormat="1" applyFill="1" applyBorder="1" applyAlignment="1">
      <alignment horizontal="center" vertical="center" wrapText="1"/>
    </xf>
    <xf numFmtId="49" fontId="5" fillId="5" borderId="4" xfId="0" applyNumberFormat="1" applyFont="1" applyFill="1" applyBorder="1" applyAlignment="1">
      <alignment horizontal="center" vertical="center" readingOrder="2"/>
    </xf>
    <xf numFmtId="167" fontId="4" fillId="0" borderId="1" xfId="0" applyNumberFormat="1" applyFont="1" applyFill="1" applyBorder="1" applyAlignment="1">
      <alignment horizontal="center" vertical="center" wrapText="1" readingOrder="2"/>
    </xf>
    <xf numFmtId="0" fontId="7" fillId="0" borderId="1" xfId="0" applyFont="1" applyBorder="1" applyAlignment="1">
      <alignment horizontal="center" vertical="center" wrapText="1" readingOrder="2"/>
    </xf>
    <xf numFmtId="0" fontId="4" fillId="0" borderId="1" xfId="0" applyFont="1" applyBorder="1" applyAlignment="1">
      <alignment horizontal="right" vertical="center" wrapText="1" readingOrder="2"/>
    </xf>
    <xf numFmtId="49" fontId="5" fillId="5" borderId="1" xfId="0" applyNumberFormat="1" applyFont="1" applyFill="1" applyBorder="1" applyAlignment="1">
      <alignment horizontal="center" vertical="center" readingOrder="2"/>
    </xf>
    <xf numFmtId="0" fontId="13" fillId="0" borderId="1" xfId="0" applyFont="1" applyBorder="1" applyAlignment="1">
      <alignment horizontal="center" vertical="center" wrapText="1" readingOrder="2"/>
    </xf>
    <xf numFmtId="3" fontId="6" fillId="0" borderId="1" xfId="0" applyNumberFormat="1" applyFont="1" applyFill="1" applyBorder="1" applyAlignment="1">
      <alignment horizontal="center" vertical="center" wrapText="1" readingOrder="2"/>
    </xf>
    <xf numFmtId="49" fontId="41" fillId="5" borderId="2" xfId="0" applyNumberFormat="1" applyFont="1" applyFill="1" applyBorder="1" applyAlignment="1">
      <alignment horizontal="center" vertical="center" readingOrder="2"/>
    </xf>
    <xf numFmtId="49" fontId="41" fillId="5" borderId="3" xfId="0" applyNumberFormat="1" applyFont="1" applyFill="1" applyBorder="1" applyAlignment="1">
      <alignment horizontal="center" vertical="center" readingOrder="2"/>
    </xf>
    <xf numFmtId="49" fontId="41" fillId="5" borderId="4" xfId="0" applyNumberFormat="1" applyFont="1" applyFill="1" applyBorder="1" applyAlignment="1">
      <alignment horizontal="center" vertical="center" readingOrder="2"/>
    </xf>
    <xf numFmtId="0" fontId="7" fillId="0" borderId="5" xfId="4" applyNumberFormat="1" applyFont="1" applyBorder="1" applyAlignment="1">
      <alignment horizontal="center" vertical="center" wrapText="1" readingOrder="2"/>
    </xf>
    <xf numFmtId="0" fontId="7" fillId="0" borderId="7" xfId="4" applyNumberFormat="1" applyFont="1" applyBorder="1" applyAlignment="1">
      <alignment horizontal="center" vertical="center" wrapText="1" readingOrder="2"/>
    </xf>
    <xf numFmtId="167" fontId="5" fillId="0" borderId="7" xfId="0" applyNumberFormat="1" applyFont="1" applyBorder="1" applyAlignment="1">
      <alignment horizontal="center" vertical="center" wrapText="1" readingOrder="2"/>
    </xf>
    <xf numFmtId="164" fontId="1" fillId="0" borderId="7" xfId="1" applyNumberFormat="1" applyFill="1"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 xfId="0" applyFill="1" applyBorder="1" applyAlignment="1">
      <alignment horizontal="center" vertical="center" wrapText="1"/>
    </xf>
    <xf numFmtId="0" fontId="0" fillId="0" borderId="7" xfId="0" applyBorder="1" applyAlignment="1">
      <alignment horizontal="center" vertical="center" wrapText="1" readingOrder="2"/>
    </xf>
    <xf numFmtId="0" fontId="0" fillId="0" borderId="6" xfId="0" applyBorder="1" applyAlignment="1">
      <alignment horizontal="center" vertical="center" wrapText="1" readingOrder="2"/>
    </xf>
    <xf numFmtId="0" fontId="35" fillId="0" borderId="7" xfId="0" applyFont="1" applyBorder="1" applyAlignment="1">
      <alignment horizontal="center" vertical="center" wrapText="1" readingOrder="2"/>
    </xf>
    <xf numFmtId="0" fontId="35" fillId="0" borderId="6" xfId="0" applyFont="1" applyBorder="1" applyAlignment="1">
      <alignment horizontal="center" vertical="center" wrapText="1" readingOrder="2"/>
    </xf>
    <xf numFmtId="0" fontId="36" fillId="0" borderId="7" xfId="0" applyFont="1" applyBorder="1" applyAlignment="1">
      <alignment horizontal="center" wrapText="1"/>
    </xf>
    <xf numFmtId="0" fontId="36" fillId="0" borderId="6" xfId="0" applyFont="1" applyBorder="1" applyAlignment="1">
      <alignment horizontal="center" wrapText="1"/>
    </xf>
    <xf numFmtId="167" fontId="4" fillId="0" borderId="1" xfId="0" applyNumberFormat="1" applyFont="1" applyBorder="1" applyAlignment="1">
      <alignment horizontal="center" vertical="center" wrapText="1" readingOrder="2"/>
    </xf>
    <xf numFmtId="44" fontId="1" fillId="0" borderId="1" xfId="1" applyNumberFormat="1" applyFill="1" applyBorder="1" applyAlignment="1">
      <alignment horizontal="center" vertical="center" wrapText="1"/>
    </xf>
    <xf numFmtId="0" fontId="4" fillId="0" borderId="2" xfId="0" applyFont="1" applyBorder="1" applyAlignment="1">
      <alignment horizontal="center" vertical="center" wrapText="1" readingOrder="2"/>
    </xf>
    <xf numFmtId="0" fontId="4" fillId="0" borderId="3" xfId="0" applyFont="1" applyBorder="1" applyAlignment="1">
      <alignment horizontal="center" vertical="center" wrapText="1" readingOrder="2"/>
    </xf>
    <xf numFmtId="0" fontId="4" fillId="0" borderId="4" xfId="0" applyFont="1" applyBorder="1" applyAlignment="1">
      <alignment horizontal="center" vertical="center" wrapText="1" readingOrder="2"/>
    </xf>
    <xf numFmtId="167" fontId="29" fillId="7" borderId="1" xfId="2" applyNumberFormat="1" applyFont="1" applyFill="1" applyBorder="1" applyAlignment="1">
      <alignment horizontal="center" vertical="center" wrapText="1" readingOrder="2"/>
    </xf>
    <xf numFmtId="0" fontId="29" fillId="7" borderId="1" xfId="2" applyFont="1" applyFill="1" applyBorder="1" applyAlignment="1">
      <alignment horizontal="center" vertical="center" wrapText="1" readingOrder="2"/>
    </xf>
    <xf numFmtId="0" fontId="29" fillId="7" borderId="5" xfId="2" applyFont="1" applyFill="1" applyBorder="1" applyAlignment="1">
      <alignment horizontal="center" vertical="center" wrapText="1" readingOrder="2"/>
    </xf>
    <xf numFmtId="0" fontId="29" fillId="7" borderId="6" xfId="2" applyFont="1" applyFill="1" applyBorder="1" applyAlignment="1">
      <alignment horizontal="center" vertical="center" wrapText="1" readingOrder="2"/>
    </xf>
    <xf numFmtId="3" fontId="29" fillId="6" borderId="5" xfId="2" applyNumberFormat="1" applyFont="1" applyFill="1" applyBorder="1" applyAlignment="1">
      <alignment horizontal="center" vertical="center" wrapText="1" readingOrder="2"/>
    </xf>
    <xf numFmtId="3" fontId="29" fillId="6" borderId="6" xfId="2" applyNumberFormat="1" applyFont="1" applyFill="1" applyBorder="1" applyAlignment="1">
      <alignment horizontal="center" vertical="center" wrapText="1" readingOrder="2"/>
    </xf>
    <xf numFmtId="0" fontId="29" fillId="6" borderId="5" xfId="2" applyFont="1" applyFill="1" applyBorder="1" applyAlignment="1">
      <alignment horizontal="center" vertical="center" wrapText="1" readingOrder="2"/>
    </xf>
    <xf numFmtId="0" fontId="29" fillId="6" borderId="6" xfId="2" applyFont="1" applyFill="1" applyBorder="1" applyAlignment="1">
      <alignment horizontal="center" vertical="center" wrapText="1" readingOrder="2"/>
    </xf>
    <xf numFmtId="167" fontId="29" fillId="6" borderId="5" xfId="2" applyNumberFormat="1" applyFont="1" applyFill="1" applyBorder="1" applyAlignment="1">
      <alignment horizontal="center" vertical="center" wrapText="1" readingOrder="2"/>
    </xf>
    <xf numFmtId="167" fontId="29" fillId="6" borderId="6" xfId="2" applyNumberFormat="1" applyFont="1" applyFill="1" applyBorder="1" applyAlignment="1">
      <alignment horizontal="center" vertical="center" wrapText="1" readingOrder="2"/>
    </xf>
    <xf numFmtId="167" fontId="29" fillId="7" borderId="5" xfId="2" applyNumberFormat="1" applyFont="1" applyFill="1" applyBorder="1" applyAlignment="1">
      <alignment horizontal="center" vertical="center" wrapText="1" readingOrder="2"/>
    </xf>
    <xf numFmtId="167" fontId="29" fillId="7" borderId="6" xfId="2" applyNumberFormat="1" applyFont="1" applyFill="1" applyBorder="1" applyAlignment="1">
      <alignment horizontal="center" vertical="center" wrapText="1" readingOrder="2"/>
    </xf>
    <xf numFmtId="3" fontId="6" fillId="0" borderId="1" xfId="0" applyNumberFormat="1" applyFont="1" applyBorder="1" applyAlignment="1">
      <alignment horizontal="center" vertical="center" wrapText="1" readingOrder="2"/>
    </xf>
    <xf numFmtId="167" fontId="5" fillId="11" borderId="5" xfId="0" applyNumberFormat="1" applyFont="1" applyFill="1" applyBorder="1" applyAlignment="1">
      <alignment horizontal="center" vertical="center" wrapText="1" readingOrder="2"/>
    </xf>
    <xf numFmtId="167" fontId="5" fillId="11" borderId="7" xfId="0" applyNumberFormat="1" applyFont="1" applyFill="1" applyBorder="1" applyAlignment="1">
      <alignment horizontal="center" vertical="center" wrapText="1" readingOrder="2"/>
    </xf>
    <xf numFmtId="167" fontId="5" fillId="11" borderId="6" xfId="0" applyNumberFormat="1" applyFont="1" applyFill="1" applyBorder="1" applyAlignment="1">
      <alignment horizontal="center" vertical="center" wrapText="1" readingOrder="2"/>
    </xf>
    <xf numFmtId="0" fontId="7" fillId="0" borderId="6" xfId="4" applyNumberFormat="1" applyFont="1" applyBorder="1" applyAlignment="1">
      <alignment horizontal="center" vertical="center" wrapText="1" readingOrder="2"/>
    </xf>
    <xf numFmtId="3" fontId="4" fillId="0" borderId="2" xfId="0" applyNumberFormat="1" applyFont="1" applyBorder="1" applyAlignment="1">
      <alignment horizontal="center" vertical="center" wrapText="1" readingOrder="2"/>
    </xf>
    <xf numFmtId="3" fontId="4" fillId="0" borderId="3" xfId="0" applyNumberFormat="1" applyFont="1" applyBorder="1" applyAlignment="1">
      <alignment horizontal="center" vertical="center" wrapText="1" readingOrder="2"/>
    </xf>
    <xf numFmtId="3" fontId="4" fillId="0" borderId="4" xfId="0" applyNumberFormat="1" applyFont="1" applyBorder="1" applyAlignment="1">
      <alignment horizontal="center" vertical="center" wrapText="1" readingOrder="2"/>
    </xf>
    <xf numFmtId="3" fontId="6" fillId="0" borderId="2" xfId="0" applyNumberFormat="1" applyFont="1" applyBorder="1" applyAlignment="1">
      <alignment horizontal="center" vertical="center" wrapText="1" readingOrder="2"/>
    </xf>
    <xf numFmtId="3" fontId="6" fillId="0" borderId="3" xfId="0" applyNumberFormat="1" applyFont="1" applyBorder="1" applyAlignment="1">
      <alignment horizontal="center" vertical="center" wrapText="1" readingOrder="2"/>
    </xf>
    <xf numFmtId="3" fontId="6" fillId="0" borderId="4" xfId="0" applyNumberFormat="1" applyFont="1" applyBorder="1" applyAlignment="1">
      <alignment horizontal="center" vertical="center" wrapText="1" readingOrder="2"/>
    </xf>
    <xf numFmtId="0" fontId="5" fillId="0" borderId="1" xfId="0" applyFont="1" applyFill="1" applyBorder="1" applyAlignment="1">
      <alignment horizontal="right" vertical="center" readingOrder="2"/>
    </xf>
    <xf numFmtId="0" fontId="4" fillId="0" borderId="1" xfId="0" applyFont="1" applyFill="1" applyBorder="1" applyAlignment="1">
      <alignment horizontal="right" vertical="center" readingOrder="2"/>
    </xf>
    <xf numFmtId="0" fontId="4" fillId="0" borderId="5" xfId="0" applyFont="1" applyFill="1" applyBorder="1" applyAlignment="1">
      <alignment horizontal="center" vertical="center" wrapText="1" readingOrder="2"/>
    </xf>
    <xf numFmtId="0" fontId="4" fillId="0" borderId="7" xfId="0" applyFont="1" applyFill="1" applyBorder="1" applyAlignment="1">
      <alignment horizontal="center" vertical="center" wrapText="1" readingOrder="2"/>
    </xf>
    <xf numFmtId="0" fontId="4" fillId="0" borderId="6" xfId="0" applyFont="1" applyFill="1" applyBorder="1" applyAlignment="1">
      <alignment horizontal="center" vertical="center" wrapText="1" readingOrder="2"/>
    </xf>
    <xf numFmtId="0" fontId="4" fillId="0" borderId="2" xfId="0" applyFont="1" applyFill="1" applyBorder="1" applyAlignment="1">
      <alignment horizontal="right" vertical="center" wrapText="1" readingOrder="2"/>
    </xf>
    <xf numFmtId="0" fontId="4" fillId="0" borderId="3" xfId="0" applyFont="1" applyFill="1" applyBorder="1" applyAlignment="1">
      <alignment horizontal="right" vertical="center" wrapText="1" readingOrder="2"/>
    </xf>
    <xf numFmtId="0" fontId="4" fillId="0" borderId="4" xfId="0" applyFont="1" applyFill="1" applyBorder="1" applyAlignment="1">
      <alignment horizontal="right" vertical="center" wrapText="1" readingOrder="2"/>
    </xf>
    <xf numFmtId="0" fontId="5" fillId="0" borderId="5" xfId="0" applyFont="1" applyFill="1" applyBorder="1" applyAlignment="1">
      <alignment horizontal="center" vertical="center" readingOrder="2"/>
    </xf>
    <xf numFmtId="0" fontId="5" fillId="0" borderId="6" xfId="0" applyFont="1" applyFill="1" applyBorder="1" applyAlignment="1">
      <alignment horizontal="center" vertical="center" readingOrder="2"/>
    </xf>
    <xf numFmtId="0" fontId="5" fillId="0" borderId="7" xfId="0" applyFont="1" applyFill="1" applyBorder="1" applyAlignment="1">
      <alignment horizontal="center" vertical="center" readingOrder="2"/>
    </xf>
    <xf numFmtId="0" fontId="6" fillId="0" borderId="1" xfId="0" applyFont="1" applyFill="1" applyBorder="1" applyAlignment="1">
      <alignment horizontal="center" vertical="center" wrapText="1" readingOrder="2"/>
    </xf>
    <xf numFmtId="0" fontId="9" fillId="8" borderId="1" xfId="2" applyFont="1" applyFill="1" applyBorder="1" applyAlignment="1">
      <alignment horizontal="center" vertical="center" wrapText="1" readingOrder="2"/>
    </xf>
    <xf numFmtId="3" fontId="9" fillId="8" borderId="1" xfId="2" applyNumberFormat="1" applyFont="1" applyFill="1" applyBorder="1" applyAlignment="1">
      <alignment horizontal="center" vertical="center" wrapText="1" readingOrder="2"/>
    </xf>
    <xf numFmtId="167" fontId="9" fillId="8" borderId="1" xfId="2" applyNumberFormat="1" applyFont="1" applyFill="1" applyBorder="1" applyAlignment="1">
      <alignment horizontal="center" vertical="center" wrapText="1" readingOrder="2"/>
    </xf>
    <xf numFmtId="0" fontId="4" fillId="0" borderId="1" xfId="0" applyFont="1" applyFill="1" applyBorder="1" applyAlignment="1">
      <alignment horizontal="center" vertical="center" wrapText="1" readingOrder="2"/>
    </xf>
    <xf numFmtId="167" fontId="5" fillId="0" borderId="1" xfId="0" applyNumberFormat="1" applyFont="1" applyFill="1" applyBorder="1" applyAlignment="1">
      <alignment horizontal="center" vertical="center" wrapText="1" readingOrder="2"/>
    </xf>
    <xf numFmtId="164" fontId="1" fillId="0" borderId="1" xfId="1" applyNumberFormat="1" applyFill="1" applyBorder="1" applyAlignment="1">
      <alignment horizontal="center" vertical="center" wrapText="1"/>
    </xf>
    <xf numFmtId="0" fontId="7" fillId="0" borderId="1" xfId="0" applyFont="1" applyFill="1" applyBorder="1" applyAlignment="1">
      <alignment horizontal="center" vertical="center" wrapText="1" readingOrder="2"/>
    </xf>
    <xf numFmtId="44" fontId="1" fillId="0" borderId="5" xfId="1" applyNumberFormat="1" applyFill="1" applyBorder="1" applyAlignment="1">
      <alignment horizontal="center" vertical="center" wrapText="1"/>
    </xf>
    <xf numFmtId="44" fontId="1" fillId="0" borderId="7" xfId="1" applyNumberFormat="1" applyFill="1" applyBorder="1" applyAlignment="1">
      <alignment horizontal="center" vertical="center" wrapText="1"/>
    </xf>
    <xf numFmtId="44" fontId="1" fillId="0" borderId="6" xfId="1" applyNumberFormat="1" applyFill="1" applyBorder="1" applyAlignment="1">
      <alignment horizontal="center" vertical="center" wrapText="1"/>
    </xf>
    <xf numFmtId="0" fontId="9" fillId="6" borderId="5" xfId="2" applyFont="1" applyFill="1" applyBorder="1" applyAlignment="1">
      <alignment horizontal="center" vertical="center" wrapText="1" readingOrder="2"/>
    </xf>
    <xf numFmtId="0" fontId="9" fillId="6" borderId="6" xfId="2" applyFont="1" applyFill="1" applyBorder="1" applyAlignment="1">
      <alignment horizontal="center" vertical="center" wrapText="1" readingOrder="2"/>
    </xf>
    <xf numFmtId="3" fontId="9" fillId="6" borderId="5" xfId="2" applyNumberFormat="1" applyFont="1" applyFill="1" applyBorder="1" applyAlignment="1">
      <alignment horizontal="center" vertical="center" wrapText="1" readingOrder="2"/>
    </xf>
    <xf numFmtId="3" fontId="9" fillId="6" borderId="6" xfId="2" applyNumberFormat="1" applyFont="1" applyFill="1" applyBorder="1" applyAlignment="1">
      <alignment horizontal="center" vertical="center" wrapText="1" readingOrder="2"/>
    </xf>
    <xf numFmtId="167" fontId="9" fillId="6" borderId="5" xfId="2" applyNumberFormat="1" applyFont="1" applyFill="1" applyBorder="1" applyAlignment="1">
      <alignment horizontal="center" vertical="center" wrapText="1" readingOrder="2"/>
    </xf>
    <xf numFmtId="167" fontId="9" fillId="6" borderId="6" xfId="2" applyNumberFormat="1" applyFont="1" applyFill="1" applyBorder="1" applyAlignment="1">
      <alignment horizontal="center" vertical="center" wrapText="1" readingOrder="2"/>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12" fillId="0" borderId="5" xfId="0" applyFont="1" applyBorder="1" applyAlignment="1">
      <alignment horizontal="center" vertical="center" wrapText="1" readingOrder="2"/>
    </xf>
    <xf numFmtId="0" fontId="12" fillId="0" borderId="7" xfId="0" applyFont="1" applyBorder="1" applyAlignment="1">
      <alignment horizontal="center" vertical="center" wrapText="1" readingOrder="2"/>
    </xf>
    <xf numFmtId="0" fontId="12" fillId="0" borderId="6" xfId="0" applyFont="1" applyBorder="1" applyAlignment="1">
      <alignment horizontal="center" vertical="center" wrapText="1" readingOrder="2"/>
    </xf>
    <xf numFmtId="167" fontId="16" fillId="0" borderId="5" xfId="0" applyNumberFormat="1" applyFont="1" applyBorder="1" applyAlignment="1">
      <alignment horizontal="center" vertical="center" wrapText="1" readingOrder="2"/>
    </xf>
    <xf numFmtId="167" fontId="16" fillId="0" borderId="7" xfId="0" applyNumberFormat="1" applyFont="1" applyBorder="1" applyAlignment="1">
      <alignment horizontal="center" vertical="center" wrapText="1" readingOrder="2"/>
    </xf>
    <xf numFmtId="167" fontId="16" fillId="0" borderId="6" xfId="0" applyNumberFormat="1" applyFont="1" applyBorder="1" applyAlignment="1">
      <alignment horizontal="center" vertical="center" wrapText="1" readingOrder="2"/>
    </xf>
    <xf numFmtId="0" fontId="24" fillId="0" borderId="5" xfId="0" applyFont="1" applyBorder="1" applyAlignment="1">
      <alignment horizontal="center" vertical="center" wrapText="1" readingOrder="2"/>
    </xf>
    <xf numFmtId="0" fontId="24" fillId="0" borderId="7" xfId="0" applyFont="1" applyBorder="1" applyAlignment="1">
      <alignment horizontal="center" vertical="center" wrapText="1" readingOrder="2"/>
    </xf>
    <xf numFmtId="0" fontId="24" fillId="0" borderId="6" xfId="0" applyFont="1" applyBorder="1" applyAlignment="1">
      <alignment horizontal="center" vertical="center" wrapText="1" readingOrder="2"/>
    </xf>
    <xf numFmtId="0" fontId="22" fillId="9" borderId="2" xfId="0" applyFont="1" applyFill="1" applyBorder="1" applyAlignment="1">
      <alignment horizontal="center" vertical="center" readingOrder="2"/>
    </xf>
    <xf numFmtId="0" fontId="22" fillId="9" borderId="3" xfId="0" applyFont="1" applyFill="1" applyBorder="1" applyAlignment="1">
      <alignment horizontal="center" vertical="center" readingOrder="2"/>
    </xf>
    <xf numFmtId="0" fontId="22" fillId="9" borderId="4" xfId="0" applyFont="1" applyFill="1" applyBorder="1" applyAlignment="1">
      <alignment horizontal="center" vertical="center" readingOrder="2"/>
    </xf>
    <xf numFmtId="0" fontId="22" fillId="0" borderId="5" xfId="0" applyFont="1" applyBorder="1" applyAlignment="1">
      <alignment horizontal="center" vertical="center" readingOrder="2"/>
    </xf>
    <xf numFmtId="0" fontId="22" fillId="0" borderId="7" xfId="0" applyFont="1" applyBorder="1" applyAlignment="1">
      <alignment horizontal="center" vertical="center" readingOrder="2"/>
    </xf>
    <xf numFmtId="0" fontId="22" fillId="0" borderId="6" xfId="0" applyFont="1" applyBorder="1" applyAlignment="1">
      <alignment horizontal="center" vertical="center" readingOrder="2"/>
    </xf>
    <xf numFmtId="0" fontId="25" fillId="0" borderId="5" xfId="0" applyFont="1" applyBorder="1" applyAlignment="1">
      <alignment horizontal="center" vertical="center" wrapText="1" readingOrder="2"/>
    </xf>
    <xf numFmtId="0" fontId="25" fillId="0" borderId="7" xfId="0" applyFont="1" applyBorder="1" applyAlignment="1">
      <alignment horizontal="center" vertical="center" wrapText="1" readingOrder="2"/>
    </xf>
    <xf numFmtId="0" fontId="25" fillId="0" borderId="6" xfId="0" applyFont="1" applyBorder="1" applyAlignment="1">
      <alignment horizontal="center" vertical="center" wrapText="1" readingOrder="2"/>
    </xf>
    <xf numFmtId="0" fontId="26" fillId="0" borderId="5" xfId="0" applyFont="1" applyBorder="1" applyAlignment="1">
      <alignment horizontal="center" vertical="center" wrapText="1" readingOrder="2"/>
    </xf>
    <xf numFmtId="0" fontId="26" fillId="0" borderId="7" xfId="0" applyFont="1" applyBorder="1" applyAlignment="1">
      <alignment horizontal="center" vertical="center" wrapText="1" readingOrder="2"/>
    </xf>
    <xf numFmtId="0" fontId="26" fillId="0" borderId="6" xfId="0" applyFont="1" applyBorder="1" applyAlignment="1">
      <alignment horizontal="center" vertical="center" wrapText="1" readingOrder="2"/>
    </xf>
    <xf numFmtId="8" fontId="22" fillId="0" borderId="5" xfId="0" applyNumberFormat="1" applyFont="1" applyBorder="1" applyAlignment="1">
      <alignment horizontal="center" vertical="center" wrapText="1" readingOrder="2"/>
    </xf>
    <xf numFmtId="8" fontId="22" fillId="0" borderId="7" xfId="0" applyNumberFormat="1" applyFont="1" applyBorder="1" applyAlignment="1">
      <alignment horizontal="center" vertical="center" wrapText="1" readingOrder="2"/>
    </xf>
    <xf numFmtId="8" fontId="22" fillId="0" borderId="6" xfId="0" applyNumberFormat="1" applyFont="1" applyBorder="1" applyAlignment="1">
      <alignment horizontal="center" vertical="center" wrapText="1" readingOrder="2"/>
    </xf>
    <xf numFmtId="0" fontId="27" fillId="0" borderId="5" xfId="0" applyFont="1" applyBorder="1" applyAlignment="1">
      <alignment horizontal="center" vertical="center" wrapText="1" readingOrder="1"/>
    </xf>
    <xf numFmtId="0" fontId="27" fillId="0" borderId="7" xfId="0" applyFont="1" applyBorder="1" applyAlignment="1">
      <alignment horizontal="center" vertical="center" wrapText="1" readingOrder="1"/>
    </xf>
    <xf numFmtId="0" fontId="27" fillId="0" borderId="6" xfId="0" applyFont="1" applyBorder="1" applyAlignment="1">
      <alignment horizontal="center" vertical="center" wrapText="1" readingOrder="1"/>
    </xf>
    <xf numFmtId="0" fontId="26" fillId="0" borderId="2" xfId="0" applyFont="1" applyBorder="1" applyAlignment="1">
      <alignment horizontal="right" vertical="center" wrapText="1" readingOrder="2"/>
    </xf>
    <xf numFmtId="0" fontId="26" fillId="0" borderId="3" xfId="0" applyFont="1" applyBorder="1" applyAlignment="1">
      <alignment horizontal="right" vertical="center" wrapText="1" readingOrder="2"/>
    </xf>
    <xf numFmtId="0" fontId="26" fillId="0" borderId="4" xfId="0" applyFont="1" applyBorder="1" applyAlignment="1">
      <alignment horizontal="right" vertical="center" wrapText="1" readingOrder="2"/>
    </xf>
    <xf numFmtId="0" fontId="4" fillId="0" borderId="11" xfId="0" applyFont="1" applyFill="1" applyBorder="1" applyAlignment="1">
      <alignment horizontal="right" vertical="center" wrapText="1" readingOrder="2"/>
    </xf>
    <xf numFmtId="0" fontId="4" fillId="0" borderId="12" xfId="0" applyFont="1" applyFill="1" applyBorder="1" applyAlignment="1">
      <alignment horizontal="right" vertical="center" wrapText="1" readingOrder="2"/>
    </xf>
    <xf numFmtId="0" fontId="4" fillId="0" borderId="8" xfId="0" applyFont="1" applyFill="1" applyBorder="1" applyAlignment="1">
      <alignment horizontal="right" vertical="center" wrapText="1" readingOrder="2"/>
    </xf>
    <xf numFmtId="0" fontId="22" fillId="9" borderId="1" xfId="0" applyFont="1" applyFill="1" applyBorder="1" applyAlignment="1">
      <alignment horizontal="center" vertical="center" readingOrder="2"/>
    </xf>
    <xf numFmtId="0" fontId="22" fillId="0" borderId="1" xfId="0" applyFont="1" applyBorder="1" applyAlignment="1">
      <alignment horizontal="center" vertical="center" readingOrder="2"/>
    </xf>
    <xf numFmtId="0" fontId="25" fillId="0" borderId="1" xfId="0" applyFont="1" applyBorder="1" applyAlignment="1">
      <alignment horizontal="center" vertical="center" wrapText="1" readingOrder="2"/>
    </xf>
    <xf numFmtId="0" fontId="26" fillId="0" borderId="1" xfId="0" applyFont="1" applyBorder="1" applyAlignment="1">
      <alignment horizontal="center" vertical="center" wrapText="1" readingOrder="2"/>
    </xf>
    <xf numFmtId="8" fontId="22" fillId="0" borderId="1" xfId="0" applyNumberFormat="1" applyFont="1" applyBorder="1" applyAlignment="1">
      <alignment horizontal="center" vertical="center" wrapText="1" readingOrder="2"/>
    </xf>
    <xf numFmtId="0" fontId="22" fillId="0" borderId="1" xfId="0" applyFont="1" applyBorder="1" applyAlignment="1">
      <alignment horizontal="center" vertical="center" wrapText="1" readingOrder="2"/>
    </xf>
    <xf numFmtId="0" fontId="27" fillId="0" borderId="1" xfId="0" applyFont="1" applyBorder="1" applyAlignment="1">
      <alignment horizontal="center" vertical="center" wrapText="1" readingOrder="1"/>
    </xf>
    <xf numFmtId="0" fontId="24" fillId="0" borderId="1" xfId="0" applyFont="1" applyBorder="1" applyAlignment="1">
      <alignment horizontal="center" vertical="center" wrapText="1" readingOrder="2"/>
    </xf>
    <xf numFmtId="0" fontId="26" fillId="0" borderId="1" xfId="0" applyFont="1" applyBorder="1" applyAlignment="1">
      <alignment horizontal="right" vertical="center" wrapText="1" readingOrder="2"/>
    </xf>
    <xf numFmtId="0" fontId="6" fillId="0" borderId="13" xfId="0" applyFont="1" applyBorder="1" applyAlignment="1">
      <alignment horizontal="center" vertical="center" wrapText="1" readingOrder="2"/>
    </xf>
    <xf numFmtId="0" fontId="4" fillId="0" borderId="14" xfId="0" applyFont="1" applyFill="1" applyBorder="1" applyAlignment="1">
      <alignment horizontal="right" vertical="center" wrapText="1" readingOrder="2"/>
    </xf>
    <xf numFmtId="167" fontId="4" fillId="0" borderId="6" xfId="0" applyNumberFormat="1" applyFont="1" applyBorder="1" applyAlignment="1">
      <alignment horizontal="center" vertical="center" wrapText="1" readingOrder="2"/>
    </xf>
    <xf numFmtId="0" fontId="6" fillId="0" borderId="5" xfId="0" applyFont="1" applyFill="1" applyBorder="1" applyAlignment="1">
      <alignment horizontal="center" vertical="center" wrapText="1" readingOrder="2"/>
    </xf>
    <xf numFmtId="0" fontId="6" fillId="0" borderId="6" xfId="0" applyFont="1" applyFill="1" applyBorder="1" applyAlignment="1">
      <alignment horizontal="center" vertical="center" wrapText="1" readingOrder="2"/>
    </xf>
    <xf numFmtId="167" fontId="6" fillId="0" borderId="5" xfId="0" applyNumberFormat="1" applyFont="1" applyFill="1" applyBorder="1" applyAlignment="1">
      <alignment horizontal="center" vertical="center" wrapText="1" readingOrder="2"/>
    </xf>
    <xf numFmtId="167" fontId="6" fillId="0" borderId="6" xfId="0" applyNumberFormat="1" applyFont="1" applyFill="1" applyBorder="1" applyAlignment="1">
      <alignment horizontal="center" vertical="center" wrapText="1" readingOrder="2"/>
    </xf>
    <xf numFmtId="3" fontId="19" fillId="3" borderId="5" xfId="2" applyNumberFormat="1" applyFont="1" applyBorder="1" applyAlignment="1">
      <alignment horizontal="center" vertical="center" wrapText="1" readingOrder="2"/>
    </xf>
    <xf numFmtId="3" fontId="19" fillId="3" borderId="6" xfId="2" applyNumberFormat="1" applyFont="1" applyBorder="1" applyAlignment="1">
      <alignment horizontal="center" vertical="center" wrapText="1" readingOrder="2"/>
    </xf>
    <xf numFmtId="167" fontId="19" fillId="3" borderId="5" xfId="2" applyNumberFormat="1" applyFont="1" applyBorder="1" applyAlignment="1">
      <alignment horizontal="center" vertical="center" wrapText="1" readingOrder="2"/>
    </xf>
    <xf numFmtId="167" fontId="19" fillId="3" borderId="6" xfId="2" applyNumberFormat="1" applyFont="1" applyBorder="1" applyAlignment="1">
      <alignment horizontal="center" vertical="center" wrapText="1" readingOrder="2"/>
    </xf>
    <xf numFmtId="0" fontId="19" fillId="3" borderId="5" xfId="2" applyFont="1" applyBorder="1" applyAlignment="1">
      <alignment horizontal="center" vertical="center" wrapText="1" readingOrder="2"/>
    </xf>
    <xf numFmtId="0" fontId="19" fillId="3" borderId="6" xfId="2" applyFont="1" applyBorder="1" applyAlignment="1">
      <alignment horizontal="center" vertical="center" wrapText="1" readingOrder="2"/>
    </xf>
    <xf numFmtId="0" fontId="6" fillId="6" borderId="5" xfId="0" applyFont="1" applyFill="1" applyBorder="1" applyAlignment="1">
      <alignment horizontal="center" vertical="center" wrapText="1" readingOrder="2"/>
    </xf>
    <xf numFmtId="0" fontId="6" fillId="6" borderId="6" xfId="0" applyFont="1" applyFill="1" applyBorder="1" applyAlignment="1">
      <alignment horizontal="center" vertical="center" wrapText="1" readingOrder="2"/>
    </xf>
    <xf numFmtId="3" fontId="6" fillId="6" borderId="5" xfId="0" applyNumberFormat="1" applyFont="1" applyFill="1" applyBorder="1" applyAlignment="1">
      <alignment horizontal="center" vertical="center" wrapText="1" readingOrder="2"/>
    </xf>
    <xf numFmtId="3" fontId="6" fillId="6" borderId="6" xfId="0" applyNumberFormat="1" applyFont="1" applyFill="1" applyBorder="1" applyAlignment="1">
      <alignment horizontal="center" vertical="center" wrapText="1" readingOrder="2"/>
    </xf>
    <xf numFmtId="167" fontId="6" fillId="6" borderId="5" xfId="0" applyNumberFormat="1" applyFont="1" applyFill="1" applyBorder="1" applyAlignment="1">
      <alignment horizontal="center" vertical="center" wrapText="1" readingOrder="2"/>
    </xf>
    <xf numFmtId="167" fontId="6" fillId="6" borderId="6" xfId="0" applyNumberFormat="1" applyFont="1" applyFill="1" applyBorder="1" applyAlignment="1">
      <alignment horizontal="center" vertical="center" wrapText="1" readingOrder="2"/>
    </xf>
  </cellXfs>
  <cellStyles count="5">
    <cellStyle name="Comma" xfId="4" builtinId="3"/>
    <cellStyle name="Normal" xfId="0" builtinId="0"/>
    <cellStyle name="Percent" xfId="3" builtinId="5"/>
    <cellStyle name="טוב" xfId="1" builtinId="26"/>
    <cellStyle name="רע" xfId="2" builtinId="27"/>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33</xdr:col>
      <xdr:colOff>463974</xdr:colOff>
      <xdr:row>124</xdr:row>
      <xdr:rowOff>53808</xdr:rowOff>
    </xdr:from>
    <xdr:to>
      <xdr:col>49</xdr:col>
      <xdr:colOff>839</xdr:colOff>
      <xdr:row>137</xdr:row>
      <xdr:rowOff>66057</xdr:rowOff>
    </xdr:to>
    <xdr:pic>
      <xdr:nvPicPr>
        <xdr:cNvPr id="2" name="תמונה 1">
          <a:extLst>
            <a:ext uri="{FF2B5EF4-FFF2-40B4-BE49-F238E27FC236}">
              <a16:creationId xmlns:a16="http://schemas.microsoft.com/office/drawing/2014/main" id="{0700A81E-7652-4716-A24B-65B80EF9E1FC}"/>
            </a:ext>
          </a:extLst>
        </xdr:cNvPr>
        <xdr:cNvPicPr>
          <a:picLocks noChangeAspect="1"/>
        </xdr:cNvPicPr>
      </xdr:nvPicPr>
      <xdr:blipFill>
        <a:blip xmlns:r="http://schemas.openxmlformats.org/officeDocument/2006/relationships" r:embed="rId1"/>
        <a:stretch>
          <a:fillRect/>
        </a:stretch>
      </xdr:blipFill>
      <xdr:spPr>
        <a:xfrm>
          <a:off x="10874982424" y="28416250"/>
          <a:ext cx="10188823" cy="2514818"/>
        </a:xfrm>
        <a:prstGeom prst="rect">
          <a:avLst/>
        </a:prstGeom>
      </xdr:spPr>
    </xdr:pic>
    <xdr:clientData/>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3A7AC4-793C-4AC9-A9E1-4681B494DCEF}">
  <sheetPr>
    <pageSetUpPr fitToPage="1"/>
  </sheetPr>
  <dimension ref="A1:S16"/>
  <sheetViews>
    <sheetView rightToLeft="1" tabSelected="1" workbookViewId="0">
      <selection activeCell="B1" sqref="B1:S1"/>
    </sheetView>
  </sheetViews>
  <sheetFormatPr defaultColWidth="8.75" defaultRowHeight="15" x14ac:dyDescent="0.2"/>
  <cols>
    <col min="1" max="1" width="4.25" customWidth="1"/>
    <col min="2" max="2" width="21.125" bestFit="1" customWidth="1"/>
    <col min="4" max="4" width="10.875" bestFit="1" customWidth="1"/>
    <col min="5" max="5" width="11.25" customWidth="1"/>
    <col min="7" max="7" width="7.25" customWidth="1"/>
    <col min="8" max="8" width="7.75" customWidth="1"/>
    <col min="9" max="9" width="10.25" bestFit="1" customWidth="1"/>
    <col min="10" max="11" width="10.25" customWidth="1"/>
    <col min="12" max="12" width="12.125" style="7" bestFit="1" customWidth="1"/>
    <col min="13" max="13" width="13.625" style="8" bestFit="1" customWidth="1"/>
    <col min="14" max="14" width="10.875" style="8" customWidth="1"/>
    <col min="15" max="15" width="13.875" customWidth="1"/>
    <col min="16" max="16" width="22.5" style="9" customWidth="1"/>
    <col min="17" max="17" width="12.75" style="9" customWidth="1"/>
    <col min="18" max="18" width="15" style="9" customWidth="1"/>
    <col min="19" max="19" width="10.875" style="247" customWidth="1"/>
  </cols>
  <sheetData>
    <row r="1" spans="1:19" ht="20.25" x14ac:dyDescent="0.2">
      <c r="A1" s="571"/>
      <c r="B1" s="572" t="s">
        <v>1483</v>
      </c>
      <c r="C1" s="572"/>
      <c r="D1" s="572"/>
      <c r="E1" s="572"/>
      <c r="F1" s="572"/>
      <c r="G1" s="572"/>
      <c r="H1" s="572"/>
      <c r="I1" s="572"/>
      <c r="J1" s="572"/>
      <c r="K1" s="572"/>
      <c r="L1" s="572"/>
      <c r="M1" s="572"/>
      <c r="N1" s="572"/>
      <c r="O1" s="572"/>
      <c r="P1" s="572"/>
      <c r="Q1" s="572"/>
      <c r="R1" s="572"/>
      <c r="S1" s="572"/>
    </row>
    <row r="2" spans="1:19" ht="14.25" x14ac:dyDescent="0.2">
      <c r="A2" s="571"/>
      <c r="B2" s="573" t="s">
        <v>1493</v>
      </c>
      <c r="C2" s="573"/>
      <c r="D2" s="573"/>
      <c r="E2" s="573"/>
      <c r="F2" s="573"/>
      <c r="G2" s="573"/>
      <c r="H2" s="573"/>
      <c r="I2" s="573"/>
      <c r="J2" s="573"/>
      <c r="K2" s="573"/>
      <c r="L2" s="573"/>
      <c r="M2" s="573"/>
      <c r="N2" s="573"/>
      <c r="O2" s="573"/>
      <c r="P2" s="573"/>
      <c r="Q2" s="573"/>
      <c r="R2" s="573"/>
      <c r="S2" s="573"/>
    </row>
    <row r="3" spans="1:19" ht="15.75" x14ac:dyDescent="0.2">
      <c r="A3" s="571"/>
      <c r="B3" s="574" t="s">
        <v>1358</v>
      </c>
      <c r="C3" s="574"/>
      <c r="D3" s="574"/>
      <c r="E3" s="574"/>
      <c r="F3" s="574"/>
      <c r="G3" s="574"/>
      <c r="H3" s="574"/>
      <c r="I3" s="574"/>
      <c r="J3" s="574"/>
      <c r="K3" s="574"/>
      <c r="L3" s="574"/>
      <c r="M3" s="574"/>
      <c r="N3" s="574"/>
      <c r="O3" s="574"/>
      <c r="P3" s="574"/>
      <c r="Q3" s="574"/>
      <c r="R3" s="574"/>
      <c r="S3" s="574"/>
    </row>
    <row r="4" spans="1:19" ht="14.25" x14ac:dyDescent="0.2">
      <c r="A4" s="571"/>
      <c r="B4" s="575" t="s">
        <v>52</v>
      </c>
      <c r="C4" s="575"/>
      <c r="D4" s="575"/>
      <c r="E4" s="575"/>
      <c r="F4" s="575"/>
      <c r="G4" s="575"/>
      <c r="H4" s="575"/>
      <c r="I4" s="575"/>
      <c r="J4" s="575"/>
      <c r="K4" s="575"/>
      <c r="L4" s="575"/>
      <c r="M4" s="575"/>
      <c r="N4" s="575"/>
      <c r="O4" s="575"/>
      <c r="P4" s="575"/>
      <c r="Q4" s="575"/>
      <c r="R4" s="575"/>
      <c r="S4" s="575"/>
    </row>
    <row r="5" spans="1:19" ht="14.25" x14ac:dyDescent="0.2">
      <c r="A5" s="571"/>
      <c r="B5" s="575" t="s">
        <v>51</v>
      </c>
      <c r="C5" s="575"/>
      <c r="D5" s="575"/>
      <c r="E5" s="575"/>
      <c r="F5" s="575"/>
      <c r="G5" s="575"/>
      <c r="H5" s="575"/>
      <c r="I5" s="575"/>
      <c r="J5" s="575"/>
      <c r="K5" s="575"/>
      <c r="L5" s="575"/>
      <c r="M5" s="575"/>
      <c r="N5" s="575"/>
      <c r="O5" s="575"/>
      <c r="P5" s="575"/>
      <c r="Q5" s="575"/>
      <c r="R5" s="575"/>
      <c r="S5" s="575"/>
    </row>
    <row r="6" spans="1:19" s="307" customFormat="1" ht="78.75" x14ac:dyDescent="0.2">
      <c r="A6" s="571"/>
      <c r="B6" s="35" t="s">
        <v>0</v>
      </c>
      <c r="C6" s="35" t="s">
        <v>1</v>
      </c>
      <c r="D6" s="35" t="s">
        <v>830</v>
      </c>
      <c r="E6" s="35" t="s">
        <v>35</v>
      </c>
      <c r="F6" s="35" t="s">
        <v>831</v>
      </c>
      <c r="G6" s="35" t="s">
        <v>2</v>
      </c>
      <c r="H6" s="35" t="s">
        <v>3</v>
      </c>
      <c r="I6" s="35" t="s">
        <v>832</v>
      </c>
      <c r="J6" s="35" t="s">
        <v>833</v>
      </c>
      <c r="K6" s="308" t="s">
        <v>834</v>
      </c>
      <c r="L6" s="309" t="s">
        <v>835</v>
      </c>
      <c r="M6" s="310" t="s">
        <v>836</v>
      </c>
      <c r="N6" s="35" t="s">
        <v>8</v>
      </c>
      <c r="O6" s="35" t="s">
        <v>9</v>
      </c>
      <c r="P6" s="35" t="s">
        <v>95</v>
      </c>
      <c r="Q6" s="35" t="s">
        <v>837</v>
      </c>
      <c r="R6" s="531" t="s">
        <v>729</v>
      </c>
      <c r="S6" s="35" t="s">
        <v>10</v>
      </c>
    </row>
    <row r="7" spans="1:19" ht="15.75" x14ac:dyDescent="0.2">
      <c r="A7" s="556" t="s">
        <v>1484</v>
      </c>
      <c r="B7" s="557"/>
      <c r="C7" s="557"/>
      <c r="D7" s="557"/>
      <c r="E7" s="557"/>
      <c r="F7" s="557"/>
      <c r="G7" s="557"/>
      <c r="H7" s="557"/>
      <c r="I7" s="557"/>
      <c r="J7" s="557"/>
      <c r="K7" s="557"/>
      <c r="L7" s="557"/>
      <c r="M7" s="557"/>
      <c r="N7" s="557"/>
      <c r="O7" s="557"/>
      <c r="P7" s="557"/>
      <c r="Q7" s="557"/>
      <c r="R7" s="557"/>
      <c r="S7" s="557"/>
    </row>
    <row r="8" spans="1:19" ht="63.75" x14ac:dyDescent="0.2">
      <c r="A8" s="558">
        <v>1</v>
      </c>
      <c r="B8" s="559" t="s">
        <v>1485</v>
      </c>
      <c r="C8" s="559" t="s">
        <v>1486</v>
      </c>
      <c r="D8" s="559">
        <v>1613100782</v>
      </c>
      <c r="E8" s="559" t="s">
        <v>48</v>
      </c>
      <c r="F8" s="559" t="s">
        <v>59</v>
      </c>
      <c r="G8" s="13" t="s">
        <v>1487</v>
      </c>
      <c r="H8" s="14">
        <v>100</v>
      </c>
      <c r="I8" s="15" t="s">
        <v>1482</v>
      </c>
      <c r="J8" s="18" t="s">
        <v>1492</v>
      </c>
      <c r="K8" s="533"/>
      <c r="L8" s="18"/>
      <c r="M8" s="534">
        <v>0.5</v>
      </c>
      <c r="N8" s="13"/>
      <c r="O8" s="560" t="s">
        <v>15</v>
      </c>
      <c r="P8" s="563" t="s">
        <v>97</v>
      </c>
      <c r="Q8" s="564"/>
      <c r="R8" s="565"/>
      <c r="S8" s="568"/>
    </row>
    <row r="9" spans="1:19" ht="25.5" x14ac:dyDescent="0.2">
      <c r="A9" s="558"/>
      <c r="B9" s="559"/>
      <c r="C9" s="559"/>
      <c r="D9" s="559"/>
      <c r="E9" s="559"/>
      <c r="F9" s="559"/>
      <c r="G9" s="19" t="s">
        <v>1488</v>
      </c>
      <c r="H9" s="24">
        <v>73</v>
      </c>
      <c r="I9" s="5" t="s">
        <v>1482</v>
      </c>
      <c r="J9" s="12" t="s">
        <v>1492</v>
      </c>
      <c r="K9" s="21"/>
      <c r="L9" s="12"/>
      <c r="M9" s="532">
        <v>0.8</v>
      </c>
      <c r="N9" s="19"/>
      <c r="O9" s="561"/>
      <c r="P9" s="563"/>
      <c r="Q9" s="564"/>
      <c r="R9" s="566"/>
      <c r="S9" s="569"/>
    </row>
    <row r="10" spans="1:19" ht="38.25" x14ac:dyDescent="0.2">
      <c r="A10" s="558"/>
      <c r="B10" s="559"/>
      <c r="C10" s="559"/>
      <c r="D10" s="559"/>
      <c r="E10" s="559"/>
      <c r="F10" s="559"/>
      <c r="G10" s="78" t="s">
        <v>1489</v>
      </c>
      <c r="H10" s="79">
        <v>65</v>
      </c>
      <c r="I10" s="5" t="s">
        <v>1482</v>
      </c>
      <c r="J10" s="12" t="s">
        <v>1492</v>
      </c>
      <c r="K10" s="21"/>
      <c r="L10" s="12"/>
      <c r="M10" s="532">
        <v>1</v>
      </c>
      <c r="N10" s="530"/>
      <c r="O10" s="561"/>
      <c r="P10" s="563"/>
      <c r="Q10" s="564"/>
      <c r="R10" s="566"/>
      <c r="S10" s="569"/>
    </row>
    <row r="11" spans="1:19" ht="63.75" x14ac:dyDescent="0.2">
      <c r="A11" s="558"/>
      <c r="B11" s="559"/>
      <c r="C11" s="559"/>
      <c r="D11" s="559"/>
      <c r="E11" s="559"/>
      <c r="F11" s="559"/>
      <c r="G11" s="78" t="s">
        <v>1490</v>
      </c>
      <c r="H11" s="79">
        <v>65</v>
      </c>
      <c r="I11" s="5" t="s">
        <v>1482</v>
      </c>
      <c r="J11" s="12" t="s">
        <v>1492</v>
      </c>
      <c r="K11" s="21"/>
      <c r="L11" s="12"/>
      <c r="M11" s="532">
        <v>1</v>
      </c>
      <c r="N11" s="530"/>
      <c r="O11" s="561"/>
      <c r="P11" s="563"/>
      <c r="Q11" s="564"/>
      <c r="R11" s="566"/>
      <c r="S11" s="569"/>
    </row>
    <row r="12" spans="1:19" ht="38.25" x14ac:dyDescent="0.2">
      <c r="A12" s="558"/>
      <c r="B12" s="559"/>
      <c r="C12" s="559"/>
      <c r="D12" s="559"/>
      <c r="E12" s="559"/>
      <c r="F12" s="559"/>
      <c r="G12" s="78" t="s">
        <v>1491</v>
      </c>
      <c r="H12" s="79">
        <v>65</v>
      </c>
      <c r="I12" s="5" t="s">
        <v>1482</v>
      </c>
      <c r="J12" s="12" t="s">
        <v>1492</v>
      </c>
      <c r="K12" s="21"/>
      <c r="L12" s="12"/>
      <c r="M12" s="532">
        <v>1</v>
      </c>
      <c r="N12" s="530"/>
      <c r="O12" s="562"/>
      <c r="P12" s="563"/>
      <c r="Q12" s="564"/>
      <c r="R12" s="567"/>
      <c r="S12" s="570"/>
    </row>
    <row r="13" spans="1:19" ht="14.25" customHeight="1" x14ac:dyDescent="0.2">
      <c r="A13" s="558"/>
      <c r="B13" s="554" t="s">
        <v>1494</v>
      </c>
      <c r="C13" s="555"/>
      <c r="D13" s="555"/>
      <c r="E13" s="555"/>
      <c r="F13" s="555"/>
      <c r="G13" s="555"/>
      <c r="H13" s="555"/>
      <c r="I13" s="555"/>
      <c r="J13" s="555"/>
      <c r="K13" s="555"/>
      <c r="L13" s="555"/>
      <c r="M13" s="555"/>
      <c r="N13" s="555"/>
      <c r="O13" s="555"/>
      <c r="P13" s="555"/>
      <c r="Q13" s="555"/>
      <c r="R13" s="555"/>
      <c r="S13" s="555"/>
    </row>
    <row r="15" spans="1:19" ht="15.75" x14ac:dyDescent="0.2">
      <c r="A15" s="268"/>
      <c r="B15" s="269"/>
      <c r="C15" s="269"/>
      <c r="D15" s="269"/>
      <c r="E15" s="269"/>
      <c r="F15" s="269"/>
      <c r="G15" s="269"/>
      <c r="H15" s="269"/>
      <c r="I15" s="269"/>
      <c r="J15" s="269"/>
      <c r="K15" s="269"/>
      <c r="L15" s="269"/>
      <c r="M15" s="269"/>
      <c r="N15" s="269"/>
      <c r="O15" s="269"/>
      <c r="P15" s="269"/>
      <c r="Q15" s="269"/>
      <c r="R15" s="269"/>
      <c r="S15" s="269"/>
    </row>
    <row r="16" spans="1:19" x14ac:dyDescent="0.2">
      <c r="B16" s="23"/>
    </row>
  </sheetData>
  <dataConsolidate/>
  <mergeCells count="19">
    <mergeCell ref="A1:A6"/>
    <mergeCell ref="B1:S1"/>
    <mergeCell ref="B2:S2"/>
    <mergeCell ref="B3:S3"/>
    <mergeCell ref="B4:S4"/>
    <mergeCell ref="B5:S5"/>
    <mergeCell ref="B13:S13"/>
    <mergeCell ref="A7:S7"/>
    <mergeCell ref="A8:A13"/>
    <mergeCell ref="B8:B12"/>
    <mergeCell ref="C8:C12"/>
    <mergeCell ref="D8:D12"/>
    <mergeCell ref="E8:E12"/>
    <mergeCell ref="F8:F12"/>
    <mergeCell ref="O8:O12"/>
    <mergeCell ref="P8:P12"/>
    <mergeCell ref="Q8:Q12"/>
    <mergeCell ref="R8:R12"/>
    <mergeCell ref="S8:S12"/>
  </mergeCells>
  <dataValidations count="2">
    <dataValidation type="list" allowBlank="1" showInputMessage="1" showErrorMessage="1" sqref="O8:O12" xr:uid="{8F5C6D2C-198D-43E2-AC13-38C91647C464}">
      <formula1>#REF!</formula1>
    </dataValidation>
    <dataValidation type="list" allowBlank="1" showInputMessage="1" showErrorMessage="1" sqref="I8:I12 E8:F12" xr:uid="{88CEC4E9-657E-47C2-AFD0-395E6D89999A}">
      <formula1>#REF!</formula1>
    </dataValidation>
  </dataValidations>
  <pageMargins left="0.7" right="0.7" top="0.75" bottom="0.75" header="0.3" footer="0.3"/>
  <pageSetup paperSize="9" scale="54"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221705-BD9A-420A-9D41-520A1D41AF40}">
  <dimension ref="A1:XFC99"/>
  <sheetViews>
    <sheetView rightToLeft="1" topLeftCell="A70" workbookViewId="0">
      <selection activeCell="A89" sqref="A89:XFD89"/>
    </sheetView>
  </sheetViews>
  <sheetFormatPr defaultColWidth="8.75" defaultRowHeight="15" x14ac:dyDescent="0.2"/>
  <cols>
    <col min="1" max="1" width="4.25" customWidth="1"/>
    <col min="2" max="2" width="26" customWidth="1"/>
    <col min="3" max="3" width="39.875" customWidth="1"/>
    <col min="4" max="4" width="13.75" customWidth="1"/>
    <col min="5" max="5" width="14.25" bestFit="1" customWidth="1"/>
    <col min="6" max="6" width="12" customWidth="1"/>
    <col min="7" max="7" width="28" customWidth="1"/>
    <col min="8" max="8" width="9.875" customWidth="1"/>
    <col min="9" max="9" width="10.25" bestFit="1" customWidth="1"/>
    <col min="10" max="10" width="14.25" style="7" bestFit="1" customWidth="1"/>
    <col min="11" max="11" width="13.625" style="7" bestFit="1" customWidth="1"/>
    <col min="12" max="12" width="13.625" style="8" customWidth="1"/>
    <col min="13" max="13" width="16" style="8" bestFit="1" customWidth="1"/>
    <col min="14" max="14" width="9" customWidth="1"/>
    <col min="15" max="15" width="12.875" style="9" customWidth="1"/>
    <col min="16" max="16" width="26.75" style="9" customWidth="1"/>
    <col min="17" max="17" width="9.875" style="9" customWidth="1"/>
    <col min="18" max="18" width="15" style="9" customWidth="1"/>
    <col min="19" max="19" width="13" style="247" bestFit="1" customWidth="1"/>
  </cols>
  <sheetData>
    <row r="1" spans="1:19" ht="20.25" x14ac:dyDescent="0.2">
      <c r="A1" s="571"/>
      <c r="B1" s="572" t="s">
        <v>1105</v>
      </c>
      <c r="C1" s="572"/>
      <c r="D1" s="572"/>
      <c r="E1" s="572"/>
      <c r="F1" s="572"/>
      <c r="G1" s="572"/>
      <c r="H1" s="572"/>
      <c r="I1" s="572"/>
      <c r="J1" s="572"/>
      <c r="K1" s="572"/>
      <c r="L1" s="572"/>
      <c r="M1" s="572"/>
      <c r="N1" s="572"/>
      <c r="O1" s="572"/>
      <c r="P1" s="572"/>
      <c r="Q1" s="572"/>
      <c r="R1" s="572"/>
      <c r="S1" s="572"/>
    </row>
    <row r="2" spans="1:19" ht="14.25" x14ac:dyDescent="0.2">
      <c r="A2" s="571"/>
      <c r="B2" s="573" t="s">
        <v>1106</v>
      </c>
      <c r="C2" s="573"/>
      <c r="D2" s="573"/>
      <c r="E2" s="573"/>
      <c r="F2" s="573"/>
      <c r="G2" s="573"/>
      <c r="H2" s="573"/>
      <c r="I2" s="573"/>
      <c r="J2" s="573"/>
      <c r="K2" s="573"/>
      <c r="L2" s="573"/>
      <c r="M2" s="573"/>
      <c r="N2" s="573"/>
      <c r="O2" s="573"/>
      <c r="P2" s="573"/>
      <c r="Q2" s="573"/>
      <c r="R2" s="573"/>
      <c r="S2" s="573"/>
    </row>
    <row r="3" spans="1:19" ht="14.25" x14ac:dyDescent="0.2">
      <c r="A3" s="571"/>
      <c r="B3" s="575" t="s">
        <v>52</v>
      </c>
      <c r="C3" s="575"/>
      <c r="D3" s="575"/>
      <c r="E3" s="575"/>
      <c r="F3" s="575"/>
      <c r="G3" s="575"/>
      <c r="H3" s="575"/>
      <c r="I3" s="575"/>
      <c r="J3" s="575"/>
      <c r="K3" s="575"/>
      <c r="L3" s="575"/>
      <c r="M3" s="575"/>
      <c r="N3" s="575"/>
      <c r="O3" s="575"/>
      <c r="P3" s="575"/>
      <c r="Q3" s="575"/>
      <c r="R3" s="575"/>
      <c r="S3" s="575"/>
    </row>
    <row r="4" spans="1:19" ht="14.25" x14ac:dyDescent="0.2">
      <c r="A4" s="571"/>
      <c r="B4" s="575" t="s">
        <v>51</v>
      </c>
      <c r="C4" s="575"/>
      <c r="D4" s="575"/>
      <c r="E4" s="575"/>
      <c r="F4" s="575"/>
      <c r="G4" s="575"/>
      <c r="H4" s="575"/>
      <c r="I4" s="575"/>
      <c r="J4" s="575"/>
      <c r="K4" s="575"/>
      <c r="L4" s="575"/>
      <c r="M4" s="575"/>
      <c r="N4" s="575"/>
      <c r="O4" s="575"/>
      <c r="P4" s="575"/>
      <c r="Q4" s="575"/>
      <c r="R4" s="575"/>
      <c r="S4" s="575"/>
    </row>
    <row r="5" spans="1:19" s="345" customFormat="1" ht="46.5" customHeight="1" x14ac:dyDescent="0.2">
      <c r="A5" s="571"/>
      <c r="B5" s="340" t="s">
        <v>0</v>
      </c>
      <c r="C5" s="340" t="s">
        <v>1</v>
      </c>
      <c r="D5" s="340" t="s">
        <v>830</v>
      </c>
      <c r="E5" s="340" t="s">
        <v>35</v>
      </c>
      <c r="F5" s="340" t="s">
        <v>831</v>
      </c>
      <c r="G5" s="341" t="s">
        <v>2</v>
      </c>
      <c r="H5" s="341" t="s">
        <v>3</v>
      </c>
      <c r="I5" s="341" t="s">
        <v>832</v>
      </c>
      <c r="J5" s="341" t="s">
        <v>833</v>
      </c>
      <c r="K5" s="341" t="s">
        <v>834</v>
      </c>
      <c r="L5" s="342" t="s">
        <v>835</v>
      </c>
      <c r="M5" s="343" t="s">
        <v>836</v>
      </c>
      <c r="N5" s="341" t="s">
        <v>8</v>
      </c>
      <c r="O5" s="341" t="s">
        <v>9</v>
      </c>
      <c r="P5" s="341" t="s">
        <v>95</v>
      </c>
      <c r="Q5" s="341" t="s">
        <v>837</v>
      </c>
      <c r="R5" s="344" t="s">
        <v>729</v>
      </c>
      <c r="S5" s="341" t="s">
        <v>10</v>
      </c>
    </row>
    <row r="6" spans="1:19" ht="15.75" x14ac:dyDescent="0.2">
      <c r="A6" s="556" t="s">
        <v>1107</v>
      </c>
      <c r="B6" s="557"/>
      <c r="C6" s="557"/>
      <c r="D6" s="557"/>
      <c r="E6" s="557"/>
      <c r="F6" s="557"/>
      <c r="G6" s="557"/>
      <c r="H6" s="557"/>
      <c r="I6" s="557"/>
      <c r="J6" s="557"/>
      <c r="K6" s="557"/>
      <c r="L6" s="557"/>
      <c r="M6" s="557"/>
      <c r="N6" s="557"/>
      <c r="O6" s="557"/>
      <c r="P6" s="557"/>
      <c r="Q6" s="557"/>
      <c r="R6" s="557"/>
      <c r="S6" s="557"/>
    </row>
    <row r="7" spans="1:19" s="350" customFormat="1" ht="18.75" customHeight="1" x14ac:dyDescent="0.2">
      <c r="A7" s="593">
        <v>1</v>
      </c>
      <c r="B7" s="585" t="s">
        <v>1108</v>
      </c>
      <c r="C7" s="597" t="s">
        <v>1109</v>
      </c>
      <c r="D7" s="597">
        <v>246017</v>
      </c>
      <c r="E7" s="597" t="s">
        <v>40</v>
      </c>
      <c r="F7" s="597" t="s">
        <v>54</v>
      </c>
      <c r="G7" s="346" t="s">
        <v>1110</v>
      </c>
      <c r="H7" s="347">
        <v>100</v>
      </c>
      <c r="I7" s="348" t="s">
        <v>73</v>
      </c>
      <c r="J7" s="348">
        <v>200</v>
      </c>
      <c r="K7" s="349">
        <v>200</v>
      </c>
      <c r="L7" s="348">
        <v>40000</v>
      </c>
      <c r="M7" s="348">
        <v>46800</v>
      </c>
      <c r="N7" s="346" t="s">
        <v>1111</v>
      </c>
      <c r="O7" s="560" t="s">
        <v>15</v>
      </c>
      <c r="P7" s="560" t="s">
        <v>97</v>
      </c>
      <c r="Q7" s="560"/>
      <c r="R7" s="657">
        <f>M7*(100-Q7)/100</f>
        <v>46800</v>
      </c>
      <c r="S7" s="659" t="s">
        <v>18</v>
      </c>
    </row>
    <row r="8" spans="1:19" ht="19.5" customHeight="1" x14ac:dyDescent="0.2">
      <c r="A8" s="594"/>
      <c r="B8" s="586"/>
      <c r="C8" s="598"/>
      <c r="D8" s="598"/>
      <c r="E8" s="598"/>
      <c r="F8" s="598"/>
      <c r="G8" s="329" t="s">
        <v>1112</v>
      </c>
      <c r="H8" s="332">
        <v>94</v>
      </c>
      <c r="I8" s="34" t="s">
        <v>73</v>
      </c>
      <c r="J8" s="34">
        <v>220</v>
      </c>
      <c r="K8" s="329" t="s">
        <v>1113</v>
      </c>
      <c r="L8" s="34">
        <v>44000</v>
      </c>
      <c r="M8" s="34">
        <v>51480</v>
      </c>
      <c r="N8" s="329" t="s">
        <v>1111</v>
      </c>
      <c r="O8" s="561"/>
      <c r="P8" s="561"/>
      <c r="Q8" s="561"/>
      <c r="R8" s="673"/>
      <c r="S8" s="674"/>
    </row>
    <row r="9" spans="1:19" ht="19.5" customHeight="1" x14ac:dyDescent="0.2">
      <c r="A9" s="594"/>
      <c r="B9" s="586"/>
      <c r="C9" s="598"/>
      <c r="D9" s="598"/>
      <c r="E9" s="598"/>
      <c r="F9" s="598"/>
      <c r="G9" s="329" t="s">
        <v>1114</v>
      </c>
      <c r="H9" s="332">
        <v>91</v>
      </c>
      <c r="I9" s="34" t="s">
        <v>73</v>
      </c>
      <c r="J9" s="34">
        <v>230</v>
      </c>
      <c r="K9" s="329" t="s">
        <v>1113</v>
      </c>
      <c r="L9" s="34">
        <v>46000</v>
      </c>
      <c r="M9" s="34">
        <v>53820</v>
      </c>
      <c r="N9" s="329" t="s">
        <v>1111</v>
      </c>
      <c r="O9" s="561"/>
      <c r="P9" s="561"/>
      <c r="Q9" s="561"/>
      <c r="R9" s="673"/>
      <c r="S9" s="674"/>
    </row>
    <row r="10" spans="1:19" ht="15" customHeight="1" x14ac:dyDescent="0.2">
      <c r="A10" s="594"/>
      <c r="B10" s="586"/>
      <c r="C10" s="598"/>
      <c r="D10" s="598"/>
      <c r="E10" s="598"/>
      <c r="F10" s="598"/>
      <c r="G10" s="329" t="s">
        <v>1115</v>
      </c>
      <c r="H10" s="332">
        <v>80</v>
      </c>
      <c r="I10" s="34" t="s">
        <v>73</v>
      </c>
      <c r="J10" s="34">
        <v>280</v>
      </c>
      <c r="K10" s="329" t="s">
        <v>1113</v>
      </c>
      <c r="L10" s="34">
        <v>56000</v>
      </c>
      <c r="M10" s="34">
        <v>65520</v>
      </c>
      <c r="N10" s="329" t="s">
        <v>1111</v>
      </c>
      <c r="O10" s="561"/>
      <c r="P10" s="561"/>
      <c r="Q10" s="561"/>
      <c r="R10" s="673"/>
      <c r="S10" s="674"/>
    </row>
    <row r="11" spans="1:19" ht="15" customHeight="1" x14ac:dyDescent="0.2">
      <c r="A11" s="594"/>
      <c r="B11" s="586"/>
      <c r="C11" s="599"/>
      <c r="D11" s="599"/>
      <c r="E11" s="599"/>
      <c r="F11" s="599"/>
      <c r="G11" s="329"/>
      <c r="H11" s="332"/>
      <c r="I11" s="34"/>
      <c r="J11" s="34"/>
      <c r="K11" s="329"/>
      <c r="L11" s="34"/>
      <c r="M11" s="34"/>
      <c r="N11" s="329"/>
      <c r="O11" s="562"/>
      <c r="P11" s="561"/>
      <c r="Q11" s="562"/>
      <c r="R11" s="673"/>
      <c r="S11" s="674"/>
    </row>
    <row r="12" spans="1:19" ht="13.9" customHeight="1" x14ac:dyDescent="0.2">
      <c r="A12" s="595"/>
      <c r="B12" s="581"/>
      <c r="C12" s="582"/>
      <c r="D12" s="582"/>
      <c r="E12" s="582"/>
      <c r="F12" s="582"/>
      <c r="G12" s="582"/>
      <c r="H12" s="582"/>
      <c r="I12" s="582"/>
      <c r="J12" s="582"/>
      <c r="K12" s="582"/>
      <c r="L12" s="582"/>
      <c r="M12" s="582"/>
      <c r="N12" s="582"/>
      <c r="O12" s="582"/>
      <c r="P12" s="582"/>
      <c r="Q12" s="582"/>
      <c r="R12" s="582"/>
      <c r="S12" s="582"/>
    </row>
    <row r="13" spans="1:19" ht="15.75" x14ac:dyDescent="0.2">
      <c r="A13" s="556" t="s">
        <v>1116</v>
      </c>
      <c r="B13" s="557"/>
      <c r="C13" s="557"/>
      <c r="D13" s="557"/>
      <c r="E13" s="557"/>
      <c r="F13" s="557"/>
      <c r="G13" s="557"/>
      <c r="H13" s="557"/>
      <c r="I13" s="557"/>
      <c r="J13" s="557"/>
      <c r="K13" s="557"/>
      <c r="L13" s="557"/>
      <c r="M13" s="557"/>
      <c r="N13" s="557"/>
      <c r="O13" s="557"/>
      <c r="P13" s="557"/>
      <c r="Q13" s="557"/>
      <c r="R13" s="557"/>
      <c r="S13" s="557"/>
    </row>
    <row r="14" spans="1:19" ht="15.75" customHeight="1" x14ac:dyDescent="0.2">
      <c r="A14" s="593">
        <v>2</v>
      </c>
      <c r="B14" s="585" t="s">
        <v>1117</v>
      </c>
      <c r="C14" s="597" t="s">
        <v>1109</v>
      </c>
      <c r="D14" s="597">
        <v>224004</v>
      </c>
      <c r="E14" s="597" t="s">
        <v>43</v>
      </c>
      <c r="F14" s="597" t="s">
        <v>54</v>
      </c>
      <c r="G14" s="351" t="s">
        <v>1118</v>
      </c>
      <c r="H14" s="352">
        <v>100</v>
      </c>
      <c r="I14" s="353" t="s">
        <v>14</v>
      </c>
      <c r="J14" s="353">
        <v>82000</v>
      </c>
      <c r="K14" s="354" t="s">
        <v>1119</v>
      </c>
      <c r="L14" s="353">
        <v>82000</v>
      </c>
      <c r="M14" s="353">
        <v>95940</v>
      </c>
      <c r="N14" s="351" t="s">
        <v>1111</v>
      </c>
      <c r="O14" s="560" t="s">
        <v>15</v>
      </c>
      <c r="P14" s="560" t="s">
        <v>97</v>
      </c>
      <c r="Q14" s="330"/>
      <c r="R14" s="657">
        <v>95940</v>
      </c>
      <c r="S14" s="659" t="s">
        <v>18</v>
      </c>
    </row>
    <row r="15" spans="1:19" ht="14.25" customHeight="1" x14ac:dyDescent="0.2">
      <c r="A15" s="594"/>
      <c r="B15" s="586"/>
      <c r="C15" s="598"/>
      <c r="D15" s="598"/>
      <c r="E15" s="598"/>
      <c r="F15" s="598"/>
      <c r="G15" s="329" t="s">
        <v>1120</v>
      </c>
      <c r="H15" s="332">
        <v>94</v>
      </c>
      <c r="I15" s="34" t="s">
        <v>14</v>
      </c>
      <c r="J15" s="34">
        <v>90000</v>
      </c>
      <c r="K15" s="355" t="s">
        <v>1119</v>
      </c>
      <c r="L15" s="34">
        <v>90000</v>
      </c>
      <c r="M15" s="34">
        <v>105300</v>
      </c>
      <c r="N15" s="329" t="s">
        <v>1111</v>
      </c>
      <c r="O15" s="561"/>
      <c r="P15" s="561"/>
      <c r="Q15" s="331"/>
      <c r="R15" s="673"/>
      <c r="S15" s="674"/>
    </row>
    <row r="16" spans="1:19" ht="14.25" x14ac:dyDescent="0.2">
      <c r="A16" s="594"/>
      <c r="B16" s="586"/>
      <c r="C16" s="598"/>
      <c r="D16" s="598"/>
      <c r="E16" s="598"/>
      <c r="F16" s="598"/>
      <c r="G16" s="329" t="s">
        <v>354</v>
      </c>
      <c r="H16" s="332">
        <v>56</v>
      </c>
      <c r="I16" s="34" t="s">
        <v>14</v>
      </c>
      <c r="J16" s="34">
        <v>222300</v>
      </c>
      <c r="K16" s="355" t="s">
        <v>1119</v>
      </c>
      <c r="L16" s="34">
        <v>222300</v>
      </c>
      <c r="M16" s="34">
        <v>260091</v>
      </c>
      <c r="N16" s="329" t="s">
        <v>1111</v>
      </c>
      <c r="O16" s="561"/>
      <c r="P16" s="561"/>
      <c r="Q16" s="331"/>
      <c r="R16" s="673"/>
      <c r="S16" s="674"/>
    </row>
    <row r="17" spans="1:16383" ht="14.25" x14ac:dyDescent="0.2">
      <c r="A17" s="594"/>
      <c r="B17" s="586"/>
      <c r="C17" s="598"/>
      <c r="D17" s="598"/>
      <c r="E17" s="598"/>
      <c r="F17" s="598"/>
      <c r="G17" s="329" t="s">
        <v>1121</v>
      </c>
      <c r="H17" s="332">
        <v>55</v>
      </c>
      <c r="I17" s="34" t="s">
        <v>14</v>
      </c>
      <c r="J17" s="34">
        <v>230000</v>
      </c>
      <c r="K17" s="355" t="s">
        <v>1119</v>
      </c>
      <c r="L17" s="34">
        <v>230000</v>
      </c>
      <c r="M17" s="34">
        <v>269100</v>
      </c>
      <c r="N17" s="329" t="s">
        <v>1111</v>
      </c>
      <c r="O17" s="561"/>
      <c r="P17" s="561"/>
      <c r="Q17" s="331"/>
      <c r="R17" s="673"/>
      <c r="S17" s="674"/>
    </row>
    <row r="18" spans="1:16383" ht="14.25" x14ac:dyDescent="0.2">
      <c r="A18" s="594"/>
      <c r="B18" s="586"/>
      <c r="C18" s="599"/>
      <c r="D18" s="599"/>
      <c r="E18" s="599"/>
      <c r="F18" s="599"/>
      <c r="G18" s="329"/>
      <c r="H18" s="332"/>
      <c r="I18" s="34"/>
      <c r="J18" s="34"/>
      <c r="K18" s="329"/>
      <c r="L18" s="34"/>
      <c r="M18" s="34"/>
      <c r="N18" s="329"/>
      <c r="O18" s="562"/>
      <c r="P18" s="561"/>
      <c r="Q18" s="331"/>
      <c r="R18" s="673"/>
      <c r="S18" s="674"/>
    </row>
    <row r="19" spans="1:16383" ht="14.25" x14ac:dyDescent="0.2">
      <c r="A19" s="595"/>
      <c r="B19" s="581"/>
      <c r="C19" s="582"/>
      <c r="D19" s="582"/>
      <c r="E19" s="582"/>
      <c r="F19" s="582"/>
      <c r="G19" s="582"/>
      <c r="H19" s="582"/>
      <c r="I19" s="582"/>
      <c r="J19" s="582"/>
      <c r="K19" s="582"/>
      <c r="L19" s="582"/>
      <c r="M19" s="582"/>
      <c r="N19" s="582"/>
      <c r="O19" s="582"/>
      <c r="P19" s="582"/>
      <c r="Q19" s="582"/>
      <c r="R19" s="582"/>
      <c r="S19" s="582"/>
    </row>
    <row r="20" spans="1:16383" ht="21" customHeight="1" x14ac:dyDescent="0.2">
      <c r="A20" s="556" t="s">
        <v>1122</v>
      </c>
      <c r="B20" s="557"/>
      <c r="C20" s="557"/>
      <c r="D20" s="557"/>
      <c r="E20" s="557"/>
      <c r="F20" s="557"/>
      <c r="G20" s="557"/>
      <c r="H20" s="557"/>
      <c r="I20" s="557"/>
      <c r="J20" s="557"/>
      <c r="K20" s="557"/>
      <c r="L20" s="557"/>
      <c r="M20" s="557"/>
      <c r="N20" s="557"/>
      <c r="O20" s="557"/>
      <c r="P20" s="557"/>
      <c r="Q20" s="557"/>
      <c r="R20" s="557"/>
      <c r="S20" s="557"/>
      <c r="T20" s="556"/>
      <c r="U20" s="557"/>
      <c r="V20" s="557"/>
      <c r="W20" s="557"/>
      <c r="X20" s="557"/>
      <c r="Y20" s="557"/>
      <c r="Z20" s="557"/>
      <c r="AA20" s="557"/>
      <c r="AB20" s="557"/>
      <c r="AC20" s="557"/>
      <c r="AD20" s="557"/>
      <c r="AE20" s="557"/>
      <c r="AF20" s="557"/>
      <c r="AG20" s="557"/>
      <c r="AH20" s="557"/>
      <c r="AI20" s="557"/>
      <c r="AJ20" s="557"/>
      <c r="AK20" s="557"/>
      <c r="AL20" s="557"/>
      <c r="AM20" s="661"/>
      <c r="AN20" s="556"/>
      <c r="AO20" s="557"/>
      <c r="AP20" s="557"/>
      <c r="AQ20" s="557"/>
      <c r="AR20" s="557"/>
      <c r="AS20" s="557"/>
      <c r="AT20" s="557"/>
      <c r="AU20" s="557"/>
      <c r="AV20" s="557"/>
      <c r="AW20" s="557"/>
      <c r="AX20" s="557"/>
      <c r="AY20" s="557"/>
      <c r="AZ20" s="557"/>
      <c r="BA20" s="557"/>
      <c r="BB20" s="557"/>
      <c r="BC20" s="557"/>
      <c r="BD20" s="557"/>
      <c r="BE20" s="557"/>
      <c r="BF20" s="557"/>
      <c r="BG20" s="661"/>
      <c r="BH20" s="556"/>
      <c r="BI20" s="557"/>
      <c r="BJ20" s="557"/>
      <c r="BK20" s="557"/>
      <c r="BL20" s="557"/>
      <c r="BM20" s="557"/>
      <c r="BN20" s="557"/>
      <c r="BO20" s="557"/>
      <c r="BP20" s="557"/>
      <c r="BQ20" s="557"/>
      <c r="BR20" s="557"/>
      <c r="BS20" s="557"/>
      <c r="BT20" s="557"/>
      <c r="BU20" s="557"/>
      <c r="BV20" s="557"/>
      <c r="BW20" s="557"/>
      <c r="BX20" s="557"/>
      <c r="BY20" s="557"/>
      <c r="BZ20" s="557"/>
      <c r="CA20" s="661"/>
      <c r="CB20" s="556"/>
      <c r="CC20" s="557"/>
      <c r="CD20" s="557"/>
      <c r="CE20" s="557"/>
      <c r="CF20" s="557"/>
      <c r="CG20" s="557"/>
      <c r="CH20" s="557"/>
      <c r="CI20" s="557"/>
      <c r="CJ20" s="557"/>
      <c r="CK20" s="557"/>
      <c r="CL20" s="557"/>
      <c r="CM20" s="557"/>
      <c r="CN20" s="557"/>
      <c r="CO20" s="557"/>
      <c r="CP20" s="557"/>
      <c r="CQ20" s="557"/>
      <c r="CR20" s="557"/>
      <c r="CS20" s="557"/>
      <c r="CT20" s="557"/>
      <c r="CU20" s="661"/>
      <c r="CV20" s="556"/>
      <c r="CW20" s="557"/>
      <c r="CX20" s="557"/>
      <c r="CY20" s="557"/>
      <c r="CZ20" s="557"/>
      <c r="DA20" s="557"/>
      <c r="DB20" s="557"/>
      <c r="DC20" s="557"/>
      <c r="DD20" s="557"/>
      <c r="DE20" s="557"/>
      <c r="DF20" s="557"/>
      <c r="DG20" s="557"/>
      <c r="DH20" s="557"/>
      <c r="DI20" s="557"/>
      <c r="DJ20" s="557"/>
      <c r="DK20" s="557"/>
      <c r="DL20" s="557"/>
      <c r="DM20" s="557"/>
      <c r="DN20" s="557"/>
      <c r="DO20" s="661"/>
      <c r="DP20" s="556"/>
      <c r="DQ20" s="557"/>
      <c r="DR20" s="557"/>
      <c r="DS20" s="557"/>
      <c r="DT20" s="557"/>
      <c r="DU20" s="557"/>
      <c r="DV20" s="557"/>
      <c r="DW20" s="557"/>
      <c r="DX20" s="557"/>
      <c r="DY20" s="557"/>
      <c r="DZ20" s="557"/>
      <c r="EA20" s="557"/>
      <c r="EB20" s="557"/>
      <c r="EC20" s="557"/>
      <c r="ED20" s="557"/>
      <c r="EE20" s="557"/>
      <c r="EF20" s="557"/>
      <c r="EG20" s="557"/>
      <c r="EH20" s="557"/>
      <c r="EI20" s="661"/>
      <c r="EJ20" s="556"/>
      <c r="EK20" s="557"/>
      <c r="EL20" s="557"/>
      <c r="EM20" s="557"/>
      <c r="EN20" s="557"/>
      <c r="EO20" s="557"/>
      <c r="EP20" s="557"/>
      <c r="EQ20" s="557"/>
      <c r="ER20" s="557"/>
      <c r="ES20" s="557"/>
      <c r="ET20" s="557"/>
      <c r="EU20" s="557"/>
      <c r="EV20" s="557"/>
      <c r="EW20" s="557"/>
      <c r="EX20" s="557"/>
      <c r="EY20" s="557"/>
      <c r="EZ20" s="557"/>
      <c r="FA20" s="557"/>
      <c r="FB20" s="557"/>
      <c r="FC20" s="661"/>
      <c r="FD20" s="556"/>
      <c r="FE20" s="557"/>
      <c r="FF20" s="557"/>
      <c r="FG20" s="557"/>
      <c r="FH20" s="557"/>
      <c r="FI20" s="557"/>
      <c r="FJ20" s="557"/>
      <c r="FK20" s="557"/>
      <c r="FL20" s="557"/>
      <c r="FM20" s="557"/>
      <c r="FN20" s="557"/>
      <c r="FO20" s="557"/>
      <c r="FP20" s="557"/>
      <c r="FQ20" s="557"/>
      <c r="FR20" s="557"/>
      <c r="FS20" s="557"/>
      <c r="FT20" s="557"/>
      <c r="FU20" s="557"/>
      <c r="FV20" s="557"/>
      <c r="FW20" s="661"/>
      <c r="FX20" s="556"/>
      <c r="FY20" s="557"/>
      <c r="FZ20" s="557"/>
      <c r="GA20" s="557"/>
      <c r="GB20" s="557"/>
      <c r="GC20" s="557"/>
      <c r="GD20" s="557"/>
      <c r="GE20" s="557"/>
      <c r="GF20" s="557"/>
      <c r="GG20" s="557"/>
      <c r="GH20" s="557"/>
      <c r="GI20" s="557"/>
      <c r="GJ20" s="557"/>
      <c r="GK20" s="557"/>
      <c r="GL20" s="557"/>
      <c r="GM20" s="557"/>
      <c r="GN20" s="557"/>
      <c r="GO20" s="557"/>
      <c r="GP20" s="557"/>
      <c r="GQ20" s="661"/>
      <c r="GR20" s="556"/>
      <c r="GS20" s="557"/>
      <c r="GT20" s="557"/>
      <c r="GU20" s="557"/>
      <c r="GV20" s="557"/>
      <c r="GW20" s="557"/>
      <c r="GX20" s="557"/>
      <c r="GY20" s="557"/>
      <c r="GZ20" s="557"/>
      <c r="HA20" s="557"/>
      <c r="HB20" s="557"/>
      <c r="HC20" s="557"/>
      <c r="HD20" s="557"/>
      <c r="HE20" s="557"/>
      <c r="HF20" s="557"/>
      <c r="HG20" s="557"/>
      <c r="HH20" s="557"/>
      <c r="HI20" s="557"/>
      <c r="HJ20" s="557"/>
      <c r="HK20" s="661"/>
      <c r="HL20" s="556"/>
      <c r="HM20" s="557"/>
      <c r="HN20" s="557"/>
      <c r="HO20" s="557"/>
      <c r="HP20" s="557"/>
      <c r="HQ20" s="557"/>
      <c r="HR20" s="557"/>
      <c r="HS20" s="557"/>
      <c r="HT20" s="557"/>
      <c r="HU20" s="557"/>
      <c r="HV20" s="557"/>
      <c r="HW20" s="557"/>
      <c r="HX20" s="557"/>
      <c r="HY20" s="557"/>
      <c r="HZ20" s="557"/>
      <c r="IA20" s="557"/>
      <c r="IB20" s="557"/>
      <c r="IC20" s="557"/>
      <c r="ID20" s="557"/>
      <c r="IE20" s="661"/>
      <c r="IF20" s="556"/>
      <c r="IG20" s="557"/>
      <c r="IH20" s="557"/>
      <c r="II20" s="557"/>
      <c r="IJ20" s="557"/>
      <c r="IK20" s="557"/>
      <c r="IL20" s="557"/>
      <c r="IM20" s="557"/>
      <c r="IN20" s="557"/>
      <c r="IO20" s="557"/>
      <c r="IP20" s="557"/>
      <c r="IQ20" s="557"/>
      <c r="IR20" s="557"/>
      <c r="IS20" s="557"/>
      <c r="IT20" s="557"/>
      <c r="IU20" s="557"/>
      <c r="IV20" s="557"/>
      <c r="IW20" s="557"/>
      <c r="IX20" s="557"/>
      <c r="IY20" s="661"/>
      <c r="IZ20" s="556"/>
      <c r="JA20" s="557"/>
      <c r="JB20" s="557"/>
      <c r="JC20" s="557"/>
      <c r="JD20" s="557"/>
      <c r="JE20" s="557"/>
      <c r="JF20" s="557"/>
      <c r="JG20" s="557"/>
      <c r="JH20" s="557"/>
      <c r="JI20" s="557"/>
      <c r="JJ20" s="557"/>
      <c r="JK20" s="557"/>
      <c r="JL20" s="557"/>
      <c r="JM20" s="557"/>
      <c r="JN20" s="557"/>
      <c r="JO20" s="557"/>
      <c r="JP20" s="557"/>
      <c r="JQ20" s="557"/>
      <c r="JR20" s="557"/>
      <c r="JS20" s="661"/>
      <c r="JT20" s="556"/>
      <c r="JU20" s="557"/>
      <c r="JV20" s="557"/>
      <c r="JW20" s="557"/>
      <c r="JX20" s="557"/>
      <c r="JY20" s="557"/>
      <c r="JZ20" s="557"/>
      <c r="KA20" s="557"/>
      <c r="KB20" s="557"/>
      <c r="KC20" s="557"/>
      <c r="KD20" s="557"/>
      <c r="KE20" s="557"/>
      <c r="KF20" s="557"/>
      <c r="KG20" s="557"/>
      <c r="KH20" s="557"/>
      <c r="KI20" s="557"/>
      <c r="KJ20" s="557"/>
      <c r="KK20" s="557"/>
      <c r="KL20" s="557"/>
      <c r="KM20" s="661"/>
      <c r="KN20" s="556"/>
      <c r="KO20" s="557"/>
      <c r="KP20" s="557"/>
      <c r="KQ20" s="557"/>
      <c r="KR20" s="557"/>
      <c r="KS20" s="557"/>
      <c r="KT20" s="557"/>
      <c r="KU20" s="557"/>
      <c r="KV20" s="557"/>
      <c r="KW20" s="557"/>
      <c r="KX20" s="557"/>
      <c r="KY20" s="557"/>
      <c r="KZ20" s="557"/>
      <c r="LA20" s="557"/>
      <c r="LB20" s="557"/>
      <c r="LC20" s="557"/>
      <c r="LD20" s="557"/>
      <c r="LE20" s="557"/>
      <c r="LF20" s="557"/>
      <c r="LG20" s="661"/>
      <c r="LH20" s="556"/>
      <c r="LI20" s="557"/>
      <c r="LJ20" s="557"/>
      <c r="LK20" s="557"/>
      <c r="LL20" s="557"/>
      <c r="LM20" s="557"/>
      <c r="LN20" s="557"/>
      <c r="LO20" s="557"/>
      <c r="LP20" s="557"/>
      <c r="LQ20" s="557"/>
      <c r="LR20" s="557"/>
      <c r="LS20" s="557"/>
      <c r="LT20" s="557"/>
      <c r="LU20" s="557"/>
      <c r="LV20" s="557"/>
      <c r="LW20" s="557"/>
      <c r="LX20" s="557"/>
      <c r="LY20" s="557"/>
      <c r="LZ20" s="557"/>
      <c r="MA20" s="661"/>
      <c r="MB20" s="556"/>
      <c r="MC20" s="557"/>
      <c r="MD20" s="557"/>
      <c r="ME20" s="557"/>
      <c r="MF20" s="557"/>
      <c r="MG20" s="557"/>
      <c r="MH20" s="557"/>
      <c r="MI20" s="557"/>
      <c r="MJ20" s="557"/>
      <c r="MK20" s="557"/>
      <c r="ML20" s="557"/>
      <c r="MM20" s="557"/>
      <c r="MN20" s="557"/>
      <c r="MO20" s="557"/>
      <c r="MP20" s="557"/>
      <c r="MQ20" s="557"/>
      <c r="MR20" s="557"/>
      <c r="MS20" s="557"/>
      <c r="MT20" s="557"/>
      <c r="MU20" s="661"/>
      <c r="MV20" s="556"/>
      <c r="MW20" s="557"/>
      <c r="MX20" s="557"/>
      <c r="MY20" s="557"/>
      <c r="MZ20" s="557"/>
      <c r="NA20" s="557"/>
      <c r="NB20" s="557"/>
      <c r="NC20" s="557"/>
      <c r="ND20" s="557"/>
      <c r="NE20" s="557"/>
      <c r="NF20" s="557"/>
      <c r="NG20" s="557"/>
      <c r="NH20" s="557"/>
      <c r="NI20" s="557"/>
      <c r="NJ20" s="557"/>
      <c r="NK20" s="557"/>
      <c r="NL20" s="557"/>
      <c r="NM20" s="557"/>
      <c r="NN20" s="557"/>
      <c r="NO20" s="661"/>
      <c r="NP20" s="556"/>
      <c r="NQ20" s="557"/>
      <c r="NR20" s="557"/>
      <c r="NS20" s="557"/>
      <c r="NT20" s="557"/>
      <c r="NU20" s="557"/>
      <c r="NV20" s="557"/>
      <c r="NW20" s="557"/>
      <c r="NX20" s="557"/>
      <c r="NY20" s="557"/>
      <c r="NZ20" s="557"/>
      <c r="OA20" s="557"/>
      <c r="OB20" s="557"/>
      <c r="OC20" s="557"/>
      <c r="OD20" s="557"/>
      <c r="OE20" s="557"/>
      <c r="OF20" s="557"/>
      <c r="OG20" s="557"/>
      <c r="OH20" s="557"/>
      <c r="OI20" s="661"/>
      <c r="OJ20" s="556"/>
      <c r="OK20" s="557"/>
      <c r="OL20" s="557"/>
      <c r="OM20" s="557"/>
      <c r="ON20" s="557"/>
      <c r="OO20" s="557"/>
      <c r="OP20" s="557"/>
      <c r="OQ20" s="557"/>
      <c r="OR20" s="557"/>
      <c r="OS20" s="557"/>
      <c r="OT20" s="557"/>
      <c r="OU20" s="557"/>
      <c r="OV20" s="557"/>
      <c r="OW20" s="557"/>
      <c r="OX20" s="557"/>
      <c r="OY20" s="557"/>
      <c r="OZ20" s="557"/>
      <c r="PA20" s="557"/>
      <c r="PB20" s="557"/>
      <c r="PC20" s="661"/>
      <c r="PD20" s="556"/>
      <c r="PE20" s="557"/>
      <c r="PF20" s="557"/>
      <c r="PG20" s="557"/>
      <c r="PH20" s="557"/>
      <c r="PI20" s="557"/>
      <c r="PJ20" s="557"/>
      <c r="PK20" s="557"/>
      <c r="PL20" s="557"/>
      <c r="PM20" s="557"/>
      <c r="PN20" s="557"/>
      <c r="PO20" s="557"/>
      <c r="PP20" s="557"/>
      <c r="PQ20" s="557"/>
      <c r="PR20" s="557"/>
      <c r="PS20" s="557"/>
      <c r="PT20" s="557"/>
      <c r="PU20" s="557"/>
      <c r="PV20" s="557"/>
      <c r="PW20" s="661"/>
      <c r="PX20" s="556"/>
      <c r="PY20" s="557"/>
      <c r="PZ20" s="557"/>
      <c r="QA20" s="557"/>
      <c r="QB20" s="557"/>
      <c r="QC20" s="557"/>
      <c r="QD20" s="557"/>
      <c r="QE20" s="557"/>
      <c r="QF20" s="557"/>
      <c r="QG20" s="557"/>
      <c r="QH20" s="557"/>
      <c r="QI20" s="557"/>
      <c r="QJ20" s="557"/>
      <c r="QK20" s="557"/>
      <c r="QL20" s="557"/>
      <c r="QM20" s="557"/>
      <c r="QN20" s="557"/>
      <c r="QO20" s="557"/>
      <c r="QP20" s="557"/>
      <c r="QQ20" s="661"/>
      <c r="QR20" s="556"/>
      <c r="QS20" s="557"/>
      <c r="QT20" s="557"/>
      <c r="QU20" s="557"/>
      <c r="QV20" s="557"/>
      <c r="QW20" s="557"/>
      <c r="QX20" s="557"/>
      <c r="QY20" s="557"/>
      <c r="QZ20" s="557"/>
      <c r="RA20" s="557"/>
      <c r="RB20" s="557"/>
      <c r="RC20" s="557"/>
      <c r="RD20" s="557"/>
      <c r="RE20" s="557"/>
      <c r="RF20" s="557"/>
      <c r="RG20" s="557"/>
      <c r="RH20" s="557"/>
      <c r="RI20" s="557"/>
      <c r="RJ20" s="557"/>
      <c r="RK20" s="661"/>
      <c r="RL20" s="556"/>
      <c r="RM20" s="557"/>
      <c r="RN20" s="557"/>
      <c r="RO20" s="557"/>
      <c r="RP20" s="557"/>
      <c r="RQ20" s="557"/>
      <c r="RR20" s="557"/>
      <c r="RS20" s="557"/>
      <c r="RT20" s="557"/>
      <c r="RU20" s="557"/>
      <c r="RV20" s="557"/>
      <c r="RW20" s="557"/>
      <c r="RX20" s="557"/>
      <c r="RY20" s="557"/>
      <c r="RZ20" s="557"/>
      <c r="SA20" s="557"/>
      <c r="SB20" s="557"/>
      <c r="SC20" s="557"/>
      <c r="SD20" s="557"/>
      <c r="SE20" s="661"/>
      <c r="SF20" s="556"/>
      <c r="SG20" s="557"/>
      <c r="SH20" s="557"/>
      <c r="SI20" s="557"/>
      <c r="SJ20" s="557"/>
      <c r="SK20" s="557"/>
      <c r="SL20" s="557"/>
      <c r="SM20" s="557"/>
      <c r="SN20" s="557"/>
      <c r="SO20" s="557"/>
      <c r="SP20" s="557"/>
      <c r="SQ20" s="557"/>
      <c r="SR20" s="557"/>
      <c r="SS20" s="557"/>
      <c r="ST20" s="557"/>
      <c r="SU20" s="557"/>
      <c r="SV20" s="557"/>
      <c r="SW20" s="557"/>
      <c r="SX20" s="557"/>
      <c r="SY20" s="661"/>
      <c r="SZ20" s="556"/>
      <c r="TA20" s="557"/>
      <c r="TB20" s="557"/>
      <c r="TC20" s="557"/>
      <c r="TD20" s="557"/>
      <c r="TE20" s="557"/>
      <c r="TF20" s="557"/>
      <c r="TG20" s="557"/>
      <c r="TH20" s="557"/>
      <c r="TI20" s="557"/>
      <c r="TJ20" s="557"/>
      <c r="TK20" s="557"/>
      <c r="TL20" s="557"/>
      <c r="TM20" s="557"/>
      <c r="TN20" s="557"/>
      <c r="TO20" s="557"/>
      <c r="TP20" s="557"/>
      <c r="TQ20" s="557"/>
      <c r="TR20" s="557"/>
      <c r="TS20" s="661"/>
      <c r="TT20" s="556"/>
      <c r="TU20" s="557"/>
      <c r="TV20" s="557"/>
      <c r="TW20" s="557"/>
      <c r="TX20" s="557"/>
      <c r="TY20" s="557"/>
      <c r="TZ20" s="557"/>
      <c r="UA20" s="557"/>
      <c r="UB20" s="557"/>
      <c r="UC20" s="557"/>
      <c r="UD20" s="557"/>
      <c r="UE20" s="557"/>
      <c r="UF20" s="557"/>
      <c r="UG20" s="557"/>
      <c r="UH20" s="557"/>
      <c r="UI20" s="557"/>
      <c r="UJ20" s="557"/>
      <c r="UK20" s="557"/>
      <c r="UL20" s="557"/>
      <c r="UM20" s="661"/>
      <c r="UN20" s="556"/>
      <c r="UO20" s="557"/>
      <c r="UP20" s="557"/>
      <c r="UQ20" s="557"/>
      <c r="UR20" s="557"/>
      <c r="US20" s="557"/>
      <c r="UT20" s="557"/>
      <c r="UU20" s="557"/>
      <c r="UV20" s="557"/>
      <c r="UW20" s="557"/>
      <c r="UX20" s="557"/>
      <c r="UY20" s="557"/>
      <c r="UZ20" s="557"/>
      <c r="VA20" s="557"/>
      <c r="VB20" s="557"/>
      <c r="VC20" s="557"/>
      <c r="VD20" s="557"/>
      <c r="VE20" s="557"/>
      <c r="VF20" s="557"/>
      <c r="VG20" s="661"/>
      <c r="VH20" s="556"/>
      <c r="VI20" s="557"/>
      <c r="VJ20" s="557"/>
      <c r="VK20" s="557"/>
      <c r="VL20" s="557"/>
      <c r="VM20" s="557"/>
      <c r="VN20" s="557"/>
      <c r="VO20" s="557"/>
      <c r="VP20" s="557"/>
      <c r="VQ20" s="557"/>
      <c r="VR20" s="557"/>
      <c r="VS20" s="557"/>
      <c r="VT20" s="557"/>
      <c r="VU20" s="557"/>
      <c r="VV20" s="557"/>
      <c r="VW20" s="557"/>
      <c r="VX20" s="557"/>
      <c r="VY20" s="557"/>
      <c r="VZ20" s="557"/>
      <c r="WA20" s="661"/>
      <c r="WB20" s="556"/>
      <c r="WC20" s="557"/>
      <c r="WD20" s="557"/>
      <c r="WE20" s="557"/>
      <c r="WF20" s="557"/>
      <c r="WG20" s="557"/>
      <c r="WH20" s="557"/>
      <c r="WI20" s="557"/>
      <c r="WJ20" s="557"/>
      <c r="WK20" s="557"/>
      <c r="WL20" s="557"/>
      <c r="WM20" s="557"/>
      <c r="WN20" s="557"/>
      <c r="WO20" s="557"/>
      <c r="WP20" s="557"/>
      <c r="WQ20" s="557"/>
      <c r="WR20" s="557"/>
      <c r="WS20" s="557"/>
      <c r="WT20" s="557"/>
      <c r="WU20" s="661"/>
      <c r="WV20" s="556"/>
      <c r="WW20" s="557"/>
      <c r="WX20" s="557"/>
      <c r="WY20" s="557"/>
      <c r="WZ20" s="557"/>
      <c r="XA20" s="557"/>
      <c r="XB20" s="557"/>
      <c r="XC20" s="557"/>
      <c r="XD20" s="557"/>
      <c r="XE20" s="557"/>
      <c r="XF20" s="557"/>
      <c r="XG20" s="557"/>
      <c r="XH20" s="557"/>
      <c r="XI20" s="557"/>
      <c r="XJ20" s="557"/>
      <c r="XK20" s="557"/>
      <c r="XL20" s="557"/>
      <c r="XM20" s="557"/>
      <c r="XN20" s="557"/>
      <c r="XO20" s="661"/>
      <c r="XP20" s="556"/>
      <c r="XQ20" s="557"/>
      <c r="XR20" s="557"/>
      <c r="XS20" s="557"/>
      <c r="XT20" s="557"/>
      <c r="XU20" s="557"/>
      <c r="XV20" s="557"/>
      <c r="XW20" s="557"/>
      <c r="XX20" s="557"/>
      <c r="XY20" s="557"/>
      <c r="XZ20" s="557"/>
      <c r="YA20" s="557"/>
      <c r="YB20" s="557"/>
      <c r="YC20" s="557"/>
      <c r="YD20" s="557"/>
      <c r="YE20" s="557"/>
      <c r="YF20" s="557"/>
      <c r="YG20" s="557"/>
      <c r="YH20" s="557"/>
      <c r="YI20" s="661"/>
      <c r="YJ20" s="556"/>
      <c r="YK20" s="557"/>
      <c r="YL20" s="557"/>
      <c r="YM20" s="557"/>
      <c r="YN20" s="557"/>
      <c r="YO20" s="557"/>
      <c r="YP20" s="557"/>
      <c r="YQ20" s="557"/>
      <c r="YR20" s="557"/>
      <c r="YS20" s="557"/>
      <c r="YT20" s="557"/>
      <c r="YU20" s="557"/>
      <c r="YV20" s="557"/>
      <c r="YW20" s="557"/>
      <c r="YX20" s="557"/>
      <c r="YY20" s="557"/>
      <c r="YZ20" s="557"/>
      <c r="ZA20" s="557"/>
      <c r="ZB20" s="557"/>
      <c r="ZC20" s="661"/>
      <c r="ZD20" s="556"/>
      <c r="ZE20" s="557"/>
      <c r="ZF20" s="557"/>
      <c r="ZG20" s="557"/>
      <c r="ZH20" s="557"/>
      <c r="ZI20" s="557"/>
      <c r="ZJ20" s="557"/>
      <c r="ZK20" s="557"/>
      <c r="ZL20" s="557"/>
      <c r="ZM20" s="557"/>
      <c r="ZN20" s="557"/>
      <c r="ZO20" s="557"/>
      <c r="ZP20" s="557"/>
      <c r="ZQ20" s="557"/>
      <c r="ZR20" s="557"/>
      <c r="ZS20" s="557"/>
      <c r="ZT20" s="557"/>
      <c r="ZU20" s="557"/>
      <c r="ZV20" s="557"/>
      <c r="ZW20" s="661"/>
      <c r="ZX20" s="556"/>
      <c r="ZY20" s="557"/>
      <c r="ZZ20" s="557"/>
      <c r="AAA20" s="557"/>
      <c r="AAB20" s="557"/>
      <c r="AAC20" s="557"/>
      <c r="AAD20" s="557"/>
      <c r="AAE20" s="557"/>
      <c r="AAF20" s="557"/>
      <c r="AAG20" s="557"/>
      <c r="AAH20" s="557"/>
      <c r="AAI20" s="557"/>
      <c r="AAJ20" s="557"/>
      <c r="AAK20" s="557"/>
      <c r="AAL20" s="557"/>
      <c r="AAM20" s="557"/>
      <c r="AAN20" s="557"/>
      <c r="AAO20" s="557"/>
      <c r="AAP20" s="557"/>
      <c r="AAQ20" s="661"/>
      <c r="AAR20" s="556"/>
      <c r="AAS20" s="557"/>
      <c r="AAT20" s="557"/>
      <c r="AAU20" s="557"/>
      <c r="AAV20" s="557"/>
      <c r="AAW20" s="557"/>
      <c r="AAX20" s="557"/>
      <c r="AAY20" s="557"/>
      <c r="AAZ20" s="557"/>
      <c r="ABA20" s="557"/>
      <c r="ABB20" s="557"/>
      <c r="ABC20" s="557"/>
      <c r="ABD20" s="557"/>
      <c r="ABE20" s="557"/>
      <c r="ABF20" s="557"/>
      <c r="ABG20" s="557"/>
      <c r="ABH20" s="557"/>
      <c r="ABI20" s="557"/>
      <c r="ABJ20" s="557"/>
      <c r="ABK20" s="661"/>
      <c r="ABL20" s="556"/>
      <c r="ABM20" s="557"/>
      <c r="ABN20" s="557"/>
      <c r="ABO20" s="557"/>
      <c r="ABP20" s="557"/>
      <c r="ABQ20" s="557"/>
      <c r="ABR20" s="557"/>
      <c r="ABS20" s="557"/>
      <c r="ABT20" s="557"/>
      <c r="ABU20" s="557"/>
      <c r="ABV20" s="557"/>
      <c r="ABW20" s="557"/>
      <c r="ABX20" s="557"/>
      <c r="ABY20" s="557"/>
      <c r="ABZ20" s="557"/>
      <c r="ACA20" s="557"/>
      <c r="ACB20" s="557"/>
      <c r="ACC20" s="557"/>
      <c r="ACD20" s="557"/>
      <c r="ACE20" s="661"/>
      <c r="ACF20" s="556"/>
      <c r="ACG20" s="557"/>
      <c r="ACH20" s="557"/>
      <c r="ACI20" s="557"/>
      <c r="ACJ20" s="557"/>
      <c r="ACK20" s="557"/>
      <c r="ACL20" s="557"/>
      <c r="ACM20" s="557"/>
      <c r="ACN20" s="557"/>
      <c r="ACO20" s="557"/>
      <c r="ACP20" s="557"/>
      <c r="ACQ20" s="557"/>
      <c r="ACR20" s="557"/>
      <c r="ACS20" s="557"/>
      <c r="ACT20" s="557"/>
      <c r="ACU20" s="557"/>
      <c r="ACV20" s="557"/>
      <c r="ACW20" s="557"/>
      <c r="ACX20" s="557"/>
      <c r="ACY20" s="661"/>
      <c r="ACZ20" s="556"/>
      <c r="ADA20" s="557"/>
      <c r="ADB20" s="557"/>
      <c r="ADC20" s="557"/>
      <c r="ADD20" s="557"/>
      <c r="ADE20" s="557"/>
      <c r="ADF20" s="557"/>
      <c r="ADG20" s="557"/>
      <c r="ADH20" s="557"/>
      <c r="ADI20" s="557"/>
      <c r="ADJ20" s="557"/>
      <c r="ADK20" s="557"/>
      <c r="ADL20" s="557"/>
      <c r="ADM20" s="557"/>
      <c r="ADN20" s="557"/>
      <c r="ADO20" s="557"/>
      <c r="ADP20" s="557"/>
      <c r="ADQ20" s="557"/>
      <c r="ADR20" s="557"/>
      <c r="ADS20" s="661"/>
      <c r="ADT20" s="556"/>
      <c r="ADU20" s="557"/>
      <c r="ADV20" s="557"/>
      <c r="ADW20" s="557"/>
      <c r="ADX20" s="557"/>
      <c r="ADY20" s="557"/>
      <c r="ADZ20" s="557"/>
      <c r="AEA20" s="557"/>
      <c r="AEB20" s="557"/>
      <c r="AEC20" s="557"/>
      <c r="AED20" s="557"/>
      <c r="AEE20" s="557"/>
      <c r="AEF20" s="557"/>
      <c r="AEG20" s="557"/>
      <c r="AEH20" s="557"/>
      <c r="AEI20" s="557"/>
      <c r="AEJ20" s="557"/>
      <c r="AEK20" s="557"/>
      <c r="AEL20" s="557"/>
      <c r="AEM20" s="661"/>
      <c r="AEN20" s="556"/>
      <c r="AEO20" s="557"/>
      <c r="AEP20" s="557"/>
      <c r="AEQ20" s="557"/>
      <c r="AER20" s="557"/>
      <c r="AES20" s="557"/>
      <c r="AET20" s="557"/>
      <c r="AEU20" s="557"/>
      <c r="AEV20" s="557"/>
      <c r="AEW20" s="557"/>
      <c r="AEX20" s="557"/>
      <c r="AEY20" s="557"/>
      <c r="AEZ20" s="557"/>
      <c r="AFA20" s="557"/>
      <c r="AFB20" s="557"/>
      <c r="AFC20" s="557"/>
      <c r="AFD20" s="557"/>
      <c r="AFE20" s="557"/>
      <c r="AFF20" s="557"/>
      <c r="AFG20" s="661"/>
      <c r="AFH20" s="556"/>
      <c r="AFI20" s="557"/>
      <c r="AFJ20" s="557"/>
      <c r="AFK20" s="557"/>
      <c r="AFL20" s="557"/>
      <c r="AFM20" s="557"/>
      <c r="AFN20" s="557"/>
      <c r="AFO20" s="557"/>
      <c r="AFP20" s="557"/>
      <c r="AFQ20" s="557"/>
      <c r="AFR20" s="557"/>
      <c r="AFS20" s="557"/>
      <c r="AFT20" s="557"/>
      <c r="AFU20" s="557"/>
      <c r="AFV20" s="557"/>
      <c r="AFW20" s="557"/>
      <c r="AFX20" s="557"/>
      <c r="AFY20" s="557"/>
      <c r="AFZ20" s="557"/>
      <c r="AGA20" s="661"/>
      <c r="AGB20" s="556"/>
      <c r="AGC20" s="557"/>
      <c r="AGD20" s="557"/>
      <c r="AGE20" s="557"/>
      <c r="AGF20" s="557"/>
      <c r="AGG20" s="557"/>
      <c r="AGH20" s="557"/>
      <c r="AGI20" s="557"/>
      <c r="AGJ20" s="557"/>
      <c r="AGK20" s="557"/>
      <c r="AGL20" s="557"/>
      <c r="AGM20" s="557"/>
      <c r="AGN20" s="557"/>
      <c r="AGO20" s="557"/>
      <c r="AGP20" s="557"/>
      <c r="AGQ20" s="557"/>
      <c r="AGR20" s="557"/>
      <c r="AGS20" s="557"/>
      <c r="AGT20" s="557"/>
      <c r="AGU20" s="661"/>
      <c r="AGV20" s="556"/>
      <c r="AGW20" s="557"/>
      <c r="AGX20" s="557"/>
      <c r="AGY20" s="557"/>
      <c r="AGZ20" s="557"/>
      <c r="AHA20" s="557"/>
      <c r="AHB20" s="557"/>
      <c r="AHC20" s="557"/>
      <c r="AHD20" s="557"/>
      <c r="AHE20" s="557"/>
      <c r="AHF20" s="557"/>
      <c r="AHG20" s="557"/>
      <c r="AHH20" s="557"/>
      <c r="AHI20" s="557"/>
      <c r="AHJ20" s="557"/>
      <c r="AHK20" s="557"/>
      <c r="AHL20" s="557"/>
      <c r="AHM20" s="557"/>
      <c r="AHN20" s="557"/>
      <c r="AHO20" s="661"/>
      <c r="AHP20" s="556"/>
      <c r="AHQ20" s="557"/>
      <c r="AHR20" s="557"/>
      <c r="AHS20" s="557"/>
      <c r="AHT20" s="557"/>
      <c r="AHU20" s="557"/>
      <c r="AHV20" s="557"/>
      <c r="AHW20" s="557"/>
      <c r="AHX20" s="557"/>
      <c r="AHY20" s="557"/>
      <c r="AHZ20" s="557"/>
      <c r="AIA20" s="557"/>
      <c r="AIB20" s="557"/>
      <c r="AIC20" s="557"/>
      <c r="AID20" s="557"/>
      <c r="AIE20" s="557"/>
      <c r="AIF20" s="557"/>
      <c r="AIG20" s="557"/>
      <c r="AIH20" s="557"/>
      <c r="AII20" s="661"/>
      <c r="AIJ20" s="556"/>
      <c r="AIK20" s="557"/>
      <c r="AIL20" s="557"/>
      <c r="AIM20" s="557"/>
      <c r="AIN20" s="557"/>
      <c r="AIO20" s="557"/>
      <c r="AIP20" s="557"/>
      <c r="AIQ20" s="557"/>
      <c r="AIR20" s="557"/>
      <c r="AIS20" s="557"/>
      <c r="AIT20" s="557"/>
      <c r="AIU20" s="557"/>
      <c r="AIV20" s="557"/>
      <c r="AIW20" s="557"/>
      <c r="AIX20" s="557"/>
      <c r="AIY20" s="557"/>
      <c r="AIZ20" s="557"/>
      <c r="AJA20" s="557"/>
      <c r="AJB20" s="557"/>
      <c r="AJC20" s="661"/>
      <c r="AJD20" s="556"/>
      <c r="AJE20" s="557"/>
      <c r="AJF20" s="557"/>
      <c r="AJG20" s="557"/>
      <c r="AJH20" s="557"/>
      <c r="AJI20" s="557"/>
      <c r="AJJ20" s="557"/>
      <c r="AJK20" s="557"/>
      <c r="AJL20" s="557"/>
      <c r="AJM20" s="557"/>
      <c r="AJN20" s="557"/>
      <c r="AJO20" s="557"/>
      <c r="AJP20" s="557"/>
      <c r="AJQ20" s="557"/>
      <c r="AJR20" s="557"/>
      <c r="AJS20" s="557"/>
      <c r="AJT20" s="557"/>
      <c r="AJU20" s="557"/>
      <c r="AJV20" s="557"/>
      <c r="AJW20" s="661"/>
      <c r="AJX20" s="556"/>
      <c r="AJY20" s="557"/>
      <c r="AJZ20" s="557"/>
      <c r="AKA20" s="557"/>
      <c r="AKB20" s="557"/>
      <c r="AKC20" s="557"/>
      <c r="AKD20" s="557"/>
      <c r="AKE20" s="557"/>
      <c r="AKF20" s="557"/>
      <c r="AKG20" s="557"/>
      <c r="AKH20" s="557"/>
      <c r="AKI20" s="557"/>
      <c r="AKJ20" s="557"/>
      <c r="AKK20" s="557"/>
      <c r="AKL20" s="557"/>
      <c r="AKM20" s="557"/>
      <c r="AKN20" s="557"/>
      <c r="AKO20" s="557"/>
      <c r="AKP20" s="557"/>
      <c r="AKQ20" s="661"/>
      <c r="AKR20" s="556"/>
      <c r="AKS20" s="557"/>
      <c r="AKT20" s="557"/>
      <c r="AKU20" s="557"/>
      <c r="AKV20" s="557"/>
      <c r="AKW20" s="557"/>
      <c r="AKX20" s="557"/>
      <c r="AKY20" s="557"/>
      <c r="AKZ20" s="557"/>
      <c r="ALA20" s="557"/>
      <c r="ALB20" s="557"/>
      <c r="ALC20" s="557"/>
      <c r="ALD20" s="557"/>
      <c r="ALE20" s="557"/>
      <c r="ALF20" s="557"/>
      <c r="ALG20" s="557"/>
      <c r="ALH20" s="557"/>
      <c r="ALI20" s="557"/>
      <c r="ALJ20" s="557"/>
      <c r="ALK20" s="661"/>
      <c r="ALL20" s="556"/>
      <c r="ALM20" s="557"/>
      <c r="ALN20" s="557"/>
      <c r="ALO20" s="557"/>
      <c r="ALP20" s="557"/>
      <c r="ALQ20" s="557"/>
      <c r="ALR20" s="557"/>
      <c r="ALS20" s="557"/>
      <c r="ALT20" s="557"/>
      <c r="ALU20" s="557"/>
      <c r="ALV20" s="557"/>
      <c r="ALW20" s="557"/>
      <c r="ALX20" s="557"/>
      <c r="ALY20" s="557"/>
      <c r="ALZ20" s="557"/>
      <c r="AMA20" s="557"/>
      <c r="AMB20" s="557"/>
      <c r="AMC20" s="557"/>
      <c r="AMD20" s="557"/>
      <c r="AME20" s="661"/>
      <c r="AMF20" s="556"/>
      <c r="AMG20" s="557"/>
      <c r="AMH20" s="557"/>
      <c r="AMI20" s="557"/>
      <c r="AMJ20" s="557"/>
      <c r="AMK20" s="557"/>
      <c r="AML20" s="557"/>
      <c r="AMM20" s="557"/>
      <c r="AMN20" s="557"/>
      <c r="AMO20" s="557"/>
      <c r="AMP20" s="557"/>
      <c r="AMQ20" s="557"/>
      <c r="AMR20" s="557"/>
      <c r="AMS20" s="557"/>
      <c r="AMT20" s="557"/>
      <c r="AMU20" s="557"/>
      <c r="AMV20" s="557"/>
      <c r="AMW20" s="557"/>
      <c r="AMX20" s="557"/>
      <c r="AMY20" s="661"/>
      <c r="AMZ20" s="556"/>
      <c r="ANA20" s="557"/>
      <c r="ANB20" s="557"/>
      <c r="ANC20" s="557"/>
      <c r="AND20" s="557"/>
      <c r="ANE20" s="557"/>
      <c r="ANF20" s="557"/>
      <c r="ANG20" s="557"/>
      <c r="ANH20" s="557"/>
      <c r="ANI20" s="557"/>
      <c r="ANJ20" s="557"/>
      <c r="ANK20" s="557"/>
      <c r="ANL20" s="557"/>
      <c r="ANM20" s="557"/>
      <c r="ANN20" s="557"/>
      <c r="ANO20" s="557"/>
      <c r="ANP20" s="557"/>
      <c r="ANQ20" s="557"/>
      <c r="ANR20" s="557"/>
      <c r="ANS20" s="661"/>
      <c r="ANT20" s="556"/>
      <c r="ANU20" s="557"/>
      <c r="ANV20" s="557"/>
      <c r="ANW20" s="557"/>
      <c r="ANX20" s="557"/>
      <c r="ANY20" s="557"/>
      <c r="ANZ20" s="557"/>
      <c r="AOA20" s="557"/>
      <c r="AOB20" s="557"/>
      <c r="AOC20" s="557"/>
      <c r="AOD20" s="557"/>
      <c r="AOE20" s="557"/>
      <c r="AOF20" s="557"/>
      <c r="AOG20" s="557"/>
      <c r="AOH20" s="557"/>
      <c r="AOI20" s="557"/>
      <c r="AOJ20" s="557"/>
      <c r="AOK20" s="557"/>
      <c r="AOL20" s="557"/>
      <c r="AOM20" s="661"/>
      <c r="AON20" s="556"/>
      <c r="AOO20" s="557"/>
      <c r="AOP20" s="557"/>
      <c r="AOQ20" s="557"/>
      <c r="AOR20" s="557"/>
      <c r="AOS20" s="557"/>
      <c r="AOT20" s="557"/>
      <c r="AOU20" s="557"/>
      <c r="AOV20" s="557"/>
      <c r="AOW20" s="557"/>
      <c r="AOX20" s="557"/>
      <c r="AOY20" s="557"/>
      <c r="AOZ20" s="557"/>
      <c r="APA20" s="557"/>
      <c r="APB20" s="557"/>
      <c r="APC20" s="557"/>
      <c r="APD20" s="557"/>
      <c r="APE20" s="557"/>
      <c r="APF20" s="557"/>
      <c r="APG20" s="661"/>
      <c r="APH20" s="556"/>
      <c r="API20" s="557"/>
      <c r="APJ20" s="557"/>
      <c r="APK20" s="557"/>
      <c r="APL20" s="557"/>
      <c r="APM20" s="557"/>
      <c r="APN20" s="557"/>
      <c r="APO20" s="557"/>
      <c r="APP20" s="557"/>
      <c r="APQ20" s="557"/>
      <c r="APR20" s="557"/>
      <c r="APS20" s="557"/>
      <c r="APT20" s="557"/>
      <c r="APU20" s="557"/>
      <c r="APV20" s="557"/>
      <c r="APW20" s="557"/>
      <c r="APX20" s="557"/>
      <c r="APY20" s="557"/>
      <c r="APZ20" s="557"/>
      <c r="AQA20" s="661"/>
      <c r="AQB20" s="556"/>
      <c r="AQC20" s="557"/>
      <c r="AQD20" s="557"/>
      <c r="AQE20" s="557"/>
      <c r="AQF20" s="557"/>
      <c r="AQG20" s="557"/>
      <c r="AQH20" s="557"/>
      <c r="AQI20" s="557"/>
      <c r="AQJ20" s="557"/>
      <c r="AQK20" s="557"/>
      <c r="AQL20" s="557"/>
      <c r="AQM20" s="557"/>
      <c r="AQN20" s="557"/>
      <c r="AQO20" s="557"/>
      <c r="AQP20" s="557"/>
      <c r="AQQ20" s="557"/>
      <c r="AQR20" s="557"/>
      <c r="AQS20" s="557"/>
      <c r="AQT20" s="557"/>
      <c r="AQU20" s="661"/>
      <c r="AQV20" s="556"/>
      <c r="AQW20" s="557"/>
      <c r="AQX20" s="557"/>
      <c r="AQY20" s="557"/>
      <c r="AQZ20" s="557"/>
      <c r="ARA20" s="557"/>
      <c r="ARB20" s="557"/>
      <c r="ARC20" s="557"/>
      <c r="ARD20" s="557"/>
      <c r="ARE20" s="557"/>
      <c r="ARF20" s="557"/>
      <c r="ARG20" s="557"/>
      <c r="ARH20" s="557"/>
      <c r="ARI20" s="557"/>
      <c r="ARJ20" s="557"/>
      <c r="ARK20" s="557"/>
      <c r="ARL20" s="557"/>
      <c r="ARM20" s="557"/>
      <c r="ARN20" s="557"/>
      <c r="ARO20" s="661"/>
      <c r="ARP20" s="556"/>
      <c r="ARQ20" s="557"/>
      <c r="ARR20" s="557"/>
      <c r="ARS20" s="557"/>
      <c r="ART20" s="557"/>
      <c r="ARU20" s="557"/>
      <c r="ARV20" s="557"/>
      <c r="ARW20" s="557"/>
      <c r="ARX20" s="557"/>
      <c r="ARY20" s="557"/>
      <c r="ARZ20" s="557"/>
      <c r="ASA20" s="557"/>
      <c r="ASB20" s="557"/>
      <c r="ASC20" s="557"/>
      <c r="ASD20" s="557"/>
      <c r="ASE20" s="557"/>
      <c r="ASF20" s="557"/>
      <c r="ASG20" s="557"/>
      <c r="ASH20" s="557"/>
      <c r="ASI20" s="661"/>
      <c r="ASJ20" s="556"/>
      <c r="ASK20" s="557"/>
      <c r="ASL20" s="557"/>
      <c r="ASM20" s="557"/>
      <c r="ASN20" s="557"/>
      <c r="ASO20" s="557"/>
      <c r="ASP20" s="557"/>
      <c r="ASQ20" s="557"/>
      <c r="ASR20" s="557"/>
      <c r="ASS20" s="557"/>
      <c r="AST20" s="557"/>
      <c r="ASU20" s="557"/>
      <c r="ASV20" s="557"/>
      <c r="ASW20" s="557"/>
      <c r="ASX20" s="557"/>
      <c r="ASY20" s="557"/>
      <c r="ASZ20" s="557"/>
      <c r="ATA20" s="557"/>
      <c r="ATB20" s="557"/>
      <c r="ATC20" s="661"/>
      <c r="ATD20" s="556"/>
      <c r="ATE20" s="557"/>
      <c r="ATF20" s="557"/>
      <c r="ATG20" s="557"/>
      <c r="ATH20" s="557"/>
      <c r="ATI20" s="557"/>
      <c r="ATJ20" s="557"/>
      <c r="ATK20" s="557"/>
      <c r="ATL20" s="557"/>
      <c r="ATM20" s="557"/>
      <c r="ATN20" s="557"/>
      <c r="ATO20" s="557"/>
      <c r="ATP20" s="557"/>
      <c r="ATQ20" s="557"/>
      <c r="ATR20" s="557"/>
      <c r="ATS20" s="557"/>
      <c r="ATT20" s="557"/>
      <c r="ATU20" s="557"/>
      <c r="ATV20" s="557"/>
      <c r="ATW20" s="661"/>
      <c r="ATX20" s="556"/>
      <c r="ATY20" s="557"/>
      <c r="ATZ20" s="557"/>
      <c r="AUA20" s="557"/>
      <c r="AUB20" s="557"/>
      <c r="AUC20" s="557"/>
      <c r="AUD20" s="557"/>
      <c r="AUE20" s="557"/>
      <c r="AUF20" s="557"/>
      <c r="AUG20" s="557"/>
      <c r="AUH20" s="557"/>
      <c r="AUI20" s="557"/>
      <c r="AUJ20" s="557"/>
      <c r="AUK20" s="557"/>
      <c r="AUL20" s="557"/>
      <c r="AUM20" s="557"/>
      <c r="AUN20" s="557"/>
      <c r="AUO20" s="557"/>
      <c r="AUP20" s="557"/>
      <c r="AUQ20" s="661"/>
      <c r="AUR20" s="556"/>
      <c r="AUS20" s="557"/>
      <c r="AUT20" s="557"/>
      <c r="AUU20" s="557"/>
      <c r="AUV20" s="557"/>
      <c r="AUW20" s="557"/>
      <c r="AUX20" s="557"/>
      <c r="AUY20" s="557"/>
      <c r="AUZ20" s="557"/>
      <c r="AVA20" s="557"/>
      <c r="AVB20" s="557"/>
      <c r="AVC20" s="557"/>
      <c r="AVD20" s="557"/>
      <c r="AVE20" s="557"/>
      <c r="AVF20" s="557"/>
      <c r="AVG20" s="557"/>
      <c r="AVH20" s="557"/>
      <c r="AVI20" s="557"/>
      <c r="AVJ20" s="557"/>
      <c r="AVK20" s="661"/>
      <c r="AVL20" s="556"/>
      <c r="AVM20" s="557"/>
      <c r="AVN20" s="557"/>
      <c r="AVO20" s="557"/>
      <c r="AVP20" s="557"/>
      <c r="AVQ20" s="557"/>
      <c r="AVR20" s="557"/>
      <c r="AVS20" s="557"/>
      <c r="AVT20" s="557"/>
      <c r="AVU20" s="557"/>
      <c r="AVV20" s="557"/>
      <c r="AVW20" s="557"/>
      <c r="AVX20" s="557"/>
      <c r="AVY20" s="557"/>
      <c r="AVZ20" s="557"/>
      <c r="AWA20" s="557"/>
      <c r="AWB20" s="557"/>
      <c r="AWC20" s="557"/>
      <c r="AWD20" s="557"/>
      <c r="AWE20" s="661"/>
      <c r="AWF20" s="556"/>
      <c r="AWG20" s="557"/>
      <c r="AWH20" s="557"/>
      <c r="AWI20" s="557"/>
      <c r="AWJ20" s="557"/>
      <c r="AWK20" s="557"/>
      <c r="AWL20" s="557"/>
      <c r="AWM20" s="557"/>
      <c r="AWN20" s="557"/>
      <c r="AWO20" s="557"/>
      <c r="AWP20" s="557"/>
      <c r="AWQ20" s="557"/>
      <c r="AWR20" s="557"/>
      <c r="AWS20" s="557"/>
      <c r="AWT20" s="557"/>
      <c r="AWU20" s="557"/>
      <c r="AWV20" s="557"/>
      <c r="AWW20" s="557"/>
      <c r="AWX20" s="557"/>
      <c r="AWY20" s="661"/>
      <c r="AWZ20" s="556"/>
      <c r="AXA20" s="557"/>
      <c r="AXB20" s="557"/>
      <c r="AXC20" s="557"/>
      <c r="AXD20" s="557"/>
      <c r="AXE20" s="557"/>
      <c r="AXF20" s="557"/>
      <c r="AXG20" s="557"/>
      <c r="AXH20" s="557"/>
      <c r="AXI20" s="557"/>
      <c r="AXJ20" s="557"/>
      <c r="AXK20" s="557"/>
      <c r="AXL20" s="557"/>
      <c r="AXM20" s="557"/>
      <c r="AXN20" s="557"/>
      <c r="AXO20" s="557"/>
      <c r="AXP20" s="557"/>
      <c r="AXQ20" s="557"/>
      <c r="AXR20" s="557"/>
      <c r="AXS20" s="661"/>
      <c r="AXT20" s="556"/>
      <c r="AXU20" s="557"/>
      <c r="AXV20" s="557"/>
      <c r="AXW20" s="557"/>
      <c r="AXX20" s="557"/>
      <c r="AXY20" s="557"/>
      <c r="AXZ20" s="557"/>
      <c r="AYA20" s="557"/>
      <c r="AYB20" s="557"/>
      <c r="AYC20" s="557"/>
      <c r="AYD20" s="557"/>
      <c r="AYE20" s="557"/>
      <c r="AYF20" s="557"/>
      <c r="AYG20" s="557"/>
      <c r="AYH20" s="557"/>
      <c r="AYI20" s="557"/>
      <c r="AYJ20" s="557"/>
      <c r="AYK20" s="557"/>
      <c r="AYL20" s="557"/>
      <c r="AYM20" s="661"/>
      <c r="AYN20" s="556"/>
      <c r="AYO20" s="557"/>
      <c r="AYP20" s="557"/>
      <c r="AYQ20" s="557"/>
      <c r="AYR20" s="557"/>
      <c r="AYS20" s="557"/>
      <c r="AYT20" s="557"/>
      <c r="AYU20" s="557"/>
      <c r="AYV20" s="557"/>
      <c r="AYW20" s="557"/>
      <c r="AYX20" s="557"/>
      <c r="AYY20" s="557"/>
      <c r="AYZ20" s="557"/>
      <c r="AZA20" s="557"/>
      <c r="AZB20" s="557"/>
      <c r="AZC20" s="557"/>
      <c r="AZD20" s="557"/>
      <c r="AZE20" s="557"/>
      <c r="AZF20" s="557"/>
      <c r="AZG20" s="661"/>
      <c r="AZH20" s="556"/>
      <c r="AZI20" s="557"/>
      <c r="AZJ20" s="557"/>
      <c r="AZK20" s="557"/>
      <c r="AZL20" s="557"/>
      <c r="AZM20" s="557"/>
      <c r="AZN20" s="557"/>
      <c r="AZO20" s="557"/>
      <c r="AZP20" s="557"/>
      <c r="AZQ20" s="557"/>
      <c r="AZR20" s="557"/>
      <c r="AZS20" s="557"/>
      <c r="AZT20" s="557"/>
      <c r="AZU20" s="557"/>
      <c r="AZV20" s="557"/>
      <c r="AZW20" s="557"/>
      <c r="AZX20" s="557"/>
      <c r="AZY20" s="557"/>
      <c r="AZZ20" s="557"/>
      <c r="BAA20" s="661"/>
      <c r="BAB20" s="556"/>
      <c r="BAC20" s="557"/>
      <c r="BAD20" s="557"/>
      <c r="BAE20" s="557"/>
      <c r="BAF20" s="557"/>
      <c r="BAG20" s="557"/>
      <c r="BAH20" s="557"/>
      <c r="BAI20" s="557"/>
      <c r="BAJ20" s="557"/>
      <c r="BAK20" s="557"/>
      <c r="BAL20" s="557"/>
      <c r="BAM20" s="557"/>
      <c r="BAN20" s="557"/>
      <c r="BAO20" s="557"/>
      <c r="BAP20" s="557"/>
      <c r="BAQ20" s="557"/>
      <c r="BAR20" s="557"/>
      <c r="BAS20" s="557"/>
      <c r="BAT20" s="557"/>
      <c r="BAU20" s="661"/>
      <c r="BAV20" s="556"/>
      <c r="BAW20" s="557"/>
      <c r="BAX20" s="557"/>
      <c r="BAY20" s="557"/>
      <c r="BAZ20" s="557"/>
      <c r="BBA20" s="557"/>
      <c r="BBB20" s="557"/>
      <c r="BBC20" s="557"/>
      <c r="BBD20" s="557"/>
      <c r="BBE20" s="557"/>
      <c r="BBF20" s="557"/>
      <c r="BBG20" s="557"/>
      <c r="BBH20" s="557"/>
      <c r="BBI20" s="557"/>
      <c r="BBJ20" s="557"/>
      <c r="BBK20" s="557"/>
      <c r="BBL20" s="557"/>
      <c r="BBM20" s="557"/>
      <c r="BBN20" s="557"/>
      <c r="BBO20" s="661"/>
      <c r="BBP20" s="556"/>
      <c r="BBQ20" s="557"/>
      <c r="BBR20" s="557"/>
      <c r="BBS20" s="557"/>
      <c r="BBT20" s="557"/>
      <c r="BBU20" s="557"/>
      <c r="BBV20" s="557"/>
      <c r="BBW20" s="557"/>
      <c r="BBX20" s="557"/>
      <c r="BBY20" s="557"/>
      <c r="BBZ20" s="557"/>
      <c r="BCA20" s="557"/>
      <c r="BCB20" s="557"/>
      <c r="BCC20" s="557"/>
      <c r="BCD20" s="557"/>
      <c r="BCE20" s="557"/>
      <c r="BCF20" s="557"/>
      <c r="BCG20" s="557"/>
      <c r="BCH20" s="557"/>
      <c r="BCI20" s="661"/>
      <c r="BCJ20" s="556"/>
      <c r="BCK20" s="557"/>
      <c r="BCL20" s="557"/>
      <c r="BCM20" s="557"/>
      <c r="BCN20" s="557"/>
      <c r="BCO20" s="557"/>
      <c r="BCP20" s="557"/>
      <c r="BCQ20" s="557"/>
      <c r="BCR20" s="557"/>
      <c r="BCS20" s="557"/>
      <c r="BCT20" s="557"/>
      <c r="BCU20" s="557"/>
      <c r="BCV20" s="557"/>
      <c r="BCW20" s="557"/>
      <c r="BCX20" s="557"/>
      <c r="BCY20" s="557"/>
      <c r="BCZ20" s="557"/>
      <c r="BDA20" s="557"/>
      <c r="BDB20" s="557"/>
      <c r="BDC20" s="661"/>
      <c r="BDD20" s="556"/>
      <c r="BDE20" s="557"/>
      <c r="BDF20" s="557"/>
      <c r="BDG20" s="557"/>
      <c r="BDH20" s="557"/>
      <c r="BDI20" s="557"/>
      <c r="BDJ20" s="557"/>
      <c r="BDK20" s="557"/>
      <c r="BDL20" s="557"/>
      <c r="BDM20" s="557"/>
      <c r="BDN20" s="557"/>
      <c r="BDO20" s="557"/>
      <c r="BDP20" s="557"/>
      <c r="BDQ20" s="557"/>
      <c r="BDR20" s="557"/>
      <c r="BDS20" s="557"/>
      <c r="BDT20" s="557"/>
      <c r="BDU20" s="557"/>
      <c r="BDV20" s="557"/>
      <c r="BDW20" s="661"/>
      <c r="BDX20" s="556"/>
      <c r="BDY20" s="557"/>
      <c r="BDZ20" s="557"/>
      <c r="BEA20" s="557"/>
      <c r="BEB20" s="557"/>
      <c r="BEC20" s="557"/>
      <c r="BED20" s="557"/>
      <c r="BEE20" s="557"/>
      <c r="BEF20" s="557"/>
      <c r="BEG20" s="557"/>
      <c r="BEH20" s="557"/>
      <c r="BEI20" s="557"/>
      <c r="BEJ20" s="557"/>
      <c r="BEK20" s="557"/>
      <c r="BEL20" s="557"/>
      <c r="BEM20" s="557"/>
      <c r="BEN20" s="557"/>
      <c r="BEO20" s="557"/>
      <c r="BEP20" s="557"/>
      <c r="BEQ20" s="661"/>
      <c r="BER20" s="556"/>
      <c r="BES20" s="557"/>
      <c r="BET20" s="557"/>
      <c r="BEU20" s="557"/>
      <c r="BEV20" s="557"/>
      <c r="BEW20" s="557"/>
      <c r="BEX20" s="557"/>
      <c r="BEY20" s="557"/>
      <c r="BEZ20" s="557"/>
      <c r="BFA20" s="557"/>
      <c r="BFB20" s="557"/>
      <c r="BFC20" s="557"/>
      <c r="BFD20" s="557"/>
      <c r="BFE20" s="557"/>
      <c r="BFF20" s="557"/>
      <c r="BFG20" s="557"/>
      <c r="BFH20" s="557"/>
      <c r="BFI20" s="557"/>
      <c r="BFJ20" s="557"/>
      <c r="BFK20" s="661"/>
      <c r="BFL20" s="556"/>
      <c r="BFM20" s="557"/>
      <c r="BFN20" s="557"/>
      <c r="BFO20" s="557"/>
      <c r="BFP20" s="557"/>
      <c r="BFQ20" s="557"/>
      <c r="BFR20" s="557"/>
      <c r="BFS20" s="557"/>
      <c r="BFT20" s="557"/>
      <c r="BFU20" s="557"/>
      <c r="BFV20" s="557"/>
      <c r="BFW20" s="557"/>
      <c r="BFX20" s="557"/>
      <c r="BFY20" s="557"/>
      <c r="BFZ20" s="557"/>
      <c r="BGA20" s="557"/>
      <c r="BGB20" s="557"/>
      <c r="BGC20" s="557"/>
      <c r="BGD20" s="557"/>
      <c r="BGE20" s="661"/>
      <c r="BGF20" s="556"/>
      <c r="BGG20" s="557"/>
      <c r="BGH20" s="557"/>
      <c r="BGI20" s="557"/>
      <c r="BGJ20" s="557"/>
      <c r="BGK20" s="557"/>
      <c r="BGL20" s="557"/>
      <c r="BGM20" s="557"/>
      <c r="BGN20" s="557"/>
      <c r="BGO20" s="557"/>
      <c r="BGP20" s="557"/>
      <c r="BGQ20" s="557"/>
      <c r="BGR20" s="557"/>
      <c r="BGS20" s="557"/>
      <c r="BGT20" s="557"/>
      <c r="BGU20" s="557"/>
      <c r="BGV20" s="557"/>
      <c r="BGW20" s="557"/>
      <c r="BGX20" s="557"/>
      <c r="BGY20" s="661"/>
      <c r="BGZ20" s="556"/>
      <c r="BHA20" s="557"/>
      <c r="BHB20" s="557"/>
      <c r="BHC20" s="557"/>
      <c r="BHD20" s="557"/>
      <c r="BHE20" s="557"/>
      <c r="BHF20" s="557"/>
      <c r="BHG20" s="557"/>
      <c r="BHH20" s="557"/>
      <c r="BHI20" s="557"/>
      <c r="BHJ20" s="557"/>
      <c r="BHK20" s="557"/>
      <c r="BHL20" s="557"/>
      <c r="BHM20" s="557"/>
      <c r="BHN20" s="557"/>
      <c r="BHO20" s="557"/>
      <c r="BHP20" s="557"/>
      <c r="BHQ20" s="557"/>
      <c r="BHR20" s="557"/>
      <c r="BHS20" s="661"/>
      <c r="BHT20" s="556"/>
      <c r="BHU20" s="557"/>
      <c r="BHV20" s="557"/>
      <c r="BHW20" s="557"/>
      <c r="BHX20" s="557"/>
      <c r="BHY20" s="557"/>
      <c r="BHZ20" s="557"/>
      <c r="BIA20" s="557"/>
      <c r="BIB20" s="557"/>
      <c r="BIC20" s="557"/>
      <c r="BID20" s="557"/>
      <c r="BIE20" s="557"/>
      <c r="BIF20" s="557"/>
      <c r="BIG20" s="557"/>
      <c r="BIH20" s="557"/>
      <c r="BII20" s="557"/>
      <c r="BIJ20" s="557"/>
      <c r="BIK20" s="557"/>
      <c r="BIL20" s="557"/>
      <c r="BIM20" s="661"/>
      <c r="BIN20" s="556"/>
      <c r="BIO20" s="557"/>
      <c r="BIP20" s="557"/>
      <c r="BIQ20" s="557"/>
      <c r="BIR20" s="557"/>
      <c r="BIS20" s="557"/>
      <c r="BIT20" s="557"/>
      <c r="BIU20" s="557"/>
      <c r="BIV20" s="557"/>
      <c r="BIW20" s="557"/>
      <c r="BIX20" s="557"/>
      <c r="BIY20" s="557"/>
      <c r="BIZ20" s="557"/>
      <c r="BJA20" s="557"/>
      <c r="BJB20" s="557"/>
      <c r="BJC20" s="557"/>
      <c r="BJD20" s="557"/>
      <c r="BJE20" s="557"/>
      <c r="BJF20" s="557"/>
      <c r="BJG20" s="661"/>
      <c r="BJH20" s="556"/>
      <c r="BJI20" s="557"/>
      <c r="BJJ20" s="557"/>
      <c r="BJK20" s="557"/>
      <c r="BJL20" s="557"/>
      <c r="BJM20" s="557"/>
      <c r="BJN20" s="557"/>
      <c r="BJO20" s="557"/>
      <c r="BJP20" s="557"/>
      <c r="BJQ20" s="557"/>
      <c r="BJR20" s="557"/>
      <c r="BJS20" s="557"/>
      <c r="BJT20" s="557"/>
      <c r="BJU20" s="557"/>
      <c r="BJV20" s="557"/>
      <c r="BJW20" s="557"/>
      <c r="BJX20" s="557"/>
      <c r="BJY20" s="557"/>
      <c r="BJZ20" s="557"/>
      <c r="BKA20" s="661"/>
      <c r="BKB20" s="556"/>
      <c r="BKC20" s="557"/>
      <c r="BKD20" s="557"/>
      <c r="BKE20" s="557"/>
      <c r="BKF20" s="557"/>
      <c r="BKG20" s="557"/>
      <c r="BKH20" s="557"/>
      <c r="BKI20" s="557"/>
      <c r="BKJ20" s="557"/>
      <c r="BKK20" s="557"/>
      <c r="BKL20" s="557"/>
      <c r="BKM20" s="557"/>
      <c r="BKN20" s="557"/>
      <c r="BKO20" s="557"/>
      <c r="BKP20" s="557"/>
      <c r="BKQ20" s="557"/>
      <c r="BKR20" s="557"/>
      <c r="BKS20" s="557"/>
      <c r="BKT20" s="557"/>
      <c r="BKU20" s="661"/>
      <c r="BKV20" s="556"/>
      <c r="BKW20" s="557"/>
      <c r="BKX20" s="557"/>
      <c r="BKY20" s="557"/>
      <c r="BKZ20" s="557"/>
      <c r="BLA20" s="557"/>
      <c r="BLB20" s="557"/>
      <c r="BLC20" s="557"/>
      <c r="BLD20" s="557"/>
      <c r="BLE20" s="557"/>
      <c r="BLF20" s="557"/>
      <c r="BLG20" s="557"/>
      <c r="BLH20" s="557"/>
      <c r="BLI20" s="557"/>
      <c r="BLJ20" s="557"/>
      <c r="BLK20" s="557"/>
      <c r="BLL20" s="557"/>
      <c r="BLM20" s="557"/>
      <c r="BLN20" s="557"/>
      <c r="BLO20" s="661"/>
      <c r="BLP20" s="556"/>
      <c r="BLQ20" s="557"/>
      <c r="BLR20" s="557"/>
      <c r="BLS20" s="557"/>
      <c r="BLT20" s="557"/>
      <c r="BLU20" s="557"/>
      <c r="BLV20" s="557"/>
      <c r="BLW20" s="557"/>
      <c r="BLX20" s="557"/>
      <c r="BLY20" s="557"/>
      <c r="BLZ20" s="557"/>
      <c r="BMA20" s="557"/>
      <c r="BMB20" s="557"/>
      <c r="BMC20" s="557"/>
      <c r="BMD20" s="557"/>
      <c r="BME20" s="557"/>
      <c r="BMF20" s="557"/>
      <c r="BMG20" s="557"/>
      <c r="BMH20" s="557"/>
      <c r="BMI20" s="661"/>
      <c r="BMJ20" s="556"/>
      <c r="BMK20" s="557"/>
      <c r="BML20" s="557"/>
      <c r="BMM20" s="557"/>
      <c r="BMN20" s="557"/>
      <c r="BMO20" s="557"/>
      <c r="BMP20" s="557"/>
      <c r="BMQ20" s="557"/>
      <c r="BMR20" s="557"/>
      <c r="BMS20" s="557"/>
      <c r="BMT20" s="557"/>
      <c r="BMU20" s="557"/>
      <c r="BMV20" s="557"/>
      <c r="BMW20" s="557"/>
      <c r="BMX20" s="557"/>
      <c r="BMY20" s="557"/>
      <c r="BMZ20" s="557"/>
      <c r="BNA20" s="557"/>
      <c r="BNB20" s="557"/>
      <c r="BNC20" s="661"/>
      <c r="BND20" s="556"/>
      <c r="BNE20" s="557"/>
      <c r="BNF20" s="557"/>
      <c r="BNG20" s="557"/>
      <c r="BNH20" s="557"/>
      <c r="BNI20" s="557"/>
      <c r="BNJ20" s="557"/>
      <c r="BNK20" s="557"/>
      <c r="BNL20" s="557"/>
      <c r="BNM20" s="557"/>
      <c r="BNN20" s="557"/>
      <c r="BNO20" s="557"/>
      <c r="BNP20" s="557"/>
      <c r="BNQ20" s="557"/>
      <c r="BNR20" s="557"/>
      <c r="BNS20" s="557"/>
      <c r="BNT20" s="557"/>
      <c r="BNU20" s="557"/>
      <c r="BNV20" s="557"/>
      <c r="BNW20" s="661"/>
      <c r="BNX20" s="556"/>
      <c r="BNY20" s="557"/>
      <c r="BNZ20" s="557"/>
      <c r="BOA20" s="557"/>
      <c r="BOB20" s="557"/>
      <c r="BOC20" s="557"/>
      <c r="BOD20" s="557"/>
      <c r="BOE20" s="557"/>
      <c r="BOF20" s="557"/>
      <c r="BOG20" s="557"/>
      <c r="BOH20" s="557"/>
      <c r="BOI20" s="557"/>
      <c r="BOJ20" s="557"/>
      <c r="BOK20" s="557"/>
      <c r="BOL20" s="557"/>
      <c r="BOM20" s="557"/>
      <c r="BON20" s="557"/>
      <c r="BOO20" s="557"/>
      <c r="BOP20" s="557"/>
      <c r="BOQ20" s="661"/>
      <c r="BOR20" s="556"/>
      <c r="BOS20" s="557"/>
      <c r="BOT20" s="557"/>
      <c r="BOU20" s="557"/>
      <c r="BOV20" s="557"/>
      <c r="BOW20" s="557"/>
      <c r="BOX20" s="557"/>
      <c r="BOY20" s="557"/>
      <c r="BOZ20" s="557"/>
      <c r="BPA20" s="557"/>
      <c r="BPB20" s="557"/>
      <c r="BPC20" s="557"/>
      <c r="BPD20" s="557"/>
      <c r="BPE20" s="557"/>
      <c r="BPF20" s="557"/>
      <c r="BPG20" s="557"/>
      <c r="BPH20" s="557"/>
      <c r="BPI20" s="557"/>
      <c r="BPJ20" s="557"/>
      <c r="BPK20" s="661"/>
      <c r="BPL20" s="556"/>
      <c r="BPM20" s="557"/>
      <c r="BPN20" s="557"/>
      <c r="BPO20" s="557"/>
      <c r="BPP20" s="557"/>
      <c r="BPQ20" s="557"/>
      <c r="BPR20" s="557"/>
      <c r="BPS20" s="557"/>
      <c r="BPT20" s="557"/>
      <c r="BPU20" s="557"/>
      <c r="BPV20" s="557"/>
      <c r="BPW20" s="557"/>
      <c r="BPX20" s="557"/>
      <c r="BPY20" s="557"/>
      <c r="BPZ20" s="557"/>
      <c r="BQA20" s="557"/>
      <c r="BQB20" s="557"/>
      <c r="BQC20" s="557"/>
      <c r="BQD20" s="557"/>
      <c r="BQE20" s="661"/>
      <c r="BQF20" s="556"/>
      <c r="BQG20" s="557"/>
      <c r="BQH20" s="557"/>
      <c r="BQI20" s="557"/>
      <c r="BQJ20" s="557"/>
      <c r="BQK20" s="557"/>
      <c r="BQL20" s="557"/>
      <c r="BQM20" s="557"/>
      <c r="BQN20" s="557"/>
      <c r="BQO20" s="557"/>
      <c r="BQP20" s="557"/>
      <c r="BQQ20" s="557"/>
      <c r="BQR20" s="557"/>
      <c r="BQS20" s="557"/>
      <c r="BQT20" s="557"/>
      <c r="BQU20" s="557"/>
      <c r="BQV20" s="557"/>
      <c r="BQW20" s="557"/>
      <c r="BQX20" s="557"/>
      <c r="BQY20" s="661"/>
      <c r="BQZ20" s="556"/>
      <c r="BRA20" s="557"/>
      <c r="BRB20" s="557"/>
      <c r="BRC20" s="557"/>
      <c r="BRD20" s="557"/>
      <c r="BRE20" s="557"/>
      <c r="BRF20" s="557"/>
      <c r="BRG20" s="557"/>
      <c r="BRH20" s="557"/>
      <c r="BRI20" s="557"/>
      <c r="BRJ20" s="557"/>
      <c r="BRK20" s="557"/>
      <c r="BRL20" s="557"/>
      <c r="BRM20" s="557"/>
      <c r="BRN20" s="557"/>
      <c r="BRO20" s="557"/>
      <c r="BRP20" s="557"/>
      <c r="BRQ20" s="557"/>
      <c r="BRR20" s="557"/>
      <c r="BRS20" s="661"/>
      <c r="BRT20" s="556"/>
      <c r="BRU20" s="557"/>
      <c r="BRV20" s="557"/>
      <c r="BRW20" s="557"/>
      <c r="BRX20" s="557"/>
      <c r="BRY20" s="557"/>
      <c r="BRZ20" s="557"/>
      <c r="BSA20" s="557"/>
      <c r="BSB20" s="557"/>
      <c r="BSC20" s="557"/>
      <c r="BSD20" s="557"/>
      <c r="BSE20" s="557"/>
      <c r="BSF20" s="557"/>
      <c r="BSG20" s="557"/>
      <c r="BSH20" s="557"/>
      <c r="BSI20" s="557"/>
      <c r="BSJ20" s="557"/>
      <c r="BSK20" s="557"/>
      <c r="BSL20" s="557"/>
      <c r="BSM20" s="661"/>
      <c r="BSN20" s="556"/>
      <c r="BSO20" s="557"/>
      <c r="BSP20" s="557"/>
      <c r="BSQ20" s="557"/>
      <c r="BSR20" s="557"/>
      <c r="BSS20" s="557"/>
      <c r="BST20" s="557"/>
      <c r="BSU20" s="557"/>
      <c r="BSV20" s="557"/>
      <c r="BSW20" s="557"/>
      <c r="BSX20" s="557"/>
      <c r="BSY20" s="557"/>
      <c r="BSZ20" s="557"/>
      <c r="BTA20" s="557"/>
      <c r="BTB20" s="557"/>
      <c r="BTC20" s="557"/>
      <c r="BTD20" s="557"/>
      <c r="BTE20" s="557"/>
      <c r="BTF20" s="557"/>
      <c r="BTG20" s="661"/>
      <c r="BTH20" s="556"/>
      <c r="BTI20" s="557"/>
      <c r="BTJ20" s="557"/>
      <c r="BTK20" s="557"/>
      <c r="BTL20" s="557"/>
      <c r="BTM20" s="557"/>
      <c r="BTN20" s="557"/>
      <c r="BTO20" s="557"/>
      <c r="BTP20" s="557"/>
      <c r="BTQ20" s="557"/>
      <c r="BTR20" s="557"/>
      <c r="BTS20" s="557"/>
      <c r="BTT20" s="557"/>
      <c r="BTU20" s="557"/>
      <c r="BTV20" s="557"/>
      <c r="BTW20" s="557"/>
      <c r="BTX20" s="557"/>
      <c r="BTY20" s="557"/>
      <c r="BTZ20" s="557"/>
      <c r="BUA20" s="661"/>
      <c r="BUB20" s="556"/>
      <c r="BUC20" s="557"/>
      <c r="BUD20" s="557"/>
      <c r="BUE20" s="557"/>
      <c r="BUF20" s="557"/>
      <c r="BUG20" s="557"/>
      <c r="BUH20" s="557"/>
      <c r="BUI20" s="557"/>
      <c r="BUJ20" s="557"/>
      <c r="BUK20" s="557"/>
      <c r="BUL20" s="557"/>
      <c r="BUM20" s="557"/>
      <c r="BUN20" s="557"/>
      <c r="BUO20" s="557"/>
      <c r="BUP20" s="557"/>
      <c r="BUQ20" s="557"/>
      <c r="BUR20" s="557"/>
      <c r="BUS20" s="557"/>
      <c r="BUT20" s="557"/>
      <c r="BUU20" s="661"/>
      <c r="BUV20" s="556"/>
      <c r="BUW20" s="557"/>
      <c r="BUX20" s="557"/>
      <c r="BUY20" s="557"/>
      <c r="BUZ20" s="557"/>
      <c r="BVA20" s="557"/>
      <c r="BVB20" s="557"/>
      <c r="BVC20" s="557"/>
      <c r="BVD20" s="557"/>
      <c r="BVE20" s="557"/>
      <c r="BVF20" s="557"/>
      <c r="BVG20" s="557"/>
      <c r="BVH20" s="557"/>
      <c r="BVI20" s="557"/>
      <c r="BVJ20" s="557"/>
      <c r="BVK20" s="557"/>
      <c r="BVL20" s="557"/>
      <c r="BVM20" s="557"/>
      <c r="BVN20" s="557"/>
      <c r="BVO20" s="661"/>
      <c r="BVP20" s="556"/>
      <c r="BVQ20" s="557"/>
      <c r="BVR20" s="557"/>
      <c r="BVS20" s="557"/>
      <c r="BVT20" s="557"/>
      <c r="BVU20" s="557"/>
      <c r="BVV20" s="557"/>
      <c r="BVW20" s="557"/>
      <c r="BVX20" s="557"/>
      <c r="BVY20" s="557"/>
      <c r="BVZ20" s="557"/>
      <c r="BWA20" s="557"/>
      <c r="BWB20" s="557"/>
      <c r="BWC20" s="557"/>
      <c r="BWD20" s="557"/>
      <c r="BWE20" s="557"/>
      <c r="BWF20" s="557"/>
      <c r="BWG20" s="557"/>
      <c r="BWH20" s="557"/>
      <c r="BWI20" s="661"/>
      <c r="BWJ20" s="556"/>
      <c r="BWK20" s="557"/>
      <c r="BWL20" s="557"/>
      <c r="BWM20" s="557"/>
      <c r="BWN20" s="557"/>
      <c r="BWO20" s="557"/>
      <c r="BWP20" s="557"/>
      <c r="BWQ20" s="557"/>
      <c r="BWR20" s="557"/>
      <c r="BWS20" s="557"/>
      <c r="BWT20" s="557"/>
      <c r="BWU20" s="557"/>
      <c r="BWV20" s="557"/>
      <c r="BWW20" s="557"/>
      <c r="BWX20" s="557"/>
      <c r="BWY20" s="557"/>
      <c r="BWZ20" s="557"/>
      <c r="BXA20" s="557"/>
      <c r="BXB20" s="557"/>
      <c r="BXC20" s="661"/>
      <c r="BXD20" s="556"/>
      <c r="BXE20" s="557"/>
      <c r="BXF20" s="557"/>
      <c r="BXG20" s="557"/>
      <c r="BXH20" s="557"/>
      <c r="BXI20" s="557"/>
      <c r="BXJ20" s="557"/>
      <c r="BXK20" s="557"/>
      <c r="BXL20" s="557"/>
      <c r="BXM20" s="557"/>
      <c r="BXN20" s="557"/>
      <c r="BXO20" s="557"/>
      <c r="BXP20" s="557"/>
      <c r="BXQ20" s="557"/>
      <c r="BXR20" s="557"/>
      <c r="BXS20" s="557"/>
      <c r="BXT20" s="557"/>
      <c r="BXU20" s="557"/>
      <c r="BXV20" s="557"/>
      <c r="BXW20" s="661"/>
      <c r="BXX20" s="556"/>
      <c r="BXY20" s="557"/>
      <c r="BXZ20" s="557"/>
      <c r="BYA20" s="557"/>
      <c r="BYB20" s="557"/>
      <c r="BYC20" s="557"/>
      <c r="BYD20" s="557"/>
      <c r="BYE20" s="557"/>
      <c r="BYF20" s="557"/>
      <c r="BYG20" s="557"/>
      <c r="BYH20" s="557"/>
      <c r="BYI20" s="557"/>
      <c r="BYJ20" s="557"/>
      <c r="BYK20" s="557"/>
      <c r="BYL20" s="557"/>
      <c r="BYM20" s="557"/>
      <c r="BYN20" s="557"/>
      <c r="BYO20" s="557"/>
      <c r="BYP20" s="557"/>
      <c r="BYQ20" s="661"/>
      <c r="BYR20" s="556"/>
      <c r="BYS20" s="557"/>
      <c r="BYT20" s="557"/>
      <c r="BYU20" s="557"/>
      <c r="BYV20" s="557"/>
      <c r="BYW20" s="557"/>
      <c r="BYX20" s="557"/>
      <c r="BYY20" s="557"/>
      <c r="BYZ20" s="557"/>
      <c r="BZA20" s="557"/>
      <c r="BZB20" s="557"/>
      <c r="BZC20" s="557"/>
      <c r="BZD20" s="557"/>
      <c r="BZE20" s="557"/>
      <c r="BZF20" s="557"/>
      <c r="BZG20" s="557"/>
      <c r="BZH20" s="557"/>
      <c r="BZI20" s="557"/>
      <c r="BZJ20" s="557"/>
      <c r="BZK20" s="661"/>
      <c r="BZL20" s="556"/>
      <c r="BZM20" s="557"/>
      <c r="BZN20" s="557"/>
      <c r="BZO20" s="557"/>
      <c r="BZP20" s="557"/>
      <c r="BZQ20" s="557"/>
      <c r="BZR20" s="557"/>
      <c r="BZS20" s="557"/>
      <c r="BZT20" s="557"/>
      <c r="BZU20" s="557"/>
      <c r="BZV20" s="557"/>
      <c r="BZW20" s="557"/>
      <c r="BZX20" s="557"/>
      <c r="BZY20" s="557"/>
      <c r="BZZ20" s="557"/>
      <c r="CAA20" s="557"/>
      <c r="CAB20" s="557"/>
      <c r="CAC20" s="557"/>
      <c r="CAD20" s="557"/>
      <c r="CAE20" s="661"/>
      <c r="CAF20" s="556"/>
      <c r="CAG20" s="557"/>
      <c r="CAH20" s="557"/>
      <c r="CAI20" s="557"/>
      <c r="CAJ20" s="557"/>
      <c r="CAK20" s="557"/>
      <c r="CAL20" s="557"/>
      <c r="CAM20" s="557"/>
      <c r="CAN20" s="557"/>
      <c r="CAO20" s="557"/>
      <c r="CAP20" s="557"/>
      <c r="CAQ20" s="557"/>
      <c r="CAR20" s="557"/>
      <c r="CAS20" s="557"/>
      <c r="CAT20" s="557"/>
      <c r="CAU20" s="557"/>
      <c r="CAV20" s="557"/>
      <c r="CAW20" s="557"/>
      <c r="CAX20" s="557"/>
      <c r="CAY20" s="661"/>
      <c r="CAZ20" s="556"/>
      <c r="CBA20" s="557"/>
      <c r="CBB20" s="557"/>
      <c r="CBC20" s="557"/>
      <c r="CBD20" s="557"/>
      <c r="CBE20" s="557"/>
      <c r="CBF20" s="557"/>
      <c r="CBG20" s="557"/>
      <c r="CBH20" s="557"/>
      <c r="CBI20" s="557"/>
      <c r="CBJ20" s="557"/>
      <c r="CBK20" s="557"/>
      <c r="CBL20" s="557"/>
      <c r="CBM20" s="557"/>
      <c r="CBN20" s="557"/>
      <c r="CBO20" s="557"/>
      <c r="CBP20" s="557"/>
      <c r="CBQ20" s="557"/>
      <c r="CBR20" s="557"/>
      <c r="CBS20" s="661"/>
      <c r="CBT20" s="556"/>
      <c r="CBU20" s="557"/>
      <c r="CBV20" s="557"/>
      <c r="CBW20" s="557"/>
      <c r="CBX20" s="557"/>
      <c r="CBY20" s="557"/>
      <c r="CBZ20" s="557"/>
      <c r="CCA20" s="557"/>
      <c r="CCB20" s="557"/>
      <c r="CCC20" s="557"/>
      <c r="CCD20" s="557"/>
      <c r="CCE20" s="557"/>
      <c r="CCF20" s="557"/>
      <c r="CCG20" s="557"/>
      <c r="CCH20" s="557"/>
      <c r="CCI20" s="557"/>
      <c r="CCJ20" s="557"/>
      <c r="CCK20" s="557"/>
      <c r="CCL20" s="557"/>
      <c r="CCM20" s="661"/>
      <c r="CCN20" s="556"/>
      <c r="CCO20" s="557"/>
      <c r="CCP20" s="557"/>
      <c r="CCQ20" s="557"/>
      <c r="CCR20" s="557"/>
      <c r="CCS20" s="557"/>
      <c r="CCT20" s="557"/>
      <c r="CCU20" s="557"/>
      <c r="CCV20" s="557"/>
      <c r="CCW20" s="557"/>
      <c r="CCX20" s="557"/>
      <c r="CCY20" s="557"/>
      <c r="CCZ20" s="557"/>
      <c r="CDA20" s="557"/>
      <c r="CDB20" s="557"/>
      <c r="CDC20" s="557"/>
      <c r="CDD20" s="557"/>
      <c r="CDE20" s="557"/>
      <c r="CDF20" s="557"/>
      <c r="CDG20" s="661"/>
      <c r="CDH20" s="556"/>
      <c r="CDI20" s="557"/>
      <c r="CDJ20" s="557"/>
      <c r="CDK20" s="557"/>
      <c r="CDL20" s="557"/>
      <c r="CDM20" s="557"/>
      <c r="CDN20" s="557"/>
      <c r="CDO20" s="557"/>
      <c r="CDP20" s="557"/>
      <c r="CDQ20" s="557"/>
      <c r="CDR20" s="557"/>
      <c r="CDS20" s="557"/>
      <c r="CDT20" s="557"/>
      <c r="CDU20" s="557"/>
      <c r="CDV20" s="557"/>
      <c r="CDW20" s="557"/>
      <c r="CDX20" s="557"/>
      <c r="CDY20" s="557"/>
      <c r="CDZ20" s="557"/>
      <c r="CEA20" s="661"/>
      <c r="CEB20" s="556"/>
      <c r="CEC20" s="557"/>
      <c r="CED20" s="557"/>
      <c r="CEE20" s="557"/>
      <c r="CEF20" s="557"/>
      <c r="CEG20" s="557"/>
      <c r="CEH20" s="557"/>
      <c r="CEI20" s="557"/>
      <c r="CEJ20" s="557"/>
      <c r="CEK20" s="557"/>
      <c r="CEL20" s="557"/>
      <c r="CEM20" s="557"/>
      <c r="CEN20" s="557"/>
      <c r="CEO20" s="557"/>
      <c r="CEP20" s="557"/>
      <c r="CEQ20" s="557"/>
      <c r="CER20" s="557"/>
      <c r="CES20" s="557"/>
      <c r="CET20" s="557"/>
      <c r="CEU20" s="661"/>
      <c r="CEV20" s="556"/>
      <c r="CEW20" s="557"/>
      <c r="CEX20" s="557"/>
      <c r="CEY20" s="557"/>
      <c r="CEZ20" s="557"/>
      <c r="CFA20" s="557"/>
      <c r="CFB20" s="557"/>
      <c r="CFC20" s="557"/>
      <c r="CFD20" s="557"/>
      <c r="CFE20" s="557"/>
      <c r="CFF20" s="557"/>
      <c r="CFG20" s="557"/>
      <c r="CFH20" s="557"/>
      <c r="CFI20" s="557"/>
      <c r="CFJ20" s="557"/>
      <c r="CFK20" s="557"/>
      <c r="CFL20" s="557"/>
      <c r="CFM20" s="557"/>
      <c r="CFN20" s="557"/>
      <c r="CFO20" s="661"/>
      <c r="CFP20" s="556"/>
      <c r="CFQ20" s="557"/>
      <c r="CFR20" s="557"/>
      <c r="CFS20" s="557"/>
      <c r="CFT20" s="557"/>
      <c r="CFU20" s="557"/>
      <c r="CFV20" s="557"/>
      <c r="CFW20" s="557"/>
      <c r="CFX20" s="557"/>
      <c r="CFY20" s="557"/>
      <c r="CFZ20" s="557"/>
      <c r="CGA20" s="557"/>
      <c r="CGB20" s="557"/>
      <c r="CGC20" s="557"/>
      <c r="CGD20" s="557"/>
      <c r="CGE20" s="557"/>
      <c r="CGF20" s="557"/>
      <c r="CGG20" s="557"/>
      <c r="CGH20" s="557"/>
      <c r="CGI20" s="661"/>
      <c r="CGJ20" s="556"/>
      <c r="CGK20" s="557"/>
      <c r="CGL20" s="557"/>
      <c r="CGM20" s="557"/>
      <c r="CGN20" s="557"/>
      <c r="CGO20" s="557"/>
      <c r="CGP20" s="557"/>
      <c r="CGQ20" s="557"/>
      <c r="CGR20" s="557"/>
      <c r="CGS20" s="557"/>
      <c r="CGT20" s="557"/>
      <c r="CGU20" s="557"/>
      <c r="CGV20" s="557"/>
      <c r="CGW20" s="557"/>
      <c r="CGX20" s="557"/>
      <c r="CGY20" s="557"/>
      <c r="CGZ20" s="557"/>
      <c r="CHA20" s="557"/>
      <c r="CHB20" s="557"/>
      <c r="CHC20" s="661"/>
      <c r="CHD20" s="556"/>
      <c r="CHE20" s="557"/>
      <c r="CHF20" s="557"/>
      <c r="CHG20" s="557"/>
      <c r="CHH20" s="557"/>
      <c r="CHI20" s="557"/>
      <c r="CHJ20" s="557"/>
      <c r="CHK20" s="557"/>
      <c r="CHL20" s="557"/>
      <c r="CHM20" s="557"/>
      <c r="CHN20" s="557"/>
      <c r="CHO20" s="557"/>
      <c r="CHP20" s="557"/>
      <c r="CHQ20" s="557"/>
      <c r="CHR20" s="557"/>
      <c r="CHS20" s="557"/>
      <c r="CHT20" s="557"/>
      <c r="CHU20" s="557"/>
      <c r="CHV20" s="557"/>
      <c r="CHW20" s="661"/>
      <c r="CHX20" s="556"/>
      <c r="CHY20" s="557"/>
      <c r="CHZ20" s="557"/>
      <c r="CIA20" s="557"/>
      <c r="CIB20" s="557"/>
      <c r="CIC20" s="557"/>
      <c r="CID20" s="557"/>
      <c r="CIE20" s="557"/>
      <c r="CIF20" s="557"/>
      <c r="CIG20" s="557"/>
      <c r="CIH20" s="557"/>
      <c r="CII20" s="557"/>
      <c r="CIJ20" s="557"/>
      <c r="CIK20" s="557"/>
      <c r="CIL20" s="557"/>
      <c r="CIM20" s="557"/>
      <c r="CIN20" s="557"/>
      <c r="CIO20" s="557"/>
      <c r="CIP20" s="557"/>
      <c r="CIQ20" s="661"/>
      <c r="CIR20" s="556"/>
      <c r="CIS20" s="557"/>
      <c r="CIT20" s="557"/>
      <c r="CIU20" s="557"/>
      <c r="CIV20" s="557"/>
      <c r="CIW20" s="557"/>
      <c r="CIX20" s="557"/>
      <c r="CIY20" s="557"/>
      <c r="CIZ20" s="557"/>
      <c r="CJA20" s="557"/>
      <c r="CJB20" s="557"/>
      <c r="CJC20" s="557"/>
      <c r="CJD20" s="557"/>
      <c r="CJE20" s="557"/>
      <c r="CJF20" s="557"/>
      <c r="CJG20" s="557"/>
      <c r="CJH20" s="557"/>
      <c r="CJI20" s="557"/>
      <c r="CJJ20" s="557"/>
      <c r="CJK20" s="661"/>
      <c r="CJL20" s="556"/>
      <c r="CJM20" s="557"/>
      <c r="CJN20" s="557"/>
      <c r="CJO20" s="557"/>
      <c r="CJP20" s="557"/>
      <c r="CJQ20" s="557"/>
      <c r="CJR20" s="557"/>
      <c r="CJS20" s="557"/>
      <c r="CJT20" s="557"/>
      <c r="CJU20" s="557"/>
      <c r="CJV20" s="557"/>
      <c r="CJW20" s="557"/>
      <c r="CJX20" s="557"/>
      <c r="CJY20" s="557"/>
      <c r="CJZ20" s="557"/>
      <c r="CKA20" s="557"/>
      <c r="CKB20" s="557"/>
      <c r="CKC20" s="557"/>
      <c r="CKD20" s="557"/>
      <c r="CKE20" s="661"/>
      <c r="CKF20" s="556"/>
      <c r="CKG20" s="557"/>
      <c r="CKH20" s="557"/>
      <c r="CKI20" s="557"/>
      <c r="CKJ20" s="557"/>
      <c r="CKK20" s="557"/>
      <c r="CKL20" s="557"/>
      <c r="CKM20" s="557"/>
      <c r="CKN20" s="557"/>
      <c r="CKO20" s="557"/>
      <c r="CKP20" s="557"/>
      <c r="CKQ20" s="557"/>
      <c r="CKR20" s="557"/>
      <c r="CKS20" s="557"/>
      <c r="CKT20" s="557"/>
      <c r="CKU20" s="557"/>
      <c r="CKV20" s="557"/>
      <c r="CKW20" s="557"/>
      <c r="CKX20" s="557"/>
      <c r="CKY20" s="661"/>
      <c r="CKZ20" s="556"/>
      <c r="CLA20" s="557"/>
      <c r="CLB20" s="557"/>
      <c r="CLC20" s="557"/>
      <c r="CLD20" s="557"/>
      <c r="CLE20" s="557"/>
      <c r="CLF20" s="557"/>
      <c r="CLG20" s="557"/>
      <c r="CLH20" s="557"/>
      <c r="CLI20" s="557"/>
      <c r="CLJ20" s="557"/>
      <c r="CLK20" s="557"/>
      <c r="CLL20" s="557"/>
      <c r="CLM20" s="557"/>
      <c r="CLN20" s="557"/>
      <c r="CLO20" s="557"/>
      <c r="CLP20" s="557"/>
      <c r="CLQ20" s="557"/>
      <c r="CLR20" s="557"/>
      <c r="CLS20" s="661"/>
      <c r="CLT20" s="556"/>
      <c r="CLU20" s="557"/>
      <c r="CLV20" s="557"/>
      <c r="CLW20" s="557"/>
      <c r="CLX20" s="557"/>
      <c r="CLY20" s="557"/>
      <c r="CLZ20" s="557"/>
      <c r="CMA20" s="557"/>
      <c r="CMB20" s="557"/>
      <c r="CMC20" s="557"/>
      <c r="CMD20" s="557"/>
      <c r="CME20" s="557"/>
      <c r="CMF20" s="557"/>
      <c r="CMG20" s="557"/>
      <c r="CMH20" s="557"/>
      <c r="CMI20" s="557"/>
      <c r="CMJ20" s="557"/>
      <c r="CMK20" s="557"/>
      <c r="CML20" s="557"/>
      <c r="CMM20" s="661"/>
      <c r="CMN20" s="556"/>
      <c r="CMO20" s="557"/>
      <c r="CMP20" s="557"/>
      <c r="CMQ20" s="557"/>
      <c r="CMR20" s="557"/>
      <c r="CMS20" s="557"/>
      <c r="CMT20" s="557"/>
      <c r="CMU20" s="557"/>
      <c r="CMV20" s="557"/>
      <c r="CMW20" s="557"/>
      <c r="CMX20" s="557"/>
      <c r="CMY20" s="557"/>
      <c r="CMZ20" s="557"/>
      <c r="CNA20" s="557"/>
      <c r="CNB20" s="557"/>
      <c r="CNC20" s="557"/>
      <c r="CND20" s="557"/>
      <c r="CNE20" s="557"/>
      <c r="CNF20" s="557"/>
      <c r="CNG20" s="661"/>
      <c r="CNH20" s="556"/>
      <c r="CNI20" s="557"/>
      <c r="CNJ20" s="557"/>
      <c r="CNK20" s="557"/>
      <c r="CNL20" s="557"/>
      <c r="CNM20" s="557"/>
      <c r="CNN20" s="557"/>
      <c r="CNO20" s="557"/>
      <c r="CNP20" s="557"/>
      <c r="CNQ20" s="557"/>
      <c r="CNR20" s="557"/>
      <c r="CNS20" s="557"/>
      <c r="CNT20" s="557"/>
      <c r="CNU20" s="557"/>
      <c r="CNV20" s="557"/>
      <c r="CNW20" s="557"/>
      <c r="CNX20" s="557"/>
      <c r="CNY20" s="557"/>
      <c r="CNZ20" s="557"/>
      <c r="COA20" s="661"/>
      <c r="COB20" s="556"/>
      <c r="COC20" s="557"/>
      <c r="COD20" s="557"/>
      <c r="COE20" s="557"/>
      <c r="COF20" s="557"/>
      <c r="COG20" s="557"/>
      <c r="COH20" s="557"/>
      <c r="COI20" s="557"/>
      <c r="COJ20" s="557"/>
      <c r="COK20" s="557"/>
      <c r="COL20" s="557"/>
      <c r="COM20" s="557"/>
      <c r="CON20" s="557"/>
      <c r="COO20" s="557"/>
      <c r="COP20" s="557"/>
      <c r="COQ20" s="557"/>
      <c r="COR20" s="557"/>
      <c r="COS20" s="557"/>
      <c r="COT20" s="557"/>
      <c r="COU20" s="661"/>
      <c r="COV20" s="556"/>
      <c r="COW20" s="557"/>
      <c r="COX20" s="557"/>
      <c r="COY20" s="557"/>
      <c r="COZ20" s="557"/>
      <c r="CPA20" s="557"/>
      <c r="CPB20" s="557"/>
      <c r="CPC20" s="557"/>
      <c r="CPD20" s="557"/>
      <c r="CPE20" s="557"/>
      <c r="CPF20" s="557"/>
      <c r="CPG20" s="557"/>
      <c r="CPH20" s="557"/>
      <c r="CPI20" s="557"/>
      <c r="CPJ20" s="557"/>
      <c r="CPK20" s="557"/>
      <c r="CPL20" s="557"/>
      <c r="CPM20" s="557"/>
      <c r="CPN20" s="557"/>
      <c r="CPO20" s="661"/>
      <c r="CPP20" s="556"/>
      <c r="CPQ20" s="557"/>
      <c r="CPR20" s="557"/>
      <c r="CPS20" s="557"/>
      <c r="CPT20" s="557"/>
      <c r="CPU20" s="557"/>
      <c r="CPV20" s="557"/>
      <c r="CPW20" s="557"/>
      <c r="CPX20" s="557"/>
      <c r="CPY20" s="557"/>
      <c r="CPZ20" s="557"/>
      <c r="CQA20" s="557"/>
      <c r="CQB20" s="557"/>
      <c r="CQC20" s="557"/>
      <c r="CQD20" s="557"/>
      <c r="CQE20" s="557"/>
      <c r="CQF20" s="557"/>
      <c r="CQG20" s="557"/>
      <c r="CQH20" s="557"/>
      <c r="CQI20" s="661"/>
      <c r="CQJ20" s="556"/>
      <c r="CQK20" s="557"/>
      <c r="CQL20" s="557"/>
      <c r="CQM20" s="557"/>
      <c r="CQN20" s="557"/>
      <c r="CQO20" s="557"/>
      <c r="CQP20" s="557"/>
      <c r="CQQ20" s="557"/>
      <c r="CQR20" s="557"/>
      <c r="CQS20" s="557"/>
      <c r="CQT20" s="557"/>
      <c r="CQU20" s="557"/>
      <c r="CQV20" s="557"/>
      <c r="CQW20" s="557"/>
      <c r="CQX20" s="557"/>
      <c r="CQY20" s="557"/>
      <c r="CQZ20" s="557"/>
      <c r="CRA20" s="557"/>
      <c r="CRB20" s="557"/>
      <c r="CRC20" s="661"/>
      <c r="CRD20" s="556"/>
      <c r="CRE20" s="557"/>
      <c r="CRF20" s="557"/>
      <c r="CRG20" s="557"/>
      <c r="CRH20" s="557"/>
      <c r="CRI20" s="557"/>
      <c r="CRJ20" s="557"/>
      <c r="CRK20" s="557"/>
      <c r="CRL20" s="557"/>
      <c r="CRM20" s="557"/>
      <c r="CRN20" s="557"/>
      <c r="CRO20" s="557"/>
      <c r="CRP20" s="557"/>
      <c r="CRQ20" s="557"/>
      <c r="CRR20" s="557"/>
      <c r="CRS20" s="557"/>
      <c r="CRT20" s="557"/>
      <c r="CRU20" s="557"/>
      <c r="CRV20" s="557"/>
      <c r="CRW20" s="661"/>
      <c r="CRX20" s="556"/>
      <c r="CRY20" s="557"/>
      <c r="CRZ20" s="557"/>
      <c r="CSA20" s="557"/>
      <c r="CSB20" s="557"/>
      <c r="CSC20" s="557"/>
      <c r="CSD20" s="557"/>
      <c r="CSE20" s="557"/>
      <c r="CSF20" s="557"/>
      <c r="CSG20" s="557"/>
      <c r="CSH20" s="557"/>
      <c r="CSI20" s="557"/>
      <c r="CSJ20" s="557"/>
      <c r="CSK20" s="557"/>
      <c r="CSL20" s="557"/>
      <c r="CSM20" s="557"/>
      <c r="CSN20" s="557"/>
      <c r="CSO20" s="557"/>
      <c r="CSP20" s="557"/>
      <c r="CSQ20" s="661"/>
      <c r="CSR20" s="556"/>
      <c r="CSS20" s="557"/>
      <c r="CST20" s="557"/>
      <c r="CSU20" s="557"/>
      <c r="CSV20" s="557"/>
      <c r="CSW20" s="557"/>
      <c r="CSX20" s="557"/>
      <c r="CSY20" s="557"/>
      <c r="CSZ20" s="557"/>
      <c r="CTA20" s="557"/>
      <c r="CTB20" s="557"/>
      <c r="CTC20" s="557"/>
      <c r="CTD20" s="557"/>
      <c r="CTE20" s="557"/>
      <c r="CTF20" s="557"/>
      <c r="CTG20" s="557"/>
      <c r="CTH20" s="557"/>
      <c r="CTI20" s="557"/>
      <c r="CTJ20" s="557"/>
      <c r="CTK20" s="661"/>
      <c r="CTL20" s="556"/>
      <c r="CTM20" s="557"/>
      <c r="CTN20" s="557"/>
      <c r="CTO20" s="557"/>
      <c r="CTP20" s="557"/>
      <c r="CTQ20" s="557"/>
      <c r="CTR20" s="557"/>
      <c r="CTS20" s="557"/>
      <c r="CTT20" s="557"/>
      <c r="CTU20" s="557"/>
      <c r="CTV20" s="557"/>
      <c r="CTW20" s="557"/>
      <c r="CTX20" s="557"/>
      <c r="CTY20" s="557"/>
      <c r="CTZ20" s="557"/>
      <c r="CUA20" s="557"/>
      <c r="CUB20" s="557"/>
      <c r="CUC20" s="557"/>
      <c r="CUD20" s="557"/>
      <c r="CUE20" s="661"/>
      <c r="CUF20" s="556"/>
      <c r="CUG20" s="557"/>
      <c r="CUH20" s="557"/>
      <c r="CUI20" s="557"/>
      <c r="CUJ20" s="557"/>
      <c r="CUK20" s="557"/>
      <c r="CUL20" s="557"/>
      <c r="CUM20" s="557"/>
      <c r="CUN20" s="557"/>
      <c r="CUO20" s="557"/>
      <c r="CUP20" s="557"/>
      <c r="CUQ20" s="557"/>
      <c r="CUR20" s="557"/>
      <c r="CUS20" s="557"/>
      <c r="CUT20" s="557"/>
      <c r="CUU20" s="557"/>
      <c r="CUV20" s="557"/>
      <c r="CUW20" s="557"/>
      <c r="CUX20" s="557"/>
      <c r="CUY20" s="661"/>
      <c r="CUZ20" s="556"/>
      <c r="CVA20" s="557"/>
      <c r="CVB20" s="557"/>
      <c r="CVC20" s="557"/>
      <c r="CVD20" s="557"/>
      <c r="CVE20" s="557"/>
      <c r="CVF20" s="557"/>
      <c r="CVG20" s="557"/>
      <c r="CVH20" s="557"/>
      <c r="CVI20" s="557"/>
      <c r="CVJ20" s="557"/>
      <c r="CVK20" s="557"/>
      <c r="CVL20" s="557"/>
      <c r="CVM20" s="557"/>
      <c r="CVN20" s="557"/>
      <c r="CVO20" s="557"/>
      <c r="CVP20" s="557"/>
      <c r="CVQ20" s="557"/>
      <c r="CVR20" s="557"/>
      <c r="CVS20" s="661"/>
      <c r="CVT20" s="556"/>
      <c r="CVU20" s="557"/>
      <c r="CVV20" s="557"/>
      <c r="CVW20" s="557"/>
      <c r="CVX20" s="557"/>
      <c r="CVY20" s="557"/>
      <c r="CVZ20" s="557"/>
      <c r="CWA20" s="557"/>
      <c r="CWB20" s="557"/>
      <c r="CWC20" s="557"/>
      <c r="CWD20" s="557"/>
      <c r="CWE20" s="557"/>
      <c r="CWF20" s="557"/>
      <c r="CWG20" s="557"/>
      <c r="CWH20" s="557"/>
      <c r="CWI20" s="557"/>
      <c r="CWJ20" s="557"/>
      <c r="CWK20" s="557"/>
      <c r="CWL20" s="557"/>
      <c r="CWM20" s="661"/>
      <c r="CWN20" s="556"/>
      <c r="CWO20" s="557"/>
      <c r="CWP20" s="557"/>
      <c r="CWQ20" s="557"/>
      <c r="CWR20" s="557"/>
      <c r="CWS20" s="557"/>
      <c r="CWT20" s="557"/>
      <c r="CWU20" s="557"/>
      <c r="CWV20" s="557"/>
      <c r="CWW20" s="557"/>
      <c r="CWX20" s="557"/>
      <c r="CWY20" s="557"/>
      <c r="CWZ20" s="557"/>
      <c r="CXA20" s="557"/>
      <c r="CXB20" s="557"/>
      <c r="CXC20" s="557"/>
      <c r="CXD20" s="557"/>
      <c r="CXE20" s="557"/>
      <c r="CXF20" s="557"/>
      <c r="CXG20" s="661"/>
      <c r="CXH20" s="556"/>
      <c r="CXI20" s="557"/>
      <c r="CXJ20" s="557"/>
      <c r="CXK20" s="557"/>
      <c r="CXL20" s="557"/>
      <c r="CXM20" s="557"/>
      <c r="CXN20" s="557"/>
      <c r="CXO20" s="557"/>
      <c r="CXP20" s="557"/>
      <c r="CXQ20" s="557"/>
      <c r="CXR20" s="557"/>
      <c r="CXS20" s="557"/>
      <c r="CXT20" s="557"/>
      <c r="CXU20" s="557"/>
      <c r="CXV20" s="557"/>
      <c r="CXW20" s="557"/>
      <c r="CXX20" s="557"/>
      <c r="CXY20" s="557"/>
      <c r="CXZ20" s="557"/>
      <c r="CYA20" s="661"/>
      <c r="CYB20" s="556"/>
      <c r="CYC20" s="557"/>
      <c r="CYD20" s="557"/>
      <c r="CYE20" s="557"/>
      <c r="CYF20" s="557"/>
      <c r="CYG20" s="557"/>
      <c r="CYH20" s="557"/>
      <c r="CYI20" s="557"/>
      <c r="CYJ20" s="557"/>
      <c r="CYK20" s="557"/>
      <c r="CYL20" s="557"/>
      <c r="CYM20" s="557"/>
      <c r="CYN20" s="557"/>
      <c r="CYO20" s="557"/>
      <c r="CYP20" s="557"/>
      <c r="CYQ20" s="557"/>
      <c r="CYR20" s="557"/>
      <c r="CYS20" s="557"/>
      <c r="CYT20" s="557"/>
      <c r="CYU20" s="661"/>
      <c r="CYV20" s="556"/>
      <c r="CYW20" s="557"/>
      <c r="CYX20" s="557"/>
      <c r="CYY20" s="557"/>
      <c r="CYZ20" s="557"/>
      <c r="CZA20" s="557"/>
      <c r="CZB20" s="557"/>
      <c r="CZC20" s="557"/>
      <c r="CZD20" s="557"/>
      <c r="CZE20" s="557"/>
      <c r="CZF20" s="557"/>
      <c r="CZG20" s="557"/>
      <c r="CZH20" s="557"/>
      <c r="CZI20" s="557"/>
      <c r="CZJ20" s="557"/>
      <c r="CZK20" s="557"/>
      <c r="CZL20" s="557"/>
      <c r="CZM20" s="557"/>
      <c r="CZN20" s="557"/>
      <c r="CZO20" s="661"/>
      <c r="CZP20" s="556"/>
      <c r="CZQ20" s="557"/>
      <c r="CZR20" s="557"/>
      <c r="CZS20" s="557"/>
      <c r="CZT20" s="557"/>
      <c r="CZU20" s="557"/>
      <c r="CZV20" s="557"/>
      <c r="CZW20" s="557"/>
      <c r="CZX20" s="557"/>
      <c r="CZY20" s="557"/>
      <c r="CZZ20" s="557"/>
      <c r="DAA20" s="557"/>
      <c r="DAB20" s="557"/>
      <c r="DAC20" s="557"/>
      <c r="DAD20" s="557"/>
      <c r="DAE20" s="557"/>
      <c r="DAF20" s="557"/>
      <c r="DAG20" s="557"/>
      <c r="DAH20" s="557"/>
      <c r="DAI20" s="661"/>
      <c r="DAJ20" s="556"/>
      <c r="DAK20" s="557"/>
      <c r="DAL20" s="557"/>
      <c r="DAM20" s="557"/>
      <c r="DAN20" s="557"/>
      <c r="DAO20" s="557"/>
      <c r="DAP20" s="557"/>
      <c r="DAQ20" s="557"/>
      <c r="DAR20" s="557"/>
      <c r="DAS20" s="557"/>
      <c r="DAT20" s="557"/>
      <c r="DAU20" s="557"/>
      <c r="DAV20" s="557"/>
      <c r="DAW20" s="557"/>
      <c r="DAX20" s="557"/>
      <c r="DAY20" s="557"/>
      <c r="DAZ20" s="557"/>
      <c r="DBA20" s="557"/>
      <c r="DBB20" s="557"/>
      <c r="DBC20" s="661"/>
      <c r="DBD20" s="556"/>
      <c r="DBE20" s="557"/>
      <c r="DBF20" s="557"/>
      <c r="DBG20" s="557"/>
      <c r="DBH20" s="557"/>
      <c r="DBI20" s="557"/>
      <c r="DBJ20" s="557"/>
      <c r="DBK20" s="557"/>
      <c r="DBL20" s="557"/>
      <c r="DBM20" s="557"/>
      <c r="DBN20" s="557"/>
      <c r="DBO20" s="557"/>
      <c r="DBP20" s="557"/>
      <c r="DBQ20" s="557"/>
      <c r="DBR20" s="557"/>
      <c r="DBS20" s="557"/>
      <c r="DBT20" s="557"/>
      <c r="DBU20" s="557"/>
      <c r="DBV20" s="557"/>
      <c r="DBW20" s="661"/>
      <c r="DBX20" s="556"/>
      <c r="DBY20" s="557"/>
      <c r="DBZ20" s="557"/>
      <c r="DCA20" s="557"/>
      <c r="DCB20" s="557"/>
      <c r="DCC20" s="557"/>
      <c r="DCD20" s="557"/>
      <c r="DCE20" s="557"/>
      <c r="DCF20" s="557"/>
      <c r="DCG20" s="557"/>
      <c r="DCH20" s="557"/>
      <c r="DCI20" s="557"/>
      <c r="DCJ20" s="557"/>
      <c r="DCK20" s="557"/>
      <c r="DCL20" s="557"/>
      <c r="DCM20" s="557"/>
      <c r="DCN20" s="557"/>
      <c r="DCO20" s="557"/>
      <c r="DCP20" s="557"/>
      <c r="DCQ20" s="661"/>
      <c r="DCR20" s="556"/>
      <c r="DCS20" s="557"/>
      <c r="DCT20" s="557"/>
      <c r="DCU20" s="557"/>
      <c r="DCV20" s="557"/>
      <c r="DCW20" s="557"/>
      <c r="DCX20" s="557"/>
      <c r="DCY20" s="557"/>
      <c r="DCZ20" s="557"/>
      <c r="DDA20" s="557"/>
      <c r="DDB20" s="557"/>
      <c r="DDC20" s="557"/>
      <c r="DDD20" s="557"/>
      <c r="DDE20" s="557"/>
      <c r="DDF20" s="557"/>
      <c r="DDG20" s="557"/>
      <c r="DDH20" s="557"/>
      <c r="DDI20" s="557"/>
      <c r="DDJ20" s="557"/>
      <c r="DDK20" s="661"/>
      <c r="DDL20" s="556"/>
      <c r="DDM20" s="557"/>
      <c r="DDN20" s="557"/>
      <c r="DDO20" s="557"/>
      <c r="DDP20" s="557"/>
      <c r="DDQ20" s="557"/>
      <c r="DDR20" s="557"/>
      <c r="DDS20" s="557"/>
      <c r="DDT20" s="557"/>
      <c r="DDU20" s="557"/>
      <c r="DDV20" s="557"/>
      <c r="DDW20" s="557"/>
      <c r="DDX20" s="557"/>
      <c r="DDY20" s="557"/>
      <c r="DDZ20" s="557"/>
      <c r="DEA20" s="557"/>
      <c r="DEB20" s="557"/>
      <c r="DEC20" s="557"/>
      <c r="DED20" s="557"/>
      <c r="DEE20" s="661"/>
      <c r="DEF20" s="556"/>
      <c r="DEG20" s="557"/>
      <c r="DEH20" s="557"/>
      <c r="DEI20" s="557"/>
      <c r="DEJ20" s="557"/>
      <c r="DEK20" s="557"/>
      <c r="DEL20" s="557"/>
      <c r="DEM20" s="557"/>
      <c r="DEN20" s="557"/>
      <c r="DEO20" s="557"/>
      <c r="DEP20" s="557"/>
      <c r="DEQ20" s="557"/>
      <c r="DER20" s="557"/>
      <c r="DES20" s="557"/>
      <c r="DET20" s="557"/>
      <c r="DEU20" s="557"/>
      <c r="DEV20" s="557"/>
      <c r="DEW20" s="557"/>
      <c r="DEX20" s="557"/>
      <c r="DEY20" s="661"/>
      <c r="DEZ20" s="556"/>
      <c r="DFA20" s="557"/>
      <c r="DFB20" s="557"/>
      <c r="DFC20" s="557"/>
      <c r="DFD20" s="557"/>
      <c r="DFE20" s="557"/>
      <c r="DFF20" s="557"/>
      <c r="DFG20" s="557"/>
      <c r="DFH20" s="557"/>
      <c r="DFI20" s="557"/>
      <c r="DFJ20" s="557"/>
      <c r="DFK20" s="557"/>
      <c r="DFL20" s="557"/>
      <c r="DFM20" s="557"/>
      <c r="DFN20" s="557"/>
      <c r="DFO20" s="557"/>
      <c r="DFP20" s="557"/>
      <c r="DFQ20" s="557"/>
      <c r="DFR20" s="557"/>
      <c r="DFS20" s="661"/>
      <c r="DFT20" s="556"/>
      <c r="DFU20" s="557"/>
      <c r="DFV20" s="557"/>
      <c r="DFW20" s="557"/>
      <c r="DFX20" s="557"/>
      <c r="DFY20" s="557"/>
      <c r="DFZ20" s="557"/>
      <c r="DGA20" s="557"/>
      <c r="DGB20" s="557"/>
      <c r="DGC20" s="557"/>
      <c r="DGD20" s="557"/>
      <c r="DGE20" s="557"/>
      <c r="DGF20" s="557"/>
      <c r="DGG20" s="557"/>
      <c r="DGH20" s="557"/>
      <c r="DGI20" s="557"/>
      <c r="DGJ20" s="557"/>
      <c r="DGK20" s="557"/>
      <c r="DGL20" s="557"/>
      <c r="DGM20" s="661"/>
      <c r="DGN20" s="556"/>
      <c r="DGO20" s="557"/>
      <c r="DGP20" s="557"/>
      <c r="DGQ20" s="557"/>
      <c r="DGR20" s="557"/>
      <c r="DGS20" s="557"/>
      <c r="DGT20" s="557"/>
      <c r="DGU20" s="557"/>
      <c r="DGV20" s="557"/>
      <c r="DGW20" s="557"/>
      <c r="DGX20" s="557"/>
      <c r="DGY20" s="557"/>
      <c r="DGZ20" s="557"/>
      <c r="DHA20" s="557"/>
      <c r="DHB20" s="557"/>
      <c r="DHC20" s="557"/>
      <c r="DHD20" s="557"/>
      <c r="DHE20" s="557"/>
      <c r="DHF20" s="557"/>
      <c r="DHG20" s="661"/>
      <c r="DHH20" s="556"/>
      <c r="DHI20" s="557"/>
      <c r="DHJ20" s="557"/>
      <c r="DHK20" s="557"/>
      <c r="DHL20" s="557"/>
      <c r="DHM20" s="557"/>
      <c r="DHN20" s="557"/>
      <c r="DHO20" s="557"/>
      <c r="DHP20" s="557"/>
      <c r="DHQ20" s="557"/>
      <c r="DHR20" s="557"/>
      <c r="DHS20" s="557"/>
      <c r="DHT20" s="557"/>
      <c r="DHU20" s="557"/>
      <c r="DHV20" s="557"/>
      <c r="DHW20" s="557"/>
      <c r="DHX20" s="557"/>
      <c r="DHY20" s="557"/>
      <c r="DHZ20" s="557"/>
      <c r="DIA20" s="661"/>
      <c r="DIB20" s="556"/>
      <c r="DIC20" s="557"/>
      <c r="DID20" s="557"/>
      <c r="DIE20" s="557"/>
      <c r="DIF20" s="557"/>
      <c r="DIG20" s="557"/>
      <c r="DIH20" s="557"/>
      <c r="DII20" s="557"/>
      <c r="DIJ20" s="557"/>
      <c r="DIK20" s="557"/>
      <c r="DIL20" s="557"/>
      <c r="DIM20" s="557"/>
      <c r="DIN20" s="557"/>
      <c r="DIO20" s="557"/>
      <c r="DIP20" s="557"/>
      <c r="DIQ20" s="557"/>
      <c r="DIR20" s="557"/>
      <c r="DIS20" s="557"/>
      <c r="DIT20" s="557"/>
      <c r="DIU20" s="661"/>
      <c r="DIV20" s="556"/>
      <c r="DIW20" s="557"/>
      <c r="DIX20" s="557"/>
      <c r="DIY20" s="557"/>
      <c r="DIZ20" s="557"/>
      <c r="DJA20" s="557"/>
      <c r="DJB20" s="557"/>
      <c r="DJC20" s="557"/>
      <c r="DJD20" s="557"/>
      <c r="DJE20" s="557"/>
      <c r="DJF20" s="557"/>
      <c r="DJG20" s="557"/>
      <c r="DJH20" s="557"/>
      <c r="DJI20" s="557"/>
      <c r="DJJ20" s="557"/>
      <c r="DJK20" s="557"/>
      <c r="DJL20" s="557"/>
      <c r="DJM20" s="557"/>
      <c r="DJN20" s="557"/>
      <c r="DJO20" s="661"/>
      <c r="DJP20" s="556"/>
      <c r="DJQ20" s="557"/>
      <c r="DJR20" s="557"/>
      <c r="DJS20" s="557"/>
      <c r="DJT20" s="557"/>
      <c r="DJU20" s="557"/>
      <c r="DJV20" s="557"/>
      <c r="DJW20" s="557"/>
      <c r="DJX20" s="557"/>
      <c r="DJY20" s="557"/>
      <c r="DJZ20" s="557"/>
      <c r="DKA20" s="557"/>
      <c r="DKB20" s="557"/>
      <c r="DKC20" s="557"/>
      <c r="DKD20" s="557"/>
      <c r="DKE20" s="557"/>
      <c r="DKF20" s="557"/>
      <c r="DKG20" s="557"/>
      <c r="DKH20" s="557"/>
      <c r="DKI20" s="661"/>
      <c r="DKJ20" s="556"/>
      <c r="DKK20" s="557"/>
      <c r="DKL20" s="557"/>
      <c r="DKM20" s="557"/>
      <c r="DKN20" s="557"/>
      <c r="DKO20" s="557"/>
      <c r="DKP20" s="557"/>
      <c r="DKQ20" s="557"/>
      <c r="DKR20" s="557"/>
      <c r="DKS20" s="557"/>
      <c r="DKT20" s="557"/>
      <c r="DKU20" s="557"/>
      <c r="DKV20" s="557"/>
      <c r="DKW20" s="557"/>
      <c r="DKX20" s="557"/>
      <c r="DKY20" s="557"/>
      <c r="DKZ20" s="557"/>
      <c r="DLA20" s="557"/>
      <c r="DLB20" s="557"/>
      <c r="DLC20" s="661"/>
      <c r="DLD20" s="556"/>
      <c r="DLE20" s="557"/>
      <c r="DLF20" s="557"/>
      <c r="DLG20" s="557"/>
      <c r="DLH20" s="557"/>
      <c r="DLI20" s="557"/>
      <c r="DLJ20" s="557"/>
      <c r="DLK20" s="557"/>
      <c r="DLL20" s="557"/>
      <c r="DLM20" s="557"/>
      <c r="DLN20" s="557"/>
      <c r="DLO20" s="557"/>
      <c r="DLP20" s="557"/>
      <c r="DLQ20" s="557"/>
      <c r="DLR20" s="557"/>
      <c r="DLS20" s="557"/>
      <c r="DLT20" s="557"/>
      <c r="DLU20" s="557"/>
      <c r="DLV20" s="557"/>
      <c r="DLW20" s="661"/>
      <c r="DLX20" s="556"/>
      <c r="DLY20" s="557"/>
      <c r="DLZ20" s="557"/>
      <c r="DMA20" s="557"/>
      <c r="DMB20" s="557"/>
      <c r="DMC20" s="557"/>
      <c r="DMD20" s="557"/>
      <c r="DME20" s="557"/>
      <c r="DMF20" s="557"/>
      <c r="DMG20" s="557"/>
      <c r="DMH20" s="557"/>
      <c r="DMI20" s="557"/>
      <c r="DMJ20" s="557"/>
      <c r="DMK20" s="557"/>
      <c r="DML20" s="557"/>
      <c r="DMM20" s="557"/>
      <c r="DMN20" s="557"/>
      <c r="DMO20" s="557"/>
      <c r="DMP20" s="557"/>
      <c r="DMQ20" s="661"/>
      <c r="DMR20" s="556"/>
      <c r="DMS20" s="557"/>
      <c r="DMT20" s="557"/>
      <c r="DMU20" s="557"/>
      <c r="DMV20" s="557"/>
      <c r="DMW20" s="557"/>
      <c r="DMX20" s="557"/>
      <c r="DMY20" s="557"/>
      <c r="DMZ20" s="557"/>
      <c r="DNA20" s="557"/>
      <c r="DNB20" s="557"/>
      <c r="DNC20" s="557"/>
      <c r="DND20" s="557"/>
      <c r="DNE20" s="557"/>
      <c r="DNF20" s="557"/>
      <c r="DNG20" s="557"/>
      <c r="DNH20" s="557"/>
      <c r="DNI20" s="557"/>
      <c r="DNJ20" s="557"/>
      <c r="DNK20" s="661"/>
      <c r="DNL20" s="556"/>
      <c r="DNM20" s="557"/>
      <c r="DNN20" s="557"/>
      <c r="DNO20" s="557"/>
      <c r="DNP20" s="557"/>
      <c r="DNQ20" s="557"/>
      <c r="DNR20" s="557"/>
      <c r="DNS20" s="557"/>
      <c r="DNT20" s="557"/>
      <c r="DNU20" s="557"/>
      <c r="DNV20" s="557"/>
      <c r="DNW20" s="557"/>
      <c r="DNX20" s="557"/>
      <c r="DNY20" s="557"/>
      <c r="DNZ20" s="557"/>
      <c r="DOA20" s="557"/>
      <c r="DOB20" s="557"/>
      <c r="DOC20" s="557"/>
      <c r="DOD20" s="557"/>
      <c r="DOE20" s="661"/>
      <c r="DOF20" s="556"/>
      <c r="DOG20" s="557"/>
      <c r="DOH20" s="557"/>
      <c r="DOI20" s="557"/>
      <c r="DOJ20" s="557"/>
      <c r="DOK20" s="557"/>
      <c r="DOL20" s="557"/>
      <c r="DOM20" s="557"/>
      <c r="DON20" s="557"/>
      <c r="DOO20" s="557"/>
      <c r="DOP20" s="557"/>
      <c r="DOQ20" s="557"/>
      <c r="DOR20" s="557"/>
      <c r="DOS20" s="557"/>
      <c r="DOT20" s="557"/>
      <c r="DOU20" s="557"/>
      <c r="DOV20" s="557"/>
      <c r="DOW20" s="557"/>
      <c r="DOX20" s="557"/>
      <c r="DOY20" s="661"/>
      <c r="DOZ20" s="556"/>
      <c r="DPA20" s="557"/>
      <c r="DPB20" s="557"/>
      <c r="DPC20" s="557"/>
      <c r="DPD20" s="557"/>
      <c r="DPE20" s="557"/>
      <c r="DPF20" s="557"/>
      <c r="DPG20" s="557"/>
      <c r="DPH20" s="557"/>
      <c r="DPI20" s="557"/>
      <c r="DPJ20" s="557"/>
      <c r="DPK20" s="557"/>
      <c r="DPL20" s="557"/>
      <c r="DPM20" s="557"/>
      <c r="DPN20" s="557"/>
      <c r="DPO20" s="557"/>
      <c r="DPP20" s="557"/>
      <c r="DPQ20" s="557"/>
      <c r="DPR20" s="557"/>
      <c r="DPS20" s="661"/>
      <c r="DPT20" s="556"/>
      <c r="DPU20" s="557"/>
      <c r="DPV20" s="557"/>
      <c r="DPW20" s="557"/>
      <c r="DPX20" s="557"/>
      <c r="DPY20" s="557"/>
      <c r="DPZ20" s="557"/>
      <c r="DQA20" s="557"/>
      <c r="DQB20" s="557"/>
      <c r="DQC20" s="557"/>
      <c r="DQD20" s="557"/>
      <c r="DQE20" s="557"/>
      <c r="DQF20" s="557"/>
      <c r="DQG20" s="557"/>
      <c r="DQH20" s="557"/>
      <c r="DQI20" s="557"/>
      <c r="DQJ20" s="557"/>
      <c r="DQK20" s="557"/>
      <c r="DQL20" s="557"/>
      <c r="DQM20" s="661"/>
      <c r="DQN20" s="556"/>
      <c r="DQO20" s="557"/>
      <c r="DQP20" s="557"/>
      <c r="DQQ20" s="557"/>
      <c r="DQR20" s="557"/>
      <c r="DQS20" s="557"/>
      <c r="DQT20" s="557"/>
      <c r="DQU20" s="557"/>
      <c r="DQV20" s="557"/>
      <c r="DQW20" s="557"/>
      <c r="DQX20" s="557"/>
      <c r="DQY20" s="557"/>
      <c r="DQZ20" s="557"/>
      <c r="DRA20" s="557"/>
      <c r="DRB20" s="557"/>
      <c r="DRC20" s="557"/>
      <c r="DRD20" s="557"/>
      <c r="DRE20" s="557"/>
      <c r="DRF20" s="557"/>
      <c r="DRG20" s="661"/>
      <c r="DRH20" s="556"/>
      <c r="DRI20" s="557"/>
      <c r="DRJ20" s="557"/>
      <c r="DRK20" s="557"/>
      <c r="DRL20" s="557"/>
      <c r="DRM20" s="557"/>
      <c r="DRN20" s="557"/>
      <c r="DRO20" s="557"/>
      <c r="DRP20" s="557"/>
      <c r="DRQ20" s="557"/>
      <c r="DRR20" s="557"/>
      <c r="DRS20" s="557"/>
      <c r="DRT20" s="557"/>
      <c r="DRU20" s="557"/>
      <c r="DRV20" s="557"/>
      <c r="DRW20" s="557"/>
      <c r="DRX20" s="557"/>
      <c r="DRY20" s="557"/>
      <c r="DRZ20" s="557"/>
      <c r="DSA20" s="661"/>
      <c r="DSB20" s="556"/>
      <c r="DSC20" s="557"/>
      <c r="DSD20" s="557"/>
      <c r="DSE20" s="557"/>
      <c r="DSF20" s="557"/>
      <c r="DSG20" s="557"/>
      <c r="DSH20" s="557"/>
      <c r="DSI20" s="557"/>
      <c r="DSJ20" s="557"/>
      <c r="DSK20" s="557"/>
      <c r="DSL20" s="557"/>
      <c r="DSM20" s="557"/>
      <c r="DSN20" s="557"/>
      <c r="DSO20" s="557"/>
      <c r="DSP20" s="557"/>
      <c r="DSQ20" s="557"/>
      <c r="DSR20" s="557"/>
      <c r="DSS20" s="557"/>
      <c r="DST20" s="557"/>
      <c r="DSU20" s="661"/>
      <c r="DSV20" s="556"/>
      <c r="DSW20" s="557"/>
      <c r="DSX20" s="557"/>
      <c r="DSY20" s="557"/>
      <c r="DSZ20" s="557"/>
      <c r="DTA20" s="557"/>
      <c r="DTB20" s="557"/>
      <c r="DTC20" s="557"/>
      <c r="DTD20" s="557"/>
      <c r="DTE20" s="557"/>
      <c r="DTF20" s="557"/>
      <c r="DTG20" s="557"/>
      <c r="DTH20" s="557"/>
      <c r="DTI20" s="557"/>
      <c r="DTJ20" s="557"/>
      <c r="DTK20" s="557"/>
      <c r="DTL20" s="557"/>
      <c r="DTM20" s="557"/>
      <c r="DTN20" s="557"/>
      <c r="DTO20" s="661"/>
      <c r="DTP20" s="556"/>
      <c r="DTQ20" s="557"/>
      <c r="DTR20" s="557"/>
      <c r="DTS20" s="557"/>
      <c r="DTT20" s="557"/>
      <c r="DTU20" s="557"/>
      <c r="DTV20" s="557"/>
      <c r="DTW20" s="557"/>
      <c r="DTX20" s="557"/>
      <c r="DTY20" s="557"/>
      <c r="DTZ20" s="557"/>
      <c r="DUA20" s="557"/>
      <c r="DUB20" s="557"/>
      <c r="DUC20" s="557"/>
      <c r="DUD20" s="557"/>
      <c r="DUE20" s="557"/>
      <c r="DUF20" s="557"/>
      <c r="DUG20" s="557"/>
      <c r="DUH20" s="557"/>
      <c r="DUI20" s="661"/>
      <c r="DUJ20" s="556"/>
      <c r="DUK20" s="557"/>
      <c r="DUL20" s="557"/>
      <c r="DUM20" s="557"/>
      <c r="DUN20" s="557"/>
      <c r="DUO20" s="557"/>
      <c r="DUP20" s="557"/>
      <c r="DUQ20" s="557"/>
      <c r="DUR20" s="557"/>
      <c r="DUS20" s="557"/>
      <c r="DUT20" s="557"/>
      <c r="DUU20" s="557"/>
      <c r="DUV20" s="557"/>
      <c r="DUW20" s="557"/>
      <c r="DUX20" s="557"/>
      <c r="DUY20" s="557"/>
      <c r="DUZ20" s="557"/>
      <c r="DVA20" s="557"/>
      <c r="DVB20" s="557"/>
      <c r="DVC20" s="661"/>
      <c r="DVD20" s="556"/>
      <c r="DVE20" s="557"/>
      <c r="DVF20" s="557"/>
      <c r="DVG20" s="557"/>
      <c r="DVH20" s="557"/>
      <c r="DVI20" s="557"/>
      <c r="DVJ20" s="557"/>
      <c r="DVK20" s="557"/>
      <c r="DVL20" s="557"/>
      <c r="DVM20" s="557"/>
      <c r="DVN20" s="557"/>
      <c r="DVO20" s="557"/>
      <c r="DVP20" s="557"/>
      <c r="DVQ20" s="557"/>
      <c r="DVR20" s="557"/>
      <c r="DVS20" s="557"/>
      <c r="DVT20" s="557"/>
      <c r="DVU20" s="557"/>
      <c r="DVV20" s="557"/>
      <c r="DVW20" s="661"/>
      <c r="DVX20" s="556"/>
      <c r="DVY20" s="557"/>
      <c r="DVZ20" s="557"/>
      <c r="DWA20" s="557"/>
      <c r="DWB20" s="557"/>
      <c r="DWC20" s="557"/>
      <c r="DWD20" s="557"/>
      <c r="DWE20" s="557"/>
      <c r="DWF20" s="557"/>
      <c r="DWG20" s="557"/>
      <c r="DWH20" s="557"/>
      <c r="DWI20" s="557"/>
      <c r="DWJ20" s="557"/>
      <c r="DWK20" s="557"/>
      <c r="DWL20" s="557"/>
      <c r="DWM20" s="557"/>
      <c r="DWN20" s="557"/>
      <c r="DWO20" s="557"/>
      <c r="DWP20" s="557"/>
      <c r="DWQ20" s="661"/>
      <c r="DWR20" s="556"/>
      <c r="DWS20" s="557"/>
      <c r="DWT20" s="557"/>
      <c r="DWU20" s="557"/>
      <c r="DWV20" s="557"/>
      <c r="DWW20" s="557"/>
      <c r="DWX20" s="557"/>
      <c r="DWY20" s="557"/>
      <c r="DWZ20" s="557"/>
      <c r="DXA20" s="557"/>
      <c r="DXB20" s="557"/>
      <c r="DXC20" s="557"/>
      <c r="DXD20" s="557"/>
      <c r="DXE20" s="557"/>
      <c r="DXF20" s="557"/>
      <c r="DXG20" s="557"/>
      <c r="DXH20" s="557"/>
      <c r="DXI20" s="557"/>
      <c r="DXJ20" s="557"/>
      <c r="DXK20" s="661"/>
      <c r="DXL20" s="556"/>
      <c r="DXM20" s="557"/>
      <c r="DXN20" s="557"/>
      <c r="DXO20" s="557"/>
      <c r="DXP20" s="557"/>
      <c r="DXQ20" s="557"/>
      <c r="DXR20" s="557"/>
      <c r="DXS20" s="557"/>
      <c r="DXT20" s="557"/>
      <c r="DXU20" s="557"/>
      <c r="DXV20" s="557"/>
      <c r="DXW20" s="557"/>
      <c r="DXX20" s="557"/>
      <c r="DXY20" s="557"/>
      <c r="DXZ20" s="557"/>
      <c r="DYA20" s="557"/>
      <c r="DYB20" s="557"/>
      <c r="DYC20" s="557"/>
      <c r="DYD20" s="557"/>
      <c r="DYE20" s="661"/>
      <c r="DYF20" s="556"/>
      <c r="DYG20" s="557"/>
      <c r="DYH20" s="557"/>
      <c r="DYI20" s="557"/>
      <c r="DYJ20" s="557"/>
      <c r="DYK20" s="557"/>
      <c r="DYL20" s="557"/>
      <c r="DYM20" s="557"/>
      <c r="DYN20" s="557"/>
      <c r="DYO20" s="557"/>
      <c r="DYP20" s="557"/>
      <c r="DYQ20" s="557"/>
      <c r="DYR20" s="557"/>
      <c r="DYS20" s="557"/>
      <c r="DYT20" s="557"/>
      <c r="DYU20" s="557"/>
      <c r="DYV20" s="557"/>
      <c r="DYW20" s="557"/>
      <c r="DYX20" s="557"/>
      <c r="DYY20" s="661"/>
      <c r="DYZ20" s="556"/>
      <c r="DZA20" s="557"/>
      <c r="DZB20" s="557"/>
      <c r="DZC20" s="557"/>
      <c r="DZD20" s="557"/>
      <c r="DZE20" s="557"/>
      <c r="DZF20" s="557"/>
      <c r="DZG20" s="557"/>
      <c r="DZH20" s="557"/>
      <c r="DZI20" s="557"/>
      <c r="DZJ20" s="557"/>
      <c r="DZK20" s="557"/>
      <c r="DZL20" s="557"/>
      <c r="DZM20" s="557"/>
      <c r="DZN20" s="557"/>
      <c r="DZO20" s="557"/>
      <c r="DZP20" s="557"/>
      <c r="DZQ20" s="557"/>
      <c r="DZR20" s="557"/>
      <c r="DZS20" s="661"/>
      <c r="DZT20" s="556"/>
      <c r="DZU20" s="557"/>
      <c r="DZV20" s="557"/>
      <c r="DZW20" s="557"/>
      <c r="DZX20" s="557"/>
      <c r="DZY20" s="557"/>
      <c r="DZZ20" s="557"/>
      <c r="EAA20" s="557"/>
      <c r="EAB20" s="557"/>
      <c r="EAC20" s="557"/>
      <c r="EAD20" s="557"/>
      <c r="EAE20" s="557"/>
      <c r="EAF20" s="557"/>
      <c r="EAG20" s="557"/>
      <c r="EAH20" s="557"/>
      <c r="EAI20" s="557"/>
      <c r="EAJ20" s="557"/>
      <c r="EAK20" s="557"/>
      <c r="EAL20" s="557"/>
      <c r="EAM20" s="661"/>
      <c r="EAN20" s="556"/>
      <c r="EAO20" s="557"/>
      <c r="EAP20" s="557"/>
      <c r="EAQ20" s="557"/>
      <c r="EAR20" s="557"/>
      <c r="EAS20" s="557"/>
      <c r="EAT20" s="557"/>
      <c r="EAU20" s="557"/>
      <c r="EAV20" s="557"/>
      <c r="EAW20" s="557"/>
      <c r="EAX20" s="557"/>
      <c r="EAY20" s="557"/>
      <c r="EAZ20" s="557"/>
      <c r="EBA20" s="557"/>
      <c r="EBB20" s="557"/>
      <c r="EBC20" s="557"/>
      <c r="EBD20" s="557"/>
      <c r="EBE20" s="557"/>
      <c r="EBF20" s="557"/>
      <c r="EBG20" s="661"/>
      <c r="EBH20" s="556"/>
      <c r="EBI20" s="557"/>
      <c r="EBJ20" s="557"/>
      <c r="EBK20" s="557"/>
      <c r="EBL20" s="557"/>
      <c r="EBM20" s="557"/>
      <c r="EBN20" s="557"/>
      <c r="EBO20" s="557"/>
      <c r="EBP20" s="557"/>
      <c r="EBQ20" s="557"/>
      <c r="EBR20" s="557"/>
      <c r="EBS20" s="557"/>
      <c r="EBT20" s="557"/>
      <c r="EBU20" s="557"/>
      <c r="EBV20" s="557"/>
      <c r="EBW20" s="557"/>
      <c r="EBX20" s="557"/>
      <c r="EBY20" s="557"/>
      <c r="EBZ20" s="557"/>
      <c r="ECA20" s="661"/>
      <c r="ECB20" s="556"/>
      <c r="ECC20" s="557"/>
      <c r="ECD20" s="557"/>
      <c r="ECE20" s="557"/>
      <c r="ECF20" s="557"/>
      <c r="ECG20" s="557"/>
      <c r="ECH20" s="557"/>
      <c r="ECI20" s="557"/>
      <c r="ECJ20" s="557"/>
      <c r="ECK20" s="557"/>
      <c r="ECL20" s="557"/>
      <c r="ECM20" s="557"/>
      <c r="ECN20" s="557"/>
      <c r="ECO20" s="557"/>
      <c r="ECP20" s="557"/>
      <c r="ECQ20" s="557"/>
      <c r="ECR20" s="557"/>
      <c r="ECS20" s="557"/>
      <c r="ECT20" s="557"/>
      <c r="ECU20" s="661"/>
      <c r="ECV20" s="556"/>
      <c r="ECW20" s="557"/>
      <c r="ECX20" s="557"/>
      <c r="ECY20" s="557"/>
      <c r="ECZ20" s="557"/>
      <c r="EDA20" s="557"/>
      <c r="EDB20" s="557"/>
      <c r="EDC20" s="557"/>
      <c r="EDD20" s="557"/>
      <c r="EDE20" s="557"/>
      <c r="EDF20" s="557"/>
      <c r="EDG20" s="557"/>
      <c r="EDH20" s="557"/>
      <c r="EDI20" s="557"/>
      <c r="EDJ20" s="557"/>
      <c r="EDK20" s="557"/>
      <c r="EDL20" s="557"/>
      <c r="EDM20" s="557"/>
      <c r="EDN20" s="557"/>
      <c r="EDO20" s="661"/>
      <c r="EDP20" s="556"/>
      <c r="EDQ20" s="557"/>
      <c r="EDR20" s="557"/>
      <c r="EDS20" s="557"/>
      <c r="EDT20" s="557"/>
      <c r="EDU20" s="557"/>
      <c r="EDV20" s="557"/>
      <c r="EDW20" s="557"/>
      <c r="EDX20" s="557"/>
      <c r="EDY20" s="557"/>
      <c r="EDZ20" s="557"/>
      <c r="EEA20" s="557"/>
      <c r="EEB20" s="557"/>
      <c r="EEC20" s="557"/>
      <c r="EED20" s="557"/>
      <c r="EEE20" s="557"/>
      <c r="EEF20" s="557"/>
      <c r="EEG20" s="557"/>
      <c r="EEH20" s="557"/>
      <c r="EEI20" s="661"/>
      <c r="EEJ20" s="556"/>
      <c r="EEK20" s="557"/>
      <c r="EEL20" s="557"/>
      <c r="EEM20" s="557"/>
      <c r="EEN20" s="557"/>
      <c r="EEO20" s="557"/>
      <c r="EEP20" s="557"/>
      <c r="EEQ20" s="557"/>
      <c r="EER20" s="557"/>
      <c r="EES20" s="557"/>
      <c r="EET20" s="557"/>
      <c r="EEU20" s="557"/>
      <c r="EEV20" s="557"/>
      <c r="EEW20" s="557"/>
      <c r="EEX20" s="557"/>
      <c r="EEY20" s="557"/>
      <c r="EEZ20" s="557"/>
      <c r="EFA20" s="557"/>
      <c r="EFB20" s="557"/>
      <c r="EFC20" s="661"/>
      <c r="EFD20" s="556"/>
      <c r="EFE20" s="557"/>
      <c r="EFF20" s="557"/>
      <c r="EFG20" s="557"/>
      <c r="EFH20" s="557"/>
      <c r="EFI20" s="557"/>
      <c r="EFJ20" s="557"/>
      <c r="EFK20" s="557"/>
      <c r="EFL20" s="557"/>
      <c r="EFM20" s="557"/>
      <c r="EFN20" s="557"/>
      <c r="EFO20" s="557"/>
      <c r="EFP20" s="557"/>
      <c r="EFQ20" s="557"/>
      <c r="EFR20" s="557"/>
      <c r="EFS20" s="557"/>
      <c r="EFT20" s="557"/>
      <c r="EFU20" s="557"/>
      <c r="EFV20" s="557"/>
      <c r="EFW20" s="661"/>
      <c r="EFX20" s="556"/>
      <c r="EFY20" s="557"/>
      <c r="EFZ20" s="557"/>
      <c r="EGA20" s="557"/>
      <c r="EGB20" s="557"/>
      <c r="EGC20" s="557"/>
      <c r="EGD20" s="557"/>
      <c r="EGE20" s="557"/>
      <c r="EGF20" s="557"/>
      <c r="EGG20" s="557"/>
      <c r="EGH20" s="557"/>
      <c r="EGI20" s="557"/>
      <c r="EGJ20" s="557"/>
      <c r="EGK20" s="557"/>
      <c r="EGL20" s="557"/>
      <c r="EGM20" s="557"/>
      <c r="EGN20" s="557"/>
      <c r="EGO20" s="557"/>
      <c r="EGP20" s="557"/>
      <c r="EGQ20" s="661"/>
      <c r="EGR20" s="556"/>
      <c r="EGS20" s="557"/>
      <c r="EGT20" s="557"/>
      <c r="EGU20" s="557"/>
      <c r="EGV20" s="557"/>
      <c r="EGW20" s="557"/>
      <c r="EGX20" s="557"/>
      <c r="EGY20" s="557"/>
      <c r="EGZ20" s="557"/>
      <c r="EHA20" s="557"/>
      <c r="EHB20" s="557"/>
      <c r="EHC20" s="557"/>
      <c r="EHD20" s="557"/>
      <c r="EHE20" s="557"/>
      <c r="EHF20" s="557"/>
      <c r="EHG20" s="557"/>
      <c r="EHH20" s="557"/>
      <c r="EHI20" s="557"/>
      <c r="EHJ20" s="557"/>
      <c r="EHK20" s="661"/>
      <c r="EHL20" s="556"/>
      <c r="EHM20" s="557"/>
      <c r="EHN20" s="557"/>
      <c r="EHO20" s="557"/>
      <c r="EHP20" s="557"/>
      <c r="EHQ20" s="557"/>
      <c r="EHR20" s="557"/>
      <c r="EHS20" s="557"/>
      <c r="EHT20" s="557"/>
      <c r="EHU20" s="557"/>
      <c r="EHV20" s="557"/>
      <c r="EHW20" s="557"/>
      <c r="EHX20" s="557"/>
      <c r="EHY20" s="557"/>
      <c r="EHZ20" s="557"/>
      <c r="EIA20" s="557"/>
      <c r="EIB20" s="557"/>
      <c r="EIC20" s="557"/>
      <c r="EID20" s="557"/>
      <c r="EIE20" s="661"/>
      <c r="EIF20" s="556"/>
      <c r="EIG20" s="557"/>
      <c r="EIH20" s="557"/>
      <c r="EII20" s="557"/>
      <c r="EIJ20" s="557"/>
      <c r="EIK20" s="557"/>
      <c r="EIL20" s="557"/>
      <c r="EIM20" s="557"/>
      <c r="EIN20" s="557"/>
      <c r="EIO20" s="557"/>
      <c r="EIP20" s="557"/>
      <c r="EIQ20" s="557"/>
      <c r="EIR20" s="557"/>
      <c r="EIS20" s="557"/>
      <c r="EIT20" s="557"/>
      <c r="EIU20" s="557"/>
      <c r="EIV20" s="557"/>
      <c r="EIW20" s="557"/>
      <c r="EIX20" s="557"/>
      <c r="EIY20" s="661"/>
      <c r="EIZ20" s="556"/>
      <c r="EJA20" s="557"/>
      <c r="EJB20" s="557"/>
      <c r="EJC20" s="557"/>
      <c r="EJD20" s="557"/>
      <c r="EJE20" s="557"/>
      <c r="EJF20" s="557"/>
      <c r="EJG20" s="557"/>
      <c r="EJH20" s="557"/>
      <c r="EJI20" s="557"/>
      <c r="EJJ20" s="557"/>
      <c r="EJK20" s="557"/>
      <c r="EJL20" s="557"/>
      <c r="EJM20" s="557"/>
      <c r="EJN20" s="557"/>
      <c r="EJO20" s="557"/>
      <c r="EJP20" s="557"/>
      <c r="EJQ20" s="557"/>
      <c r="EJR20" s="557"/>
      <c r="EJS20" s="661"/>
      <c r="EJT20" s="556"/>
      <c r="EJU20" s="557"/>
      <c r="EJV20" s="557"/>
      <c r="EJW20" s="557"/>
      <c r="EJX20" s="557"/>
      <c r="EJY20" s="557"/>
      <c r="EJZ20" s="557"/>
      <c r="EKA20" s="557"/>
      <c r="EKB20" s="557"/>
      <c r="EKC20" s="557"/>
      <c r="EKD20" s="557"/>
      <c r="EKE20" s="557"/>
      <c r="EKF20" s="557"/>
      <c r="EKG20" s="557"/>
      <c r="EKH20" s="557"/>
      <c r="EKI20" s="557"/>
      <c r="EKJ20" s="557"/>
      <c r="EKK20" s="557"/>
      <c r="EKL20" s="557"/>
      <c r="EKM20" s="661"/>
      <c r="EKN20" s="556"/>
      <c r="EKO20" s="557"/>
      <c r="EKP20" s="557"/>
      <c r="EKQ20" s="557"/>
      <c r="EKR20" s="557"/>
      <c r="EKS20" s="557"/>
      <c r="EKT20" s="557"/>
      <c r="EKU20" s="557"/>
      <c r="EKV20" s="557"/>
      <c r="EKW20" s="557"/>
      <c r="EKX20" s="557"/>
      <c r="EKY20" s="557"/>
      <c r="EKZ20" s="557"/>
      <c r="ELA20" s="557"/>
      <c r="ELB20" s="557"/>
      <c r="ELC20" s="557"/>
      <c r="ELD20" s="557"/>
      <c r="ELE20" s="557"/>
      <c r="ELF20" s="557"/>
      <c r="ELG20" s="661"/>
      <c r="ELH20" s="556"/>
      <c r="ELI20" s="557"/>
      <c r="ELJ20" s="557"/>
      <c r="ELK20" s="557"/>
      <c r="ELL20" s="557"/>
      <c r="ELM20" s="557"/>
      <c r="ELN20" s="557"/>
      <c r="ELO20" s="557"/>
      <c r="ELP20" s="557"/>
      <c r="ELQ20" s="557"/>
      <c r="ELR20" s="557"/>
      <c r="ELS20" s="557"/>
      <c r="ELT20" s="557"/>
      <c r="ELU20" s="557"/>
      <c r="ELV20" s="557"/>
      <c r="ELW20" s="557"/>
      <c r="ELX20" s="557"/>
      <c r="ELY20" s="557"/>
      <c r="ELZ20" s="557"/>
      <c r="EMA20" s="661"/>
      <c r="EMB20" s="556"/>
      <c r="EMC20" s="557"/>
      <c r="EMD20" s="557"/>
      <c r="EME20" s="557"/>
      <c r="EMF20" s="557"/>
      <c r="EMG20" s="557"/>
      <c r="EMH20" s="557"/>
      <c r="EMI20" s="557"/>
      <c r="EMJ20" s="557"/>
      <c r="EMK20" s="557"/>
      <c r="EML20" s="557"/>
      <c r="EMM20" s="557"/>
      <c r="EMN20" s="557"/>
      <c r="EMO20" s="557"/>
      <c r="EMP20" s="557"/>
      <c r="EMQ20" s="557"/>
      <c r="EMR20" s="557"/>
      <c r="EMS20" s="557"/>
      <c r="EMT20" s="557"/>
      <c r="EMU20" s="661"/>
      <c r="EMV20" s="556"/>
      <c r="EMW20" s="557"/>
      <c r="EMX20" s="557"/>
      <c r="EMY20" s="557"/>
      <c r="EMZ20" s="557"/>
      <c r="ENA20" s="557"/>
      <c r="ENB20" s="557"/>
      <c r="ENC20" s="557"/>
      <c r="END20" s="557"/>
      <c r="ENE20" s="557"/>
      <c r="ENF20" s="557"/>
      <c r="ENG20" s="557"/>
      <c r="ENH20" s="557"/>
      <c r="ENI20" s="557"/>
      <c r="ENJ20" s="557"/>
      <c r="ENK20" s="557"/>
      <c r="ENL20" s="557"/>
      <c r="ENM20" s="557"/>
      <c r="ENN20" s="557"/>
      <c r="ENO20" s="661"/>
      <c r="ENP20" s="556"/>
      <c r="ENQ20" s="557"/>
      <c r="ENR20" s="557"/>
      <c r="ENS20" s="557"/>
      <c r="ENT20" s="557"/>
      <c r="ENU20" s="557"/>
      <c r="ENV20" s="557"/>
      <c r="ENW20" s="557"/>
      <c r="ENX20" s="557"/>
      <c r="ENY20" s="557"/>
      <c r="ENZ20" s="557"/>
      <c r="EOA20" s="557"/>
      <c r="EOB20" s="557"/>
      <c r="EOC20" s="557"/>
      <c r="EOD20" s="557"/>
      <c r="EOE20" s="557"/>
      <c r="EOF20" s="557"/>
      <c r="EOG20" s="557"/>
      <c r="EOH20" s="557"/>
      <c r="EOI20" s="661"/>
      <c r="EOJ20" s="556"/>
      <c r="EOK20" s="557"/>
      <c r="EOL20" s="557"/>
      <c r="EOM20" s="557"/>
      <c r="EON20" s="557"/>
      <c r="EOO20" s="557"/>
      <c r="EOP20" s="557"/>
      <c r="EOQ20" s="557"/>
      <c r="EOR20" s="557"/>
      <c r="EOS20" s="557"/>
      <c r="EOT20" s="557"/>
      <c r="EOU20" s="557"/>
      <c r="EOV20" s="557"/>
      <c r="EOW20" s="557"/>
      <c r="EOX20" s="557"/>
      <c r="EOY20" s="557"/>
      <c r="EOZ20" s="557"/>
      <c r="EPA20" s="557"/>
      <c r="EPB20" s="557"/>
      <c r="EPC20" s="661"/>
      <c r="EPD20" s="556"/>
      <c r="EPE20" s="557"/>
      <c r="EPF20" s="557"/>
      <c r="EPG20" s="557"/>
      <c r="EPH20" s="557"/>
      <c r="EPI20" s="557"/>
      <c r="EPJ20" s="557"/>
      <c r="EPK20" s="557"/>
      <c r="EPL20" s="557"/>
      <c r="EPM20" s="557"/>
      <c r="EPN20" s="557"/>
      <c r="EPO20" s="557"/>
      <c r="EPP20" s="557"/>
      <c r="EPQ20" s="557"/>
      <c r="EPR20" s="557"/>
      <c r="EPS20" s="557"/>
      <c r="EPT20" s="557"/>
      <c r="EPU20" s="557"/>
      <c r="EPV20" s="557"/>
      <c r="EPW20" s="661"/>
      <c r="EPX20" s="556"/>
      <c r="EPY20" s="557"/>
      <c r="EPZ20" s="557"/>
      <c r="EQA20" s="557"/>
      <c r="EQB20" s="557"/>
      <c r="EQC20" s="557"/>
      <c r="EQD20" s="557"/>
      <c r="EQE20" s="557"/>
      <c r="EQF20" s="557"/>
      <c r="EQG20" s="557"/>
      <c r="EQH20" s="557"/>
      <c r="EQI20" s="557"/>
      <c r="EQJ20" s="557"/>
      <c r="EQK20" s="557"/>
      <c r="EQL20" s="557"/>
      <c r="EQM20" s="557"/>
      <c r="EQN20" s="557"/>
      <c r="EQO20" s="557"/>
      <c r="EQP20" s="557"/>
      <c r="EQQ20" s="661"/>
      <c r="EQR20" s="556"/>
      <c r="EQS20" s="557"/>
      <c r="EQT20" s="557"/>
      <c r="EQU20" s="557"/>
      <c r="EQV20" s="557"/>
      <c r="EQW20" s="557"/>
      <c r="EQX20" s="557"/>
      <c r="EQY20" s="557"/>
      <c r="EQZ20" s="557"/>
      <c r="ERA20" s="557"/>
      <c r="ERB20" s="557"/>
      <c r="ERC20" s="557"/>
      <c r="ERD20" s="557"/>
      <c r="ERE20" s="557"/>
      <c r="ERF20" s="557"/>
      <c r="ERG20" s="557"/>
      <c r="ERH20" s="557"/>
      <c r="ERI20" s="557"/>
      <c r="ERJ20" s="557"/>
      <c r="ERK20" s="661"/>
      <c r="ERL20" s="556"/>
      <c r="ERM20" s="557"/>
      <c r="ERN20" s="557"/>
      <c r="ERO20" s="557"/>
      <c r="ERP20" s="557"/>
      <c r="ERQ20" s="557"/>
      <c r="ERR20" s="557"/>
      <c r="ERS20" s="557"/>
      <c r="ERT20" s="557"/>
      <c r="ERU20" s="557"/>
      <c r="ERV20" s="557"/>
      <c r="ERW20" s="557"/>
      <c r="ERX20" s="557"/>
      <c r="ERY20" s="557"/>
      <c r="ERZ20" s="557"/>
      <c r="ESA20" s="557"/>
      <c r="ESB20" s="557"/>
      <c r="ESC20" s="557"/>
      <c r="ESD20" s="557"/>
      <c r="ESE20" s="661"/>
      <c r="ESF20" s="556"/>
      <c r="ESG20" s="557"/>
      <c r="ESH20" s="557"/>
      <c r="ESI20" s="557"/>
      <c r="ESJ20" s="557"/>
      <c r="ESK20" s="557"/>
      <c r="ESL20" s="557"/>
      <c r="ESM20" s="557"/>
      <c r="ESN20" s="557"/>
      <c r="ESO20" s="557"/>
      <c r="ESP20" s="557"/>
      <c r="ESQ20" s="557"/>
      <c r="ESR20" s="557"/>
      <c r="ESS20" s="557"/>
      <c r="EST20" s="557"/>
      <c r="ESU20" s="557"/>
      <c r="ESV20" s="557"/>
      <c r="ESW20" s="557"/>
      <c r="ESX20" s="557"/>
      <c r="ESY20" s="661"/>
      <c r="ESZ20" s="556"/>
      <c r="ETA20" s="557"/>
      <c r="ETB20" s="557"/>
      <c r="ETC20" s="557"/>
      <c r="ETD20" s="557"/>
      <c r="ETE20" s="557"/>
      <c r="ETF20" s="557"/>
      <c r="ETG20" s="557"/>
      <c r="ETH20" s="557"/>
      <c r="ETI20" s="557"/>
      <c r="ETJ20" s="557"/>
      <c r="ETK20" s="557"/>
      <c r="ETL20" s="557"/>
      <c r="ETM20" s="557"/>
      <c r="ETN20" s="557"/>
      <c r="ETO20" s="557"/>
      <c r="ETP20" s="557"/>
      <c r="ETQ20" s="557"/>
      <c r="ETR20" s="557"/>
      <c r="ETS20" s="661"/>
      <c r="ETT20" s="556"/>
      <c r="ETU20" s="557"/>
      <c r="ETV20" s="557"/>
      <c r="ETW20" s="557"/>
      <c r="ETX20" s="557"/>
      <c r="ETY20" s="557"/>
      <c r="ETZ20" s="557"/>
      <c r="EUA20" s="557"/>
      <c r="EUB20" s="557"/>
      <c r="EUC20" s="557"/>
      <c r="EUD20" s="557"/>
      <c r="EUE20" s="557"/>
      <c r="EUF20" s="557"/>
      <c r="EUG20" s="557"/>
      <c r="EUH20" s="557"/>
      <c r="EUI20" s="557"/>
      <c r="EUJ20" s="557"/>
      <c r="EUK20" s="557"/>
      <c r="EUL20" s="557"/>
      <c r="EUM20" s="661"/>
      <c r="EUN20" s="556"/>
      <c r="EUO20" s="557"/>
      <c r="EUP20" s="557"/>
      <c r="EUQ20" s="557"/>
      <c r="EUR20" s="557"/>
      <c r="EUS20" s="557"/>
      <c r="EUT20" s="557"/>
      <c r="EUU20" s="557"/>
      <c r="EUV20" s="557"/>
      <c r="EUW20" s="557"/>
      <c r="EUX20" s="557"/>
      <c r="EUY20" s="557"/>
      <c r="EUZ20" s="557"/>
      <c r="EVA20" s="557"/>
      <c r="EVB20" s="557"/>
      <c r="EVC20" s="557"/>
      <c r="EVD20" s="557"/>
      <c r="EVE20" s="557"/>
      <c r="EVF20" s="557"/>
      <c r="EVG20" s="661"/>
      <c r="EVH20" s="556"/>
      <c r="EVI20" s="557"/>
      <c r="EVJ20" s="557"/>
      <c r="EVK20" s="557"/>
      <c r="EVL20" s="557"/>
      <c r="EVM20" s="557"/>
      <c r="EVN20" s="557"/>
      <c r="EVO20" s="557"/>
      <c r="EVP20" s="557"/>
      <c r="EVQ20" s="557"/>
      <c r="EVR20" s="557"/>
      <c r="EVS20" s="557"/>
      <c r="EVT20" s="557"/>
      <c r="EVU20" s="557"/>
      <c r="EVV20" s="557"/>
      <c r="EVW20" s="557"/>
      <c r="EVX20" s="557"/>
      <c r="EVY20" s="557"/>
      <c r="EVZ20" s="557"/>
      <c r="EWA20" s="661"/>
      <c r="EWB20" s="556"/>
      <c r="EWC20" s="557"/>
      <c r="EWD20" s="557"/>
      <c r="EWE20" s="557"/>
      <c r="EWF20" s="557"/>
      <c r="EWG20" s="557"/>
      <c r="EWH20" s="557"/>
      <c r="EWI20" s="557"/>
      <c r="EWJ20" s="557"/>
      <c r="EWK20" s="557"/>
      <c r="EWL20" s="557"/>
      <c r="EWM20" s="557"/>
      <c r="EWN20" s="557"/>
      <c r="EWO20" s="557"/>
      <c r="EWP20" s="557"/>
      <c r="EWQ20" s="557"/>
      <c r="EWR20" s="557"/>
      <c r="EWS20" s="557"/>
      <c r="EWT20" s="557"/>
      <c r="EWU20" s="661"/>
      <c r="EWV20" s="556"/>
      <c r="EWW20" s="557"/>
      <c r="EWX20" s="557"/>
      <c r="EWY20" s="557"/>
      <c r="EWZ20" s="557"/>
      <c r="EXA20" s="557"/>
      <c r="EXB20" s="557"/>
      <c r="EXC20" s="557"/>
      <c r="EXD20" s="557"/>
      <c r="EXE20" s="557"/>
      <c r="EXF20" s="557"/>
      <c r="EXG20" s="557"/>
      <c r="EXH20" s="557"/>
      <c r="EXI20" s="557"/>
      <c r="EXJ20" s="557"/>
      <c r="EXK20" s="557"/>
      <c r="EXL20" s="557"/>
      <c r="EXM20" s="557"/>
      <c r="EXN20" s="557"/>
      <c r="EXO20" s="661"/>
      <c r="EXP20" s="556"/>
      <c r="EXQ20" s="557"/>
      <c r="EXR20" s="557"/>
      <c r="EXS20" s="557"/>
      <c r="EXT20" s="557"/>
      <c r="EXU20" s="557"/>
      <c r="EXV20" s="557"/>
      <c r="EXW20" s="557"/>
      <c r="EXX20" s="557"/>
      <c r="EXY20" s="557"/>
      <c r="EXZ20" s="557"/>
      <c r="EYA20" s="557"/>
      <c r="EYB20" s="557"/>
      <c r="EYC20" s="557"/>
      <c r="EYD20" s="557"/>
      <c r="EYE20" s="557"/>
      <c r="EYF20" s="557"/>
      <c r="EYG20" s="557"/>
      <c r="EYH20" s="557"/>
      <c r="EYI20" s="661"/>
      <c r="EYJ20" s="556"/>
      <c r="EYK20" s="557"/>
      <c r="EYL20" s="557"/>
      <c r="EYM20" s="557"/>
      <c r="EYN20" s="557"/>
      <c r="EYO20" s="557"/>
      <c r="EYP20" s="557"/>
      <c r="EYQ20" s="557"/>
      <c r="EYR20" s="557"/>
      <c r="EYS20" s="557"/>
      <c r="EYT20" s="557"/>
      <c r="EYU20" s="557"/>
      <c r="EYV20" s="557"/>
      <c r="EYW20" s="557"/>
      <c r="EYX20" s="557"/>
      <c r="EYY20" s="557"/>
      <c r="EYZ20" s="557"/>
      <c r="EZA20" s="557"/>
      <c r="EZB20" s="557"/>
      <c r="EZC20" s="661"/>
      <c r="EZD20" s="556"/>
      <c r="EZE20" s="557"/>
      <c r="EZF20" s="557"/>
      <c r="EZG20" s="557"/>
      <c r="EZH20" s="557"/>
      <c r="EZI20" s="557"/>
      <c r="EZJ20" s="557"/>
      <c r="EZK20" s="557"/>
      <c r="EZL20" s="557"/>
      <c r="EZM20" s="557"/>
      <c r="EZN20" s="557"/>
      <c r="EZO20" s="557"/>
      <c r="EZP20" s="557"/>
      <c r="EZQ20" s="557"/>
      <c r="EZR20" s="557"/>
      <c r="EZS20" s="557"/>
      <c r="EZT20" s="557"/>
      <c r="EZU20" s="557"/>
      <c r="EZV20" s="557"/>
      <c r="EZW20" s="661"/>
      <c r="EZX20" s="556"/>
      <c r="EZY20" s="557"/>
      <c r="EZZ20" s="557"/>
      <c r="FAA20" s="557"/>
      <c r="FAB20" s="557"/>
      <c r="FAC20" s="557"/>
      <c r="FAD20" s="557"/>
      <c r="FAE20" s="557"/>
      <c r="FAF20" s="557"/>
      <c r="FAG20" s="557"/>
      <c r="FAH20" s="557"/>
      <c r="FAI20" s="557"/>
      <c r="FAJ20" s="557"/>
      <c r="FAK20" s="557"/>
      <c r="FAL20" s="557"/>
      <c r="FAM20" s="557"/>
      <c r="FAN20" s="557"/>
      <c r="FAO20" s="557"/>
      <c r="FAP20" s="557"/>
      <c r="FAQ20" s="661"/>
      <c r="FAR20" s="556"/>
      <c r="FAS20" s="557"/>
      <c r="FAT20" s="557"/>
      <c r="FAU20" s="557"/>
      <c r="FAV20" s="557"/>
      <c r="FAW20" s="557"/>
      <c r="FAX20" s="557"/>
      <c r="FAY20" s="557"/>
      <c r="FAZ20" s="557"/>
      <c r="FBA20" s="557"/>
      <c r="FBB20" s="557"/>
      <c r="FBC20" s="557"/>
      <c r="FBD20" s="557"/>
      <c r="FBE20" s="557"/>
      <c r="FBF20" s="557"/>
      <c r="FBG20" s="557"/>
      <c r="FBH20" s="557"/>
      <c r="FBI20" s="557"/>
      <c r="FBJ20" s="557"/>
      <c r="FBK20" s="661"/>
      <c r="FBL20" s="556"/>
      <c r="FBM20" s="557"/>
      <c r="FBN20" s="557"/>
      <c r="FBO20" s="557"/>
      <c r="FBP20" s="557"/>
      <c r="FBQ20" s="557"/>
      <c r="FBR20" s="557"/>
      <c r="FBS20" s="557"/>
      <c r="FBT20" s="557"/>
      <c r="FBU20" s="557"/>
      <c r="FBV20" s="557"/>
      <c r="FBW20" s="557"/>
      <c r="FBX20" s="557"/>
      <c r="FBY20" s="557"/>
      <c r="FBZ20" s="557"/>
      <c r="FCA20" s="557"/>
      <c r="FCB20" s="557"/>
      <c r="FCC20" s="557"/>
      <c r="FCD20" s="557"/>
      <c r="FCE20" s="661"/>
      <c r="FCF20" s="556"/>
      <c r="FCG20" s="557"/>
      <c r="FCH20" s="557"/>
      <c r="FCI20" s="557"/>
      <c r="FCJ20" s="557"/>
      <c r="FCK20" s="557"/>
      <c r="FCL20" s="557"/>
      <c r="FCM20" s="557"/>
      <c r="FCN20" s="557"/>
      <c r="FCO20" s="557"/>
      <c r="FCP20" s="557"/>
      <c r="FCQ20" s="557"/>
      <c r="FCR20" s="557"/>
      <c r="FCS20" s="557"/>
      <c r="FCT20" s="557"/>
      <c r="FCU20" s="557"/>
      <c r="FCV20" s="557"/>
      <c r="FCW20" s="557"/>
      <c r="FCX20" s="557"/>
      <c r="FCY20" s="661"/>
      <c r="FCZ20" s="556"/>
      <c r="FDA20" s="557"/>
      <c r="FDB20" s="557"/>
      <c r="FDC20" s="557"/>
      <c r="FDD20" s="557"/>
      <c r="FDE20" s="557"/>
      <c r="FDF20" s="557"/>
      <c r="FDG20" s="557"/>
      <c r="FDH20" s="557"/>
      <c r="FDI20" s="557"/>
      <c r="FDJ20" s="557"/>
      <c r="FDK20" s="557"/>
      <c r="FDL20" s="557"/>
      <c r="FDM20" s="557"/>
      <c r="FDN20" s="557"/>
      <c r="FDO20" s="557"/>
      <c r="FDP20" s="557"/>
      <c r="FDQ20" s="557"/>
      <c r="FDR20" s="557"/>
      <c r="FDS20" s="661"/>
      <c r="FDT20" s="556"/>
      <c r="FDU20" s="557"/>
      <c r="FDV20" s="557"/>
      <c r="FDW20" s="557"/>
      <c r="FDX20" s="557"/>
      <c r="FDY20" s="557"/>
      <c r="FDZ20" s="557"/>
      <c r="FEA20" s="557"/>
      <c r="FEB20" s="557"/>
      <c r="FEC20" s="557"/>
      <c r="FED20" s="557"/>
      <c r="FEE20" s="557"/>
      <c r="FEF20" s="557"/>
      <c r="FEG20" s="557"/>
      <c r="FEH20" s="557"/>
      <c r="FEI20" s="557"/>
      <c r="FEJ20" s="557"/>
      <c r="FEK20" s="557"/>
      <c r="FEL20" s="557"/>
      <c r="FEM20" s="661"/>
      <c r="FEN20" s="556"/>
      <c r="FEO20" s="557"/>
      <c r="FEP20" s="557"/>
      <c r="FEQ20" s="557"/>
      <c r="FER20" s="557"/>
      <c r="FES20" s="557"/>
      <c r="FET20" s="557"/>
      <c r="FEU20" s="557"/>
      <c r="FEV20" s="557"/>
      <c r="FEW20" s="557"/>
      <c r="FEX20" s="557"/>
      <c r="FEY20" s="557"/>
      <c r="FEZ20" s="557"/>
      <c r="FFA20" s="557"/>
      <c r="FFB20" s="557"/>
      <c r="FFC20" s="557"/>
      <c r="FFD20" s="557"/>
      <c r="FFE20" s="557"/>
      <c r="FFF20" s="557"/>
      <c r="FFG20" s="661"/>
      <c r="FFH20" s="556"/>
      <c r="FFI20" s="557"/>
      <c r="FFJ20" s="557"/>
      <c r="FFK20" s="557"/>
      <c r="FFL20" s="557"/>
      <c r="FFM20" s="557"/>
      <c r="FFN20" s="557"/>
      <c r="FFO20" s="557"/>
      <c r="FFP20" s="557"/>
      <c r="FFQ20" s="557"/>
      <c r="FFR20" s="557"/>
      <c r="FFS20" s="557"/>
      <c r="FFT20" s="557"/>
      <c r="FFU20" s="557"/>
      <c r="FFV20" s="557"/>
      <c r="FFW20" s="557"/>
      <c r="FFX20" s="557"/>
      <c r="FFY20" s="557"/>
      <c r="FFZ20" s="557"/>
      <c r="FGA20" s="661"/>
      <c r="FGB20" s="556"/>
      <c r="FGC20" s="557"/>
      <c r="FGD20" s="557"/>
      <c r="FGE20" s="557"/>
      <c r="FGF20" s="557"/>
      <c r="FGG20" s="557"/>
      <c r="FGH20" s="557"/>
      <c r="FGI20" s="557"/>
      <c r="FGJ20" s="557"/>
      <c r="FGK20" s="557"/>
      <c r="FGL20" s="557"/>
      <c r="FGM20" s="557"/>
      <c r="FGN20" s="557"/>
      <c r="FGO20" s="557"/>
      <c r="FGP20" s="557"/>
      <c r="FGQ20" s="557"/>
      <c r="FGR20" s="557"/>
      <c r="FGS20" s="557"/>
      <c r="FGT20" s="557"/>
      <c r="FGU20" s="661"/>
      <c r="FGV20" s="556"/>
      <c r="FGW20" s="557"/>
      <c r="FGX20" s="557"/>
      <c r="FGY20" s="557"/>
      <c r="FGZ20" s="557"/>
      <c r="FHA20" s="557"/>
      <c r="FHB20" s="557"/>
      <c r="FHC20" s="557"/>
      <c r="FHD20" s="557"/>
      <c r="FHE20" s="557"/>
      <c r="FHF20" s="557"/>
      <c r="FHG20" s="557"/>
      <c r="FHH20" s="557"/>
      <c r="FHI20" s="557"/>
      <c r="FHJ20" s="557"/>
      <c r="FHK20" s="557"/>
      <c r="FHL20" s="557"/>
      <c r="FHM20" s="557"/>
      <c r="FHN20" s="557"/>
      <c r="FHO20" s="661"/>
      <c r="FHP20" s="556"/>
      <c r="FHQ20" s="557"/>
      <c r="FHR20" s="557"/>
      <c r="FHS20" s="557"/>
      <c r="FHT20" s="557"/>
      <c r="FHU20" s="557"/>
      <c r="FHV20" s="557"/>
      <c r="FHW20" s="557"/>
      <c r="FHX20" s="557"/>
      <c r="FHY20" s="557"/>
      <c r="FHZ20" s="557"/>
      <c r="FIA20" s="557"/>
      <c r="FIB20" s="557"/>
      <c r="FIC20" s="557"/>
      <c r="FID20" s="557"/>
      <c r="FIE20" s="557"/>
      <c r="FIF20" s="557"/>
      <c r="FIG20" s="557"/>
      <c r="FIH20" s="557"/>
      <c r="FII20" s="661"/>
      <c r="FIJ20" s="556"/>
      <c r="FIK20" s="557"/>
      <c r="FIL20" s="557"/>
      <c r="FIM20" s="557"/>
      <c r="FIN20" s="557"/>
      <c r="FIO20" s="557"/>
      <c r="FIP20" s="557"/>
      <c r="FIQ20" s="557"/>
      <c r="FIR20" s="557"/>
      <c r="FIS20" s="557"/>
      <c r="FIT20" s="557"/>
      <c r="FIU20" s="557"/>
      <c r="FIV20" s="557"/>
      <c r="FIW20" s="557"/>
      <c r="FIX20" s="557"/>
      <c r="FIY20" s="557"/>
      <c r="FIZ20" s="557"/>
      <c r="FJA20" s="557"/>
      <c r="FJB20" s="557"/>
      <c r="FJC20" s="661"/>
      <c r="FJD20" s="556"/>
      <c r="FJE20" s="557"/>
      <c r="FJF20" s="557"/>
      <c r="FJG20" s="557"/>
      <c r="FJH20" s="557"/>
      <c r="FJI20" s="557"/>
      <c r="FJJ20" s="557"/>
      <c r="FJK20" s="557"/>
      <c r="FJL20" s="557"/>
      <c r="FJM20" s="557"/>
      <c r="FJN20" s="557"/>
      <c r="FJO20" s="557"/>
      <c r="FJP20" s="557"/>
      <c r="FJQ20" s="557"/>
      <c r="FJR20" s="557"/>
      <c r="FJS20" s="557"/>
      <c r="FJT20" s="557"/>
      <c r="FJU20" s="557"/>
      <c r="FJV20" s="557"/>
      <c r="FJW20" s="661"/>
      <c r="FJX20" s="556"/>
      <c r="FJY20" s="557"/>
      <c r="FJZ20" s="557"/>
      <c r="FKA20" s="557"/>
      <c r="FKB20" s="557"/>
      <c r="FKC20" s="557"/>
      <c r="FKD20" s="557"/>
      <c r="FKE20" s="557"/>
      <c r="FKF20" s="557"/>
      <c r="FKG20" s="557"/>
      <c r="FKH20" s="557"/>
      <c r="FKI20" s="557"/>
      <c r="FKJ20" s="557"/>
      <c r="FKK20" s="557"/>
      <c r="FKL20" s="557"/>
      <c r="FKM20" s="557"/>
      <c r="FKN20" s="557"/>
      <c r="FKO20" s="557"/>
      <c r="FKP20" s="557"/>
      <c r="FKQ20" s="661"/>
      <c r="FKR20" s="556"/>
      <c r="FKS20" s="557"/>
      <c r="FKT20" s="557"/>
      <c r="FKU20" s="557"/>
      <c r="FKV20" s="557"/>
      <c r="FKW20" s="557"/>
      <c r="FKX20" s="557"/>
      <c r="FKY20" s="557"/>
      <c r="FKZ20" s="557"/>
      <c r="FLA20" s="557"/>
      <c r="FLB20" s="557"/>
      <c r="FLC20" s="557"/>
      <c r="FLD20" s="557"/>
      <c r="FLE20" s="557"/>
      <c r="FLF20" s="557"/>
      <c r="FLG20" s="557"/>
      <c r="FLH20" s="557"/>
      <c r="FLI20" s="557"/>
      <c r="FLJ20" s="557"/>
      <c r="FLK20" s="661"/>
      <c r="FLL20" s="556"/>
      <c r="FLM20" s="557"/>
      <c r="FLN20" s="557"/>
      <c r="FLO20" s="557"/>
      <c r="FLP20" s="557"/>
      <c r="FLQ20" s="557"/>
      <c r="FLR20" s="557"/>
      <c r="FLS20" s="557"/>
      <c r="FLT20" s="557"/>
      <c r="FLU20" s="557"/>
      <c r="FLV20" s="557"/>
      <c r="FLW20" s="557"/>
      <c r="FLX20" s="557"/>
      <c r="FLY20" s="557"/>
      <c r="FLZ20" s="557"/>
      <c r="FMA20" s="557"/>
      <c r="FMB20" s="557"/>
      <c r="FMC20" s="557"/>
      <c r="FMD20" s="557"/>
      <c r="FME20" s="661"/>
      <c r="FMF20" s="556"/>
      <c r="FMG20" s="557"/>
      <c r="FMH20" s="557"/>
      <c r="FMI20" s="557"/>
      <c r="FMJ20" s="557"/>
      <c r="FMK20" s="557"/>
      <c r="FML20" s="557"/>
      <c r="FMM20" s="557"/>
      <c r="FMN20" s="557"/>
      <c r="FMO20" s="557"/>
      <c r="FMP20" s="557"/>
      <c r="FMQ20" s="557"/>
      <c r="FMR20" s="557"/>
      <c r="FMS20" s="557"/>
      <c r="FMT20" s="557"/>
      <c r="FMU20" s="557"/>
      <c r="FMV20" s="557"/>
      <c r="FMW20" s="557"/>
      <c r="FMX20" s="557"/>
      <c r="FMY20" s="661"/>
      <c r="FMZ20" s="556"/>
      <c r="FNA20" s="557"/>
      <c r="FNB20" s="557"/>
      <c r="FNC20" s="557"/>
      <c r="FND20" s="557"/>
      <c r="FNE20" s="557"/>
      <c r="FNF20" s="557"/>
      <c r="FNG20" s="557"/>
      <c r="FNH20" s="557"/>
      <c r="FNI20" s="557"/>
      <c r="FNJ20" s="557"/>
      <c r="FNK20" s="557"/>
      <c r="FNL20" s="557"/>
      <c r="FNM20" s="557"/>
      <c r="FNN20" s="557"/>
      <c r="FNO20" s="557"/>
      <c r="FNP20" s="557"/>
      <c r="FNQ20" s="557"/>
      <c r="FNR20" s="557"/>
      <c r="FNS20" s="661"/>
      <c r="FNT20" s="556"/>
      <c r="FNU20" s="557"/>
      <c r="FNV20" s="557"/>
      <c r="FNW20" s="557"/>
      <c r="FNX20" s="557"/>
      <c r="FNY20" s="557"/>
      <c r="FNZ20" s="557"/>
      <c r="FOA20" s="557"/>
      <c r="FOB20" s="557"/>
      <c r="FOC20" s="557"/>
      <c r="FOD20" s="557"/>
      <c r="FOE20" s="557"/>
      <c r="FOF20" s="557"/>
      <c r="FOG20" s="557"/>
      <c r="FOH20" s="557"/>
      <c r="FOI20" s="557"/>
      <c r="FOJ20" s="557"/>
      <c r="FOK20" s="557"/>
      <c r="FOL20" s="557"/>
      <c r="FOM20" s="661"/>
      <c r="FON20" s="556"/>
      <c r="FOO20" s="557"/>
      <c r="FOP20" s="557"/>
      <c r="FOQ20" s="557"/>
      <c r="FOR20" s="557"/>
      <c r="FOS20" s="557"/>
      <c r="FOT20" s="557"/>
      <c r="FOU20" s="557"/>
      <c r="FOV20" s="557"/>
      <c r="FOW20" s="557"/>
      <c r="FOX20" s="557"/>
      <c r="FOY20" s="557"/>
      <c r="FOZ20" s="557"/>
      <c r="FPA20" s="557"/>
      <c r="FPB20" s="557"/>
      <c r="FPC20" s="557"/>
      <c r="FPD20" s="557"/>
      <c r="FPE20" s="557"/>
      <c r="FPF20" s="557"/>
      <c r="FPG20" s="661"/>
      <c r="FPH20" s="556"/>
      <c r="FPI20" s="557"/>
      <c r="FPJ20" s="557"/>
      <c r="FPK20" s="557"/>
      <c r="FPL20" s="557"/>
      <c r="FPM20" s="557"/>
      <c r="FPN20" s="557"/>
      <c r="FPO20" s="557"/>
      <c r="FPP20" s="557"/>
      <c r="FPQ20" s="557"/>
      <c r="FPR20" s="557"/>
      <c r="FPS20" s="557"/>
      <c r="FPT20" s="557"/>
      <c r="FPU20" s="557"/>
      <c r="FPV20" s="557"/>
      <c r="FPW20" s="557"/>
      <c r="FPX20" s="557"/>
      <c r="FPY20" s="557"/>
      <c r="FPZ20" s="557"/>
      <c r="FQA20" s="661"/>
      <c r="FQB20" s="556"/>
      <c r="FQC20" s="557"/>
      <c r="FQD20" s="557"/>
      <c r="FQE20" s="557"/>
      <c r="FQF20" s="557"/>
      <c r="FQG20" s="557"/>
      <c r="FQH20" s="557"/>
      <c r="FQI20" s="557"/>
      <c r="FQJ20" s="557"/>
      <c r="FQK20" s="557"/>
      <c r="FQL20" s="557"/>
      <c r="FQM20" s="557"/>
      <c r="FQN20" s="557"/>
      <c r="FQO20" s="557"/>
      <c r="FQP20" s="557"/>
      <c r="FQQ20" s="557"/>
      <c r="FQR20" s="557"/>
      <c r="FQS20" s="557"/>
      <c r="FQT20" s="557"/>
      <c r="FQU20" s="661"/>
      <c r="FQV20" s="556"/>
      <c r="FQW20" s="557"/>
      <c r="FQX20" s="557"/>
      <c r="FQY20" s="557"/>
      <c r="FQZ20" s="557"/>
      <c r="FRA20" s="557"/>
      <c r="FRB20" s="557"/>
      <c r="FRC20" s="557"/>
      <c r="FRD20" s="557"/>
      <c r="FRE20" s="557"/>
      <c r="FRF20" s="557"/>
      <c r="FRG20" s="557"/>
      <c r="FRH20" s="557"/>
      <c r="FRI20" s="557"/>
      <c r="FRJ20" s="557"/>
      <c r="FRK20" s="557"/>
      <c r="FRL20" s="557"/>
      <c r="FRM20" s="557"/>
      <c r="FRN20" s="557"/>
      <c r="FRO20" s="661"/>
      <c r="FRP20" s="556"/>
      <c r="FRQ20" s="557"/>
      <c r="FRR20" s="557"/>
      <c r="FRS20" s="557"/>
      <c r="FRT20" s="557"/>
      <c r="FRU20" s="557"/>
      <c r="FRV20" s="557"/>
      <c r="FRW20" s="557"/>
      <c r="FRX20" s="557"/>
      <c r="FRY20" s="557"/>
      <c r="FRZ20" s="557"/>
      <c r="FSA20" s="557"/>
      <c r="FSB20" s="557"/>
      <c r="FSC20" s="557"/>
      <c r="FSD20" s="557"/>
      <c r="FSE20" s="557"/>
      <c r="FSF20" s="557"/>
      <c r="FSG20" s="557"/>
      <c r="FSH20" s="557"/>
      <c r="FSI20" s="661"/>
      <c r="FSJ20" s="556"/>
      <c r="FSK20" s="557"/>
      <c r="FSL20" s="557"/>
      <c r="FSM20" s="557"/>
      <c r="FSN20" s="557"/>
      <c r="FSO20" s="557"/>
      <c r="FSP20" s="557"/>
      <c r="FSQ20" s="557"/>
      <c r="FSR20" s="557"/>
      <c r="FSS20" s="557"/>
      <c r="FST20" s="557"/>
      <c r="FSU20" s="557"/>
      <c r="FSV20" s="557"/>
      <c r="FSW20" s="557"/>
      <c r="FSX20" s="557"/>
      <c r="FSY20" s="557"/>
      <c r="FSZ20" s="557"/>
      <c r="FTA20" s="557"/>
      <c r="FTB20" s="557"/>
      <c r="FTC20" s="661"/>
      <c r="FTD20" s="556"/>
      <c r="FTE20" s="557"/>
      <c r="FTF20" s="557"/>
      <c r="FTG20" s="557"/>
      <c r="FTH20" s="557"/>
      <c r="FTI20" s="557"/>
      <c r="FTJ20" s="557"/>
      <c r="FTK20" s="557"/>
      <c r="FTL20" s="557"/>
      <c r="FTM20" s="557"/>
      <c r="FTN20" s="557"/>
      <c r="FTO20" s="557"/>
      <c r="FTP20" s="557"/>
      <c r="FTQ20" s="557"/>
      <c r="FTR20" s="557"/>
      <c r="FTS20" s="557"/>
      <c r="FTT20" s="557"/>
      <c r="FTU20" s="557"/>
      <c r="FTV20" s="557"/>
      <c r="FTW20" s="661"/>
      <c r="FTX20" s="556"/>
      <c r="FTY20" s="557"/>
      <c r="FTZ20" s="557"/>
      <c r="FUA20" s="557"/>
      <c r="FUB20" s="557"/>
      <c r="FUC20" s="557"/>
      <c r="FUD20" s="557"/>
      <c r="FUE20" s="557"/>
      <c r="FUF20" s="557"/>
      <c r="FUG20" s="557"/>
      <c r="FUH20" s="557"/>
      <c r="FUI20" s="557"/>
      <c r="FUJ20" s="557"/>
      <c r="FUK20" s="557"/>
      <c r="FUL20" s="557"/>
      <c r="FUM20" s="557"/>
      <c r="FUN20" s="557"/>
      <c r="FUO20" s="557"/>
      <c r="FUP20" s="557"/>
      <c r="FUQ20" s="661"/>
      <c r="FUR20" s="556"/>
      <c r="FUS20" s="557"/>
      <c r="FUT20" s="557"/>
      <c r="FUU20" s="557"/>
      <c r="FUV20" s="557"/>
      <c r="FUW20" s="557"/>
      <c r="FUX20" s="557"/>
      <c r="FUY20" s="557"/>
      <c r="FUZ20" s="557"/>
      <c r="FVA20" s="557"/>
      <c r="FVB20" s="557"/>
      <c r="FVC20" s="557"/>
      <c r="FVD20" s="557"/>
      <c r="FVE20" s="557"/>
      <c r="FVF20" s="557"/>
      <c r="FVG20" s="557"/>
      <c r="FVH20" s="557"/>
      <c r="FVI20" s="557"/>
      <c r="FVJ20" s="557"/>
      <c r="FVK20" s="661"/>
      <c r="FVL20" s="556"/>
      <c r="FVM20" s="557"/>
      <c r="FVN20" s="557"/>
      <c r="FVO20" s="557"/>
      <c r="FVP20" s="557"/>
      <c r="FVQ20" s="557"/>
      <c r="FVR20" s="557"/>
      <c r="FVS20" s="557"/>
      <c r="FVT20" s="557"/>
      <c r="FVU20" s="557"/>
      <c r="FVV20" s="557"/>
      <c r="FVW20" s="557"/>
      <c r="FVX20" s="557"/>
      <c r="FVY20" s="557"/>
      <c r="FVZ20" s="557"/>
      <c r="FWA20" s="557"/>
      <c r="FWB20" s="557"/>
      <c r="FWC20" s="557"/>
      <c r="FWD20" s="557"/>
      <c r="FWE20" s="661"/>
      <c r="FWF20" s="556"/>
      <c r="FWG20" s="557"/>
      <c r="FWH20" s="557"/>
      <c r="FWI20" s="557"/>
      <c r="FWJ20" s="557"/>
      <c r="FWK20" s="557"/>
      <c r="FWL20" s="557"/>
      <c r="FWM20" s="557"/>
      <c r="FWN20" s="557"/>
      <c r="FWO20" s="557"/>
      <c r="FWP20" s="557"/>
      <c r="FWQ20" s="557"/>
      <c r="FWR20" s="557"/>
      <c r="FWS20" s="557"/>
      <c r="FWT20" s="557"/>
      <c r="FWU20" s="557"/>
      <c r="FWV20" s="557"/>
      <c r="FWW20" s="557"/>
      <c r="FWX20" s="557"/>
      <c r="FWY20" s="661"/>
      <c r="FWZ20" s="556"/>
      <c r="FXA20" s="557"/>
      <c r="FXB20" s="557"/>
      <c r="FXC20" s="557"/>
      <c r="FXD20" s="557"/>
      <c r="FXE20" s="557"/>
      <c r="FXF20" s="557"/>
      <c r="FXG20" s="557"/>
      <c r="FXH20" s="557"/>
      <c r="FXI20" s="557"/>
      <c r="FXJ20" s="557"/>
      <c r="FXK20" s="557"/>
      <c r="FXL20" s="557"/>
      <c r="FXM20" s="557"/>
      <c r="FXN20" s="557"/>
      <c r="FXO20" s="557"/>
      <c r="FXP20" s="557"/>
      <c r="FXQ20" s="557"/>
      <c r="FXR20" s="557"/>
      <c r="FXS20" s="661"/>
      <c r="FXT20" s="556"/>
      <c r="FXU20" s="557"/>
      <c r="FXV20" s="557"/>
      <c r="FXW20" s="557"/>
      <c r="FXX20" s="557"/>
      <c r="FXY20" s="557"/>
      <c r="FXZ20" s="557"/>
      <c r="FYA20" s="557"/>
      <c r="FYB20" s="557"/>
      <c r="FYC20" s="557"/>
      <c r="FYD20" s="557"/>
      <c r="FYE20" s="557"/>
      <c r="FYF20" s="557"/>
      <c r="FYG20" s="557"/>
      <c r="FYH20" s="557"/>
      <c r="FYI20" s="557"/>
      <c r="FYJ20" s="557"/>
      <c r="FYK20" s="557"/>
      <c r="FYL20" s="557"/>
      <c r="FYM20" s="661"/>
      <c r="FYN20" s="556"/>
      <c r="FYO20" s="557"/>
      <c r="FYP20" s="557"/>
      <c r="FYQ20" s="557"/>
      <c r="FYR20" s="557"/>
      <c r="FYS20" s="557"/>
      <c r="FYT20" s="557"/>
      <c r="FYU20" s="557"/>
      <c r="FYV20" s="557"/>
      <c r="FYW20" s="557"/>
      <c r="FYX20" s="557"/>
      <c r="FYY20" s="557"/>
      <c r="FYZ20" s="557"/>
      <c r="FZA20" s="557"/>
      <c r="FZB20" s="557"/>
      <c r="FZC20" s="557"/>
      <c r="FZD20" s="557"/>
      <c r="FZE20" s="557"/>
      <c r="FZF20" s="557"/>
      <c r="FZG20" s="661"/>
      <c r="FZH20" s="556"/>
      <c r="FZI20" s="557"/>
      <c r="FZJ20" s="557"/>
      <c r="FZK20" s="557"/>
      <c r="FZL20" s="557"/>
      <c r="FZM20" s="557"/>
      <c r="FZN20" s="557"/>
      <c r="FZO20" s="557"/>
      <c r="FZP20" s="557"/>
      <c r="FZQ20" s="557"/>
      <c r="FZR20" s="557"/>
      <c r="FZS20" s="557"/>
      <c r="FZT20" s="557"/>
      <c r="FZU20" s="557"/>
      <c r="FZV20" s="557"/>
      <c r="FZW20" s="557"/>
      <c r="FZX20" s="557"/>
      <c r="FZY20" s="557"/>
      <c r="FZZ20" s="557"/>
      <c r="GAA20" s="661"/>
      <c r="GAB20" s="556"/>
      <c r="GAC20" s="557"/>
      <c r="GAD20" s="557"/>
      <c r="GAE20" s="557"/>
      <c r="GAF20" s="557"/>
      <c r="GAG20" s="557"/>
      <c r="GAH20" s="557"/>
      <c r="GAI20" s="557"/>
      <c r="GAJ20" s="557"/>
      <c r="GAK20" s="557"/>
      <c r="GAL20" s="557"/>
      <c r="GAM20" s="557"/>
      <c r="GAN20" s="557"/>
      <c r="GAO20" s="557"/>
      <c r="GAP20" s="557"/>
      <c r="GAQ20" s="557"/>
      <c r="GAR20" s="557"/>
      <c r="GAS20" s="557"/>
      <c r="GAT20" s="557"/>
      <c r="GAU20" s="661"/>
      <c r="GAV20" s="556"/>
      <c r="GAW20" s="557"/>
      <c r="GAX20" s="557"/>
      <c r="GAY20" s="557"/>
      <c r="GAZ20" s="557"/>
      <c r="GBA20" s="557"/>
      <c r="GBB20" s="557"/>
      <c r="GBC20" s="557"/>
      <c r="GBD20" s="557"/>
      <c r="GBE20" s="557"/>
      <c r="GBF20" s="557"/>
      <c r="GBG20" s="557"/>
      <c r="GBH20" s="557"/>
      <c r="GBI20" s="557"/>
      <c r="GBJ20" s="557"/>
      <c r="GBK20" s="557"/>
      <c r="GBL20" s="557"/>
      <c r="GBM20" s="557"/>
      <c r="GBN20" s="557"/>
      <c r="GBO20" s="661"/>
      <c r="GBP20" s="556"/>
      <c r="GBQ20" s="557"/>
      <c r="GBR20" s="557"/>
      <c r="GBS20" s="557"/>
      <c r="GBT20" s="557"/>
      <c r="GBU20" s="557"/>
      <c r="GBV20" s="557"/>
      <c r="GBW20" s="557"/>
      <c r="GBX20" s="557"/>
      <c r="GBY20" s="557"/>
      <c r="GBZ20" s="557"/>
      <c r="GCA20" s="557"/>
      <c r="GCB20" s="557"/>
      <c r="GCC20" s="557"/>
      <c r="GCD20" s="557"/>
      <c r="GCE20" s="557"/>
      <c r="GCF20" s="557"/>
      <c r="GCG20" s="557"/>
      <c r="GCH20" s="557"/>
      <c r="GCI20" s="661"/>
      <c r="GCJ20" s="556"/>
      <c r="GCK20" s="557"/>
      <c r="GCL20" s="557"/>
      <c r="GCM20" s="557"/>
      <c r="GCN20" s="557"/>
      <c r="GCO20" s="557"/>
      <c r="GCP20" s="557"/>
      <c r="GCQ20" s="557"/>
      <c r="GCR20" s="557"/>
      <c r="GCS20" s="557"/>
      <c r="GCT20" s="557"/>
      <c r="GCU20" s="557"/>
      <c r="GCV20" s="557"/>
      <c r="GCW20" s="557"/>
      <c r="GCX20" s="557"/>
      <c r="GCY20" s="557"/>
      <c r="GCZ20" s="557"/>
      <c r="GDA20" s="557"/>
      <c r="GDB20" s="557"/>
      <c r="GDC20" s="661"/>
      <c r="GDD20" s="556"/>
      <c r="GDE20" s="557"/>
      <c r="GDF20" s="557"/>
      <c r="GDG20" s="557"/>
      <c r="GDH20" s="557"/>
      <c r="GDI20" s="557"/>
      <c r="GDJ20" s="557"/>
      <c r="GDK20" s="557"/>
      <c r="GDL20" s="557"/>
      <c r="GDM20" s="557"/>
      <c r="GDN20" s="557"/>
      <c r="GDO20" s="557"/>
      <c r="GDP20" s="557"/>
      <c r="GDQ20" s="557"/>
      <c r="GDR20" s="557"/>
      <c r="GDS20" s="557"/>
      <c r="GDT20" s="557"/>
      <c r="GDU20" s="557"/>
      <c r="GDV20" s="557"/>
      <c r="GDW20" s="661"/>
      <c r="GDX20" s="556"/>
      <c r="GDY20" s="557"/>
      <c r="GDZ20" s="557"/>
      <c r="GEA20" s="557"/>
      <c r="GEB20" s="557"/>
      <c r="GEC20" s="557"/>
      <c r="GED20" s="557"/>
      <c r="GEE20" s="557"/>
      <c r="GEF20" s="557"/>
      <c r="GEG20" s="557"/>
      <c r="GEH20" s="557"/>
      <c r="GEI20" s="557"/>
      <c r="GEJ20" s="557"/>
      <c r="GEK20" s="557"/>
      <c r="GEL20" s="557"/>
      <c r="GEM20" s="557"/>
      <c r="GEN20" s="557"/>
      <c r="GEO20" s="557"/>
      <c r="GEP20" s="557"/>
      <c r="GEQ20" s="661"/>
      <c r="GER20" s="556"/>
      <c r="GES20" s="557"/>
      <c r="GET20" s="557"/>
      <c r="GEU20" s="557"/>
      <c r="GEV20" s="557"/>
      <c r="GEW20" s="557"/>
      <c r="GEX20" s="557"/>
      <c r="GEY20" s="557"/>
      <c r="GEZ20" s="557"/>
      <c r="GFA20" s="557"/>
      <c r="GFB20" s="557"/>
      <c r="GFC20" s="557"/>
      <c r="GFD20" s="557"/>
      <c r="GFE20" s="557"/>
      <c r="GFF20" s="557"/>
      <c r="GFG20" s="557"/>
      <c r="GFH20" s="557"/>
      <c r="GFI20" s="557"/>
      <c r="GFJ20" s="557"/>
      <c r="GFK20" s="661"/>
      <c r="GFL20" s="556"/>
      <c r="GFM20" s="557"/>
      <c r="GFN20" s="557"/>
      <c r="GFO20" s="557"/>
      <c r="GFP20" s="557"/>
      <c r="GFQ20" s="557"/>
      <c r="GFR20" s="557"/>
      <c r="GFS20" s="557"/>
      <c r="GFT20" s="557"/>
      <c r="GFU20" s="557"/>
      <c r="GFV20" s="557"/>
      <c r="GFW20" s="557"/>
      <c r="GFX20" s="557"/>
      <c r="GFY20" s="557"/>
      <c r="GFZ20" s="557"/>
      <c r="GGA20" s="557"/>
      <c r="GGB20" s="557"/>
      <c r="GGC20" s="557"/>
      <c r="GGD20" s="557"/>
      <c r="GGE20" s="661"/>
      <c r="GGF20" s="556"/>
      <c r="GGG20" s="557"/>
      <c r="GGH20" s="557"/>
      <c r="GGI20" s="557"/>
      <c r="GGJ20" s="557"/>
      <c r="GGK20" s="557"/>
      <c r="GGL20" s="557"/>
      <c r="GGM20" s="557"/>
      <c r="GGN20" s="557"/>
      <c r="GGO20" s="557"/>
      <c r="GGP20" s="557"/>
      <c r="GGQ20" s="557"/>
      <c r="GGR20" s="557"/>
      <c r="GGS20" s="557"/>
      <c r="GGT20" s="557"/>
      <c r="GGU20" s="557"/>
      <c r="GGV20" s="557"/>
      <c r="GGW20" s="557"/>
      <c r="GGX20" s="557"/>
      <c r="GGY20" s="661"/>
      <c r="GGZ20" s="556"/>
      <c r="GHA20" s="557"/>
      <c r="GHB20" s="557"/>
      <c r="GHC20" s="557"/>
      <c r="GHD20" s="557"/>
      <c r="GHE20" s="557"/>
      <c r="GHF20" s="557"/>
      <c r="GHG20" s="557"/>
      <c r="GHH20" s="557"/>
      <c r="GHI20" s="557"/>
      <c r="GHJ20" s="557"/>
      <c r="GHK20" s="557"/>
      <c r="GHL20" s="557"/>
      <c r="GHM20" s="557"/>
      <c r="GHN20" s="557"/>
      <c r="GHO20" s="557"/>
      <c r="GHP20" s="557"/>
      <c r="GHQ20" s="557"/>
      <c r="GHR20" s="557"/>
      <c r="GHS20" s="661"/>
      <c r="GHT20" s="556"/>
      <c r="GHU20" s="557"/>
      <c r="GHV20" s="557"/>
      <c r="GHW20" s="557"/>
      <c r="GHX20" s="557"/>
      <c r="GHY20" s="557"/>
      <c r="GHZ20" s="557"/>
      <c r="GIA20" s="557"/>
      <c r="GIB20" s="557"/>
      <c r="GIC20" s="557"/>
      <c r="GID20" s="557"/>
      <c r="GIE20" s="557"/>
      <c r="GIF20" s="557"/>
      <c r="GIG20" s="557"/>
      <c r="GIH20" s="557"/>
      <c r="GII20" s="557"/>
      <c r="GIJ20" s="557"/>
      <c r="GIK20" s="557"/>
      <c r="GIL20" s="557"/>
      <c r="GIM20" s="661"/>
      <c r="GIN20" s="556"/>
      <c r="GIO20" s="557"/>
      <c r="GIP20" s="557"/>
      <c r="GIQ20" s="557"/>
      <c r="GIR20" s="557"/>
      <c r="GIS20" s="557"/>
      <c r="GIT20" s="557"/>
      <c r="GIU20" s="557"/>
      <c r="GIV20" s="557"/>
      <c r="GIW20" s="557"/>
      <c r="GIX20" s="557"/>
      <c r="GIY20" s="557"/>
      <c r="GIZ20" s="557"/>
      <c r="GJA20" s="557"/>
      <c r="GJB20" s="557"/>
      <c r="GJC20" s="557"/>
      <c r="GJD20" s="557"/>
      <c r="GJE20" s="557"/>
      <c r="GJF20" s="557"/>
      <c r="GJG20" s="661"/>
      <c r="GJH20" s="556"/>
      <c r="GJI20" s="557"/>
      <c r="GJJ20" s="557"/>
      <c r="GJK20" s="557"/>
      <c r="GJL20" s="557"/>
      <c r="GJM20" s="557"/>
      <c r="GJN20" s="557"/>
      <c r="GJO20" s="557"/>
      <c r="GJP20" s="557"/>
      <c r="GJQ20" s="557"/>
      <c r="GJR20" s="557"/>
      <c r="GJS20" s="557"/>
      <c r="GJT20" s="557"/>
      <c r="GJU20" s="557"/>
      <c r="GJV20" s="557"/>
      <c r="GJW20" s="557"/>
      <c r="GJX20" s="557"/>
      <c r="GJY20" s="557"/>
      <c r="GJZ20" s="557"/>
      <c r="GKA20" s="661"/>
      <c r="GKB20" s="556"/>
      <c r="GKC20" s="557"/>
      <c r="GKD20" s="557"/>
      <c r="GKE20" s="557"/>
      <c r="GKF20" s="557"/>
      <c r="GKG20" s="557"/>
      <c r="GKH20" s="557"/>
      <c r="GKI20" s="557"/>
      <c r="GKJ20" s="557"/>
      <c r="GKK20" s="557"/>
      <c r="GKL20" s="557"/>
      <c r="GKM20" s="557"/>
      <c r="GKN20" s="557"/>
      <c r="GKO20" s="557"/>
      <c r="GKP20" s="557"/>
      <c r="GKQ20" s="557"/>
      <c r="GKR20" s="557"/>
      <c r="GKS20" s="557"/>
      <c r="GKT20" s="557"/>
      <c r="GKU20" s="661"/>
      <c r="GKV20" s="556"/>
      <c r="GKW20" s="557"/>
      <c r="GKX20" s="557"/>
      <c r="GKY20" s="557"/>
      <c r="GKZ20" s="557"/>
      <c r="GLA20" s="557"/>
      <c r="GLB20" s="557"/>
      <c r="GLC20" s="557"/>
      <c r="GLD20" s="557"/>
      <c r="GLE20" s="557"/>
      <c r="GLF20" s="557"/>
      <c r="GLG20" s="557"/>
      <c r="GLH20" s="557"/>
      <c r="GLI20" s="557"/>
      <c r="GLJ20" s="557"/>
      <c r="GLK20" s="557"/>
      <c r="GLL20" s="557"/>
      <c r="GLM20" s="557"/>
      <c r="GLN20" s="557"/>
      <c r="GLO20" s="661"/>
      <c r="GLP20" s="556"/>
      <c r="GLQ20" s="557"/>
      <c r="GLR20" s="557"/>
      <c r="GLS20" s="557"/>
      <c r="GLT20" s="557"/>
      <c r="GLU20" s="557"/>
      <c r="GLV20" s="557"/>
      <c r="GLW20" s="557"/>
      <c r="GLX20" s="557"/>
      <c r="GLY20" s="557"/>
      <c r="GLZ20" s="557"/>
      <c r="GMA20" s="557"/>
      <c r="GMB20" s="557"/>
      <c r="GMC20" s="557"/>
      <c r="GMD20" s="557"/>
      <c r="GME20" s="557"/>
      <c r="GMF20" s="557"/>
      <c r="GMG20" s="557"/>
      <c r="GMH20" s="557"/>
      <c r="GMI20" s="661"/>
      <c r="GMJ20" s="556"/>
      <c r="GMK20" s="557"/>
      <c r="GML20" s="557"/>
      <c r="GMM20" s="557"/>
      <c r="GMN20" s="557"/>
      <c r="GMO20" s="557"/>
      <c r="GMP20" s="557"/>
      <c r="GMQ20" s="557"/>
      <c r="GMR20" s="557"/>
      <c r="GMS20" s="557"/>
      <c r="GMT20" s="557"/>
      <c r="GMU20" s="557"/>
      <c r="GMV20" s="557"/>
      <c r="GMW20" s="557"/>
      <c r="GMX20" s="557"/>
      <c r="GMY20" s="557"/>
      <c r="GMZ20" s="557"/>
      <c r="GNA20" s="557"/>
      <c r="GNB20" s="557"/>
      <c r="GNC20" s="661"/>
      <c r="GND20" s="556"/>
      <c r="GNE20" s="557"/>
      <c r="GNF20" s="557"/>
      <c r="GNG20" s="557"/>
      <c r="GNH20" s="557"/>
      <c r="GNI20" s="557"/>
      <c r="GNJ20" s="557"/>
      <c r="GNK20" s="557"/>
      <c r="GNL20" s="557"/>
      <c r="GNM20" s="557"/>
      <c r="GNN20" s="557"/>
      <c r="GNO20" s="557"/>
      <c r="GNP20" s="557"/>
      <c r="GNQ20" s="557"/>
      <c r="GNR20" s="557"/>
      <c r="GNS20" s="557"/>
      <c r="GNT20" s="557"/>
      <c r="GNU20" s="557"/>
      <c r="GNV20" s="557"/>
      <c r="GNW20" s="661"/>
      <c r="GNX20" s="556"/>
      <c r="GNY20" s="557"/>
      <c r="GNZ20" s="557"/>
      <c r="GOA20" s="557"/>
      <c r="GOB20" s="557"/>
      <c r="GOC20" s="557"/>
      <c r="GOD20" s="557"/>
      <c r="GOE20" s="557"/>
      <c r="GOF20" s="557"/>
      <c r="GOG20" s="557"/>
      <c r="GOH20" s="557"/>
      <c r="GOI20" s="557"/>
      <c r="GOJ20" s="557"/>
      <c r="GOK20" s="557"/>
      <c r="GOL20" s="557"/>
      <c r="GOM20" s="557"/>
      <c r="GON20" s="557"/>
      <c r="GOO20" s="557"/>
      <c r="GOP20" s="557"/>
      <c r="GOQ20" s="661"/>
      <c r="GOR20" s="556"/>
      <c r="GOS20" s="557"/>
      <c r="GOT20" s="557"/>
      <c r="GOU20" s="557"/>
      <c r="GOV20" s="557"/>
      <c r="GOW20" s="557"/>
      <c r="GOX20" s="557"/>
      <c r="GOY20" s="557"/>
      <c r="GOZ20" s="557"/>
      <c r="GPA20" s="557"/>
      <c r="GPB20" s="557"/>
      <c r="GPC20" s="557"/>
      <c r="GPD20" s="557"/>
      <c r="GPE20" s="557"/>
      <c r="GPF20" s="557"/>
      <c r="GPG20" s="557"/>
      <c r="GPH20" s="557"/>
      <c r="GPI20" s="557"/>
      <c r="GPJ20" s="557"/>
      <c r="GPK20" s="661"/>
      <c r="GPL20" s="556"/>
      <c r="GPM20" s="557"/>
      <c r="GPN20" s="557"/>
      <c r="GPO20" s="557"/>
      <c r="GPP20" s="557"/>
      <c r="GPQ20" s="557"/>
      <c r="GPR20" s="557"/>
      <c r="GPS20" s="557"/>
      <c r="GPT20" s="557"/>
      <c r="GPU20" s="557"/>
      <c r="GPV20" s="557"/>
      <c r="GPW20" s="557"/>
      <c r="GPX20" s="557"/>
      <c r="GPY20" s="557"/>
      <c r="GPZ20" s="557"/>
      <c r="GQA20" s="557"/>
      <c r="GQB20" s="557"/>
      <c r="GQC20" s="557"/>
      <c r="GQD20" s="557"/>
      <c r="GQE20" s="661"/>
      <c r="GQF20" s="556"/>
      <c r="GQG20" s="557"/>
      <c r="GQH20" s="557"/>
      <c r="GQI20" s="557"/>
      <c r="GQJ20" s="557"/>
      <c r="GQK20" s="557"/>
      <c r="GQL20" s="557"/>
      <c r="GQM20" s="557"/>
      <c r="GQN20" s="557"/>
      <c r="GQO20" s="557"/>
      <c r="GQP20" s="557"/>
      <c r="GQQ20" s="557"/>
      <c r="GQR20" s="557"/>
      <c r="GQS20" s="557"/>
      <c r="GQT20" s="557"/>
      <c r="GQU20" s="557"/>
      <c r="GQV20" s="557"/>
      <c r="GQW20" s="557"/>
      <c r="GQX20" s="557"/>
      <c r="GQY20" s="661"/>
      <c r="GQZ20" s="556"/>
      <c r="GRA20" s="557"/>
      <c r="GRB20" s="557"/>
      <c r="GRC20" s="557"/>
      <c r="GRD20" s="557"/>
      <c r="GRE20" s="557"/>
      <c r="GRF20" s="557"/>
      <c r="GRG20" s="557"/>
      <c r="GRH20" s="557"/>
      <c r="GRI20" s="557"/>
      <c r="GRJ20" s="557"/>
      <c r="GRK20" s="557"/>
      <c r="GRL20" s="557"/>
      <c r="GRM20" s="557"/>
      <c r="GRN20" s="557"/>
      <c r="GRO20" s="557"/>
      <c r="GRP20" s="557"/>
      <c r="GRQ20" s="557"/>
      <c r="GRR20" s="557"/>
      <c r="GRS20" s="661"/>
      <c r="GRT20" s="556"/>
      <c r="GRU20" s="557"/>
      <c r="GRV20" s="557"/>
      <c r="GRW20" s="557"/>
      <c r="GRX20" s="557"/>
      <c r="GRY20" s="557"/>
      <c r="GRZ20" s="557"/>
      <c r="GSA20" s="557"/>
      <c r="GSB20" s="557"/>
      <c r="GSC20" s="557"/>
      <c r="GSD20" s="557"/>
      <c r="GSE20" s="557"/>
      <c r="GSF20" s="557"/>
      <c r="GSG20" s="557"/>
      <c r="GSH20" s="557"/>
      <c r="GSI20" s="557"/>
      <c r="GSJ20" s="557"/>
      <c r="GSK20" s="557"/>
      <c r="GSL20" s="557"/>
      <c r="GSM20" s="661"/>
      <c r="GSN20" s="556"/>
      <c r="GSO20" s="557"/>
      <c r="GSP20" s="557"/>
      <c r="GSQ20" s="557"/>
      <c r="GSR20" s="557"/>
      <c r="GSS20" s="557"/>
      <c r="GST20" s="557"/>
      <c r="GSU20" s="557"/>
      <c r="GSV20" s="557"/>
      <c r="GSW20" s="557"/>
      <c r="GSX20" s="557"/>
      <c r="GSY20" s="557"/>
      <c r="GSZ20" s="557"/>
      <c r="GTA20" s="557"/>
      <c r="GTB20" s="557"/>
      <c r="GTC20" s="557"/>
      <c r="GTD20" s="557"/>
      <c r="GTE20" s="557"/>
      <c r="GTF20" s="557"/>
      <c r="GTG20" s="661"/>
      <c r="GTH20" s="556"/>
      <c r="GTI20" s="557"/>
      <c r="GTJ20" s="557"/>
      <c r="GTK20" s="557"/>
      <c r="GTL20" s="557"/>
      <c r="GTM20" s="557"/>
      <c r="GTN20" s="557"/>
      <c r="GTO20" s="557"/>
      <c r="GTP20" s="557"/>
      <c r="GTQ20" s="557"/>
      <c r="GTR20" s="557"/>
      <c r="GTS20" s="557"/>
      <c r="GTT20" s="557"/>
      <c r="GTU20" s="557"/>
      <c r="GTV20" s="557"/>
      <c r="GTW20" s="557"/>
      <c r="GTX20" s="557"/>
      <c r="GTY20" s="557"/>
      <c r="GTZ20" s="557"/>
      <c r="GUA20" s="661"/>
      <c r="GUB20" s="556"/>
      <c r="GUC20" s="557"/>
      <c r="GUD20" s="557"/>
      <c r="GUE20" s="557"/>
      <c r="GUF20" s="557"/>
      <c r="GUG20" s="557"/>
      <c r="GUH20" s="557"/>
      <c r="GUI20" s="557"/>
      <c r="GUJ20" s="557"/>
      <c r="GUK20" s="557"/>
      <c r="GUL20" s="557"/>
      <c r="GUM20" s="557"/>
      <c r="GUN20" s="557"/>
      <c r="GUO20" s="557"/>
      <c r="GUP20" s="557"/>
      <c r="GUQ20" s="557"/>
      <c r="GUR20" s="557"/>
      <c r="GUS20" s="557"/>
      <c r="GUT20" s="557"/>
      <c r="GUU20" s="661"/>
      <c r="GUV20" s="556"/>
      <c r="GUW20" s="557"/>
      <c r="GUX20" s="557"/>
      <c r="GUY20" s="557"/>
      <c r="GUZ20" s="557"/>
      <c r="GVA20" s="557"/>
      <c r="GVB20" s="557"/>
      <c r="GVC20" s="557"/>
      <c r="GVD20" s="557"/>
      <c r="GVE20" s="557"/>
      <c r="GVF20" s="557"/>
      <c r="GVG20" s="557"/>
      <c r="GVH20" s="557"/>
      <c r="GVI20" s="557"/>
      <c r="GVJ20" s="557"/>
      <c r="GVK20" s="557"/>
      <c r="GVL20" s="557"/>
      <c r="GVM20" s="557"/>
      <c r="GVN20" s="557"/>
      <c r="GVO20" s="661"/>
      <c r="GVP20" s="556"/>
      <c r="GVQ20" s="557"/>
      <c r="GVR20" s="557"/>
      <c r="GVS20" s="557"/>
      <c r="GVT20" s="557"/>
      <c r="GVU20" s="557"/>
      <c r="GVV20" s="557"/>
      <c r="GVW20" s="557"/>
      <c r="GVX20" s="557"/>
      <c r="GVY20" s="557"/>
      <c r="GVZ20" s="557"/>
      <c r="GWA20" s="557"/>
      <c r="GWB20" s="557"/>
      <c r="GWC20" s="557"/>
      <c r="GWD20" s="557"/>
      <c r="GWE20" s="557"/>
      <c r="GWF20" s="557"/>
      <c r="GWG20" s="557"/>
      <c r="GWH20" s="557"/>
      <c r="GWI20" s="661"/>
      <c r="GWJ20" s="556"/>
      <c r="GWK20" s="557"/>
      <c r="GWL20" s="557"/>
      <c r="GWM20" s="557"/>
      <c r="GWN20" s="557"/>
      <c r="GWO20" s="557"/>
      <c r="GWP20" s="557"/>
      <c r="GWQ20" s="557"/>
      <c r="GWR20" s="557"/>
      <c r="GWS20" s="557"/>
      <c r="GWT20" s="557"/>
      <c r="GWU20" s="557"/>
      <c r="GWV20" s="557"/>
      <c r="GWW20" s="557"/>
      <c r="GWX20" s="557"/>
      <c r="GWY20" s="557"/>
      <c r="GWZ20" s="557"/>
      <c r="GXA20" s="557"/>
      <c r="GXB20" s="557"/>
      <c r="GXC20" s="661"/>
      <c r="GXD20" s="556"/>
      <c r="GXE20" s="557"/>
      <c r="GXF20" s="557"/>
      <c r="GXG20" s="557"/>
      <c r="GXH20" s="557"/>
      <c r="GXI20" s="557"/>
      <c r="GXJ20" s="557"/>
      <c r="GXK20" s="557"/>
      <c r="GXL20" s="557"/>
      <c r="GXM20" s="557"/>
      <c r="GXN20" s="557"/>
      <c r="GXO20" s="557"/>
      <c r="GXP20" s="557"/>
      <c r="GXQ20" s="557"/>
      <c r="GXR20" s="557"/>
      <c r="GXS20" s="557"/>
      <c r="GXT20" s="557"/>
      <c r="GXU20" s="557"/>
      <c r="GXV20" s="557"/>
      <c r="GXW20" s="661"/>
      <c r="GXX20" s="556"/>
      <c r="GXY20" s="557"/>
      <c r="GXZ20" s="557"/>
      <c r="GYA20" s="557"/>
      <c r="GYB20" s="557"/>
      <c r="GYC20" s="557"/>
      <c r="GYD20" s="557"/>
      <c r="GYE20" s="557"/>
      <c r="GYF20" s="557"/>
      <c r="GYG20" s="557"/>
      <c r="GYH20" s="557"/>
      <c r="GYI20" s="557"/>
      <c r="GYJ20" s="557"/>
      <c r="GYK20" s="557"/>
      <c r="GYL20" s="557"/>
      <c r="GYM20" s="557"/>
      <c r="GYN20" s="557"/>
      <c r="GYO20" s="557"/>
      <c r="GYP20" s="557"/>
      <c r="GYQ20" s="661"/>
      <c r="GYR20" s="556"/>
      <c r="GYS20" s="557"/>
      <c r="GYT20" s="557"/>
      <c r="GYU20" s="557"/>
      <c r="GYV20" s="557"/>
      <c r="GYW20" s="557"/>
      <c r="GYX20" s="557"/>
      <c r="GYY20" s="557"/>
      <c r="GYZ20" s="557"/>
      <c r="GZA20" s="557"/>
      <c r="GZB20" s="557"/>
      <c r="GZC20" s="557"/>
      <c r="GZD20" s="557"/>
      <c r="GZE20" s="557"/>
      <c r="GZF20" s="557"/>
      <c r="GZG20" s="557"/>
      <c r="GZH20" s="557"/>
      <c r="GZI20" s="557"/>
      <c r="GZJ20" s="557"/>
      <c r="GZK20" s="661"/>
      <c r="GZL20" s="556"/>
      <c r="GZM20" s="557"/>
      <c r="GZN20" s="557"/>
      <c r="GZO20" s="557"/>
      <c r="GZP20" s="557"/>
      <c r="GZQ20" s="557"/>
      <c r="GZR20" s="557"/>
      <c r="GZS20" s="557"/>
      <c r="GZT20" s="557"/>
      <c r="GZU20" s="557"/>
      <c r="GZV20" s="557"/>
      <c r="GZW20" s="557"/>
      <c r="GZX20" s="557"/>
      <c r="GZY20" s="557"/>
      <c r="GZZ20" s="557"/>
      <c r="HAA20" s="557"/>
      <c r="HAB20" s="557"/>
      <c r="HAC20" s="557"/>
      <c r="HAD20" s="557"/>
      <c r="HAE20" s="661"/>
      <c r="HAF20" s="556"/>
      <c r="HAG20" s="557"/>
      <c r="HAH20" s="557"/>
      <c r="HAI20" s="557"/>
      <c r="HAJ20" s="557"/>
      <c r="HAK20" s="557"/>
      <c r="HAL20" s="557"/>
      <c r="HAM20" s="557"/>
      <c r="HAN20" s="557"/>
      <c r="HAO20" s="557"/>
      <c r="HAP20" s="557"/>
      <c r="HAQ20" s="557"/>
      <c r="HAR20" s="557"/>
      <c r="HAS20" s="557"/>
      <c r="HAT20" s="557"/>
      <c r="HAU20" s="557"/>
      <c r="HAV20" s="557"/>
      <c r="HAW20" s="557"/>
      <c r="HAX20" s="557"/>
      <c r="HAY20" s="661"/>
      <c r="HAZ20" s="556"/>
      <c r="HBA20" s="557"/>
      <c r="HBB20" s="557"/>
      <c r="HBC20" s="557"/>
      <c r="HBD20" s="557"/>
      <c r="HBE20" s="557"/>
      <c r="HBF20" s="557"/>
      <c r="HBG20" s="557"/>
      <c r="HBH20" s="557"/>
      <c r="HBI20" s="557"/>
      <c r="HBJ20" s="557"/>
      <c r="HBK20" s="557"/>
      <c r="HBL20" s="557"/>
      <c r="HBM20" s="557"/>
      <c r="HBN20" s="557"/>
      <c r="HBO20" s="557"/>
      <c r="HBP20" s="557"/>
      <c r="HBQ20" s="557"/>
      <c r="HBR20" s="557"/>
      <c r="HBS20" s="661"/>
      <c r="HBT20" s="556"/>
      <c r="HBU20" s="557"/>
      <c r="HBV20" s="557"/>
      <c r="HBW20" s="557"/>
      <c r="HBX20" s="557"/>
      <c r="HBY20" s="557"/>
      <c r="HBZ20" s="557"/>
      <c r="HCA20" s="557"/>
      <c r="HCB20" s="557"/>
      <c r="HCC20" s="557"/>
      <c r="HCD20" s="557"/>
      <c r="HCE20" s="557"/>
      <c r="HCF20" s="557"/>
      <c r="HCG20" s="557"/>
      <c r="HCH20" s="557"/>
      <c r="HCI20" s="557"/>
      <c r="HCJ20" s="557"/>
      <c r="HCK20" s="557"/>
      <c r="HCL20" s="557"/>
      <c r="HCM20" s="661"/>
      <c r="HCN20" s="556"/>
      <c r="HCO20" s="557"/>
      <c r="HCP20" s="557"/>
      <c r="HCQ20" s="557"/>
      <c r="HCR20" s="557"/>
      <c r="HCS20" s="557"/>
      <c r="HCT20" s="557"/>
      <c r="HCU20" s="557"/>
      <c r="HCV20" s="557"/>
      <c r="HCW20" s="557"/>
      <c r="HCX20" s="557"/>
      <c r="HCY20" s="557"/>
      <c r="HCZ20" s="557"/>
      <c r="HDA20" s="557"/>
      <c r="HDB20" s="557"/>
      <c r="HDC20" s="557"/>
      <c r="HDD20" s="557"/>
      <c r="HDE20" s="557"/>
      <c r="HDF20" s="557"/>
      <c r="HDG20" s="661"/>
      <c r="HDH20" s="556"/>
      <c r="HDI20" s="557"/>
      <c r="HDJ20" s="557"/>
      <c r="HDK20" s="557"/>
      <c r="HDL20" s="557"/>
      <c r="HDM20" s="557"/>
      <c r="HDN20" s="557"/>
      <c r="HDO20" s="557"/>
      <c r="HDP20" s="557"/>
      <c r="HDQ20" s="557"/>
      <c r="HDR20" s="557"/>
      <c r="HDS20" s="557"/>
      <c r="HDT20" s="557"/>
      <c r="HDU20" s="557"/>
      <c r="HDV20" s="557"/>
      <c r="HDW20" s="557"/>
      <c r="HDX20" s="557"/>
      <c r="HDY20" s="557"/>
      <c r="HDZ20" s="557"/>
      <c r="HEA20" s="661"/>
      <c r="HEB20" s="556"/>
      <c r="HEC20" s="557"/>
      <c r="HED20" s="557"/>
      <c r="HEE20" s="557"/>
      <c r="HEF20" s="557"/>
      <c r="HEG20" s="557"/>
      <c r="HEH20" s="557"/>
      <c r="HEI20" s="557"/>
      <c r="HEJ20" s="557"/>
      <c r="HEK20" s="557"/>
      <c r="HEL20" s="557"/>
      <c r="HEM20" s="557"/>
      <c r="HEN20" s="557"/>
      <c r="HEO20" s="557"/>
      <c r="HEP20" s="557"/>
      <c r="HEQ20" s="557"/>
      <c r="HER20" s="557"/>
      <c r="HES20" s="557"/>
      <c r="HET20" s="557"/>
      <c r="HEU20" s="661"/>
      <c r="HEV20" s="556"/>
      <c r="HEW20" s="557"/>
      <c r="HEX20" s="557"/>
      <c r="HEY20" s="557"/>
      <c r="HEZ20" s="557"/>
      <c r="HFA20" s="557"/>
      <c r="HFB20" s="557"/>
      <c r="HFC20" s="557"/>
      <c r="HFD20" s="557"/>
      <c r="HFE20" s="557"/>
      <c r="HFF20" s="557"/>
      <c r="HFG20" s="557"/>
      <c r="HFH20" s="557"/>
      <c r="HFI20" s="557"/>
      <c r="HFJ20" s="557"/>
      <c r="HFK20" s="557"/>
      <c r="HFL20" s="557"/>
      <c r="HFM20" s="557"/>
      <c r="HFN20" s="557"/>
      <c r="HFO20" s="661"/>
      <c r="HFP20" s="556"/>
      <c r="HFQ20" s="557"/>
      <c r="HFR20" s="557"/>
      <c r="HFS20" s="557"/>
      <c r="HFT20" s="557"/>
      <c r="HFU20" s="557"/>
      <c r="HFV20" s="557"/>
      <c r="HFW20" s="557"/>
      <c r="HFX20" s="557"/>
      <c r="HFY20" s="557"/>
      <c r="HFZ20" s="557"/>
      <c r="HGA20" s="557"/>
      <c r="HGB20" s="557"/>
      <c r="HGC20" s="557"/>
      <c r="HGD20" s="557"/>
      <c r="HGE20" s="557"/>
      <c r="HGF20" s="557"/>
      <c r="HGG20" s="557"/>
      <c r="HGH20" s="557"/>
      <c r="HGI20" s="661"/>
      <c r="HGJ20" s="556"/>
      <c r="HGK20" s="557"/>
      <c r="HGL20" s="557"/>
      <c r="HGM20" s="557"/>
      <c r="HGN20" s="557"/>
      <c r="HGO20" s="557"/>
      <c r="HGP20" s="557"/>
      <c r="HGQ20" s="557"/>
      <c r="HGR20" s="557"/>
      <c r="HGS20" s="557"/>
      <c r="HGT20" s="557"/>
      <c r="HGU20" s="557"/>
      <c r="HGV20" s="557"/>
      <c r="HGW20" s="557"/>
      <c r="HGX20" s="557"/>
      <c r="HGY20" s="557"/>
      <c r="HGZ20" s="557"/>
      <c r="HHA20" s="557"/>
      <c r="HHB20" s="557"/>
      <c r="HHC20" s="661"/>
      <c r="HHD20" s="556"/>
      <c r="HHE20" s="557"/>
      <c r="HHF20" s="557"/>
      <c r="HHG20" s="557"/>
      <c r="HHH20" s="557"/>
      <c r="HHI20" s="557"/>
      <c r="HHJ20" s="557"/>
      <c r="HHK20" s="557"/>
      <c r="HHL20" s="557"/>
      <c r="HHM20" s="557"/>
      <c r="HHN20" s="557"/>
      <c r="HHO20" s="557"/>
      <c r="HHP20" s="557"/>
      <c r="HHQ20" s="557"/>
      <c r="HHR20" s="557"/>
      <c r="HHS20" s="557"/>
      <c r="HHT20" s="557"/>
      <c r="HHU20" s="557"/>
      <c r="HHV20" s="557"/>
      <c r="HHW20" s="661"/>
      <c r="HHX20" s="556"/>
      <c r="HHY20" s="557"/>
      <c r="HHZ20" s="557"/>
      <c r="HIA20" s="557"/>
      <c r="HIB20" s="557"/>
      <c r="HIC20" s="557"/>
      <c r="HID20" s="557"/>
      <c r="HIE20" s="557"/>
      <c r="HIF20" s="557"/>
      <c r="HIG20" s="557"/>
      <c r="HIH20" s="557"/>
      <c r="HII20" s="557"/>
      <c r="HIJ20" s="557"/>
      <c r="HIK20" s="557"/>
      <c r="HIL20" s="557"/>
      <c r="HIM20" s="557"/>
      <c r="HIN20" s="557"/>
      <c r="HIO20" s="557"/>
      <c r="HIP20" s="557"/>
      <c r="HIQ20" s="661"/>
      <c r="HIR20" s="556"/>
      <c r="HIS20" s="557"/>
      <c r="HIT20" s="557"/>
      <c r="HIU20" s="557"/>
      <c r="HIV20" s="557"/>
      <c r="HIW20" s="557"/>
      <c r="HIX20" s="557"/>
      <c r="HIY20" s="557"/>
      <c r="HIZ20" s="557"/>
      <c r="HJA20" s="557"/>
      <c r="HJB20" s="557"/>
      <c r="HJC20" s="557"/>
      <c r="HJD20" s="557"/>
      <c r="HJE20" s="557"/>
      <c r="HJF20" s="557"/>
      <c r="HJG20" s="557"/>
      <c r="HJH20" s="557"/>
      <c r="HJI20" s="557"/>
      <c r="HJJ20" s="557"/>
      <c r="HJK20" s="661"/>
      <c r="HJL20" s="556"/>
      <c r="HJM20" s="557"/>
      <c r="HJN20" s="557"/>
      <c r="HJO20" s="557"/>
      <c r="HJP20" s="557"/>
      <c r="HJQ20" s="557"/>
      <c r="HJR20" s="557"/>
      <c r="HJS20" s="557"/>
      <c r="HJT20" s="557"/>
      <c r="HJU20" s="557"/>
      <c r="HJV20" s="557"/>
      <c r="HJW20" s="557"/>
      <c r="HJX20" s="557"/>
      <c r="HJY20" s="557"/>
      <c r="HJZ20" s="557"/>
      <c r="HKA20" s="557"/>
      <c r="HKB20" s="557"/>
      <c r="HKC20" s="557"/>
      <c r="HKD20" s="557"/>
      <c r="HKE20" s="661"/>
      <c r="HKF20" s="556"/>
      <c r="HKG20" s="557"/>
      <c r="HKH20" s="557"/>
      <c r="HKI20" s="557"/>
      <c r="HKJ20" s="557"/>
      <c r="HKK20" s="557"/>
      <c r="HKL20" s="557"/>
      <c r="HKM20" s="557"/>
      <c r="HKN20" s="557"/>
      <c r="HKO20" s="557"/>
      <c r="HKP20" s="557"/>
      <c r="HKQ20" s="557"/>
      <c r="HKR20" s="557"/>
      <c r="HKS20" s="557"/>
      <c r="HKT20" s="557"/>
      <c r="HKU20" s="557"/>
      <c r="HKV20" s="557"/>
      <c r="HKW20" s="557"/>
      <c r="HKX20" s="557"/>
      <c r="HKY20" s="661"/>
      <c r="HKZ20" s="556"/>
      <c r="HLA20" s="557"/>
      <c r="HLB20" s="557"/>
      <c r="HLC20" s="557"/>
      <c r="HLD20" s="557"/>
      <c r="HLE20" s="557"/>
      <c r="HLF20" s="557"/>
      <c r="HLG20" s="557"/>
      <c r="HLH20" s="557"/>
      <c r="HLI20" s="557"/>
      <c r="HLJ20" s="557"/>
      <c r="HLK20" s="557"/>
      <c r="HLL20" s="557"/>
      <c r="HLM20" s="557"/>
      <c r="HLN20" s="557"/>
      <c r="HLO20" s="557"/>
      <c r="HLP20" s="557"/>
      <c r="HLQ20" s="557"/>
      <c r="HLR20" s="557"/>
      <c r="HLS20" s="661"/>
      <c r="HLT20" s="556"/>
      <c r="HLU20" s="557"/>
      <c r="HLV20" s="557"/>
      <c r="HLW20" s="557"/>
      <c r="HLX20" s="557"/>
      <c r="HLY20" s="557"/>
      <c r="HLZ20" s="557"/>
      <c r="HMA20" s="557"/>
      <c r="HMB20" s="557"/>
      <c r="HMC20" s="557"/>
      <c r="HMD20" s="557"/>
      <c r="HME20" s="557"/>
      <c r="HMF20" s="557"/>
      <c r="HMG20" s="557"/>
      <c r="HMH20" s="557"/>
      <c r="HMI20" s="557"/>
      <c r="HMJ20" s="557"/>
      <c r="HMK20" s="557"/>
      <c r="HML20" s="557"/>
      <c r="HMM20" s="661"/>
      <c r="HMN20" s="556"/>
      <c r="HMO20" s="557"/>
      <c r="HMP20" s="557"/>
      <c r="HMQ20" s="557"/>
      <c r="HMR20" s="557"/>
      <c r="HMS20" s="557"/>
      <c r="HMT20" s="557"/>
      <c r="HMU20" s="557"/>
      <c r="HMV20" s="557"/>
      <c r="HMW20" s="557"/>
      <c r="HMX20" s="557"/>
      <c r="HMY20" s="557"/>
      <c r="HMZ20" s="557"/>
      <c r="HNA20" s="557"/>
      <c r="HNB20" s="557"/>
      <c r="HNC20" s="557"/>
      <c r="HND20" s="557"/>
      <c r="HNE20" s="557"/>
      <c r="HNF20" s="557"/>
      <c r="HNG20" s="661"/>
      <c r="HNH20" s="556"/>
      <c r="HNI20" s="557"/>
      <c r="HNJ20" s="557"/>
      <c r="HNK20" s="557"/>
      <c r="HNL20" s="557"/>
      <c r="HNM20" s="557"/>
      <c r="HNN20" s="557"/>
      <c r="HNO20" s="557"/>
      <c r="HNP20" s="557"/>
      <c r="HNQ20" s="557"/>
      <c r="HNR20" s="557"/>
      <c r="HNS20" s="557"/>
      <c r="HNT20" s="557"/>
      <c r="HNU20" s="557"/>
      <c r="HNV20" s="557"/>
      <c r="HNW20" s="557"/>
      <c r="HNX20" s="557"/>
      <c r="HNY20" s="557"/>
      <c r="HNZ20" s="557"/>
      <c r="HOA20" s="661"/>
      <c r="HOB20" s="556"/>
      <c r="HOC20" s="557"/>
      <c r="HOD20" s="557"/>
      <c r="HOE20" s="557"/>
      <c r="HOF20" s="557"/>
      <c r="HOG20" s="557"/>
      <c r="HOH20" s="557"/>
      <c r="HOI20" s="557"/>
      <c r="HOJ20" s="557"/>
      <c r="HOK20" s="557"/>
      <c r="HOL20" s="557"/>
      <c r="HOM20" s="557"/>
      <c r="HON20" s="557"/>
      <c r="HOO20" s="557"/>
      <c r="HOP20" s="557"/>
      <c r="HOQ20" s="557"/>
      <c r="HOR20" s="557"/>
      <c r="HOS20" s="557"/>
      <c r="HOT20" s="557"/>
      <c r="HOU20" s="661"/>
      <c r="HOV20" s="556"/>
      <c r="HOW20" s="557"/>
      <c r="HOX20" s="557"/>
      <c r="HOY20" s="557"/>
      <c r="HOZ20" s="557"/>
      <c r="HPA20" s="557"/>
      <c r="HPB20" s="557"/>
      <c r="HPC20" s="557"/>
      <c r="HPD20" s="557"/>
      <c r="HPE20" s="557"/>
      <c r="HPF20" s="557"/>
      <c r="HPG20" s="557"/>
      <c r="HPH20" s="557"/>
      <c r="HPI20" s="557"/>
      <c r="HPJ20" s="557"/>
      <c r="HPK20" s="557"/>
      <c r="HPL20" s="557"/>
      <c r="HPM20" s="557"/>
      <c r="HPN20" s="557"/>
      <c r="HPO20" s="661"/>
      <c r="HPP20" s="556"/>
      <c r="HPQ20" s="557"/>
      <c r="HPR20" s="557"/>
      <c r="HPS20" s="557"/>
      <c r="HPT20" s="557"/>
      <c r="HPU20" s="557"/>
      <c r="HPV20" s="557"/>
      <c r="HPW20" s="557"/>
      <c r="HPX20" s="557"/>
      <c r="HPY20" s="557"/>
      <c r="HPZ20" s="557"/>
      <c r="HQA20" s="557"/>
      <c r="HQB20" s="557"/>
      <c r="HQC20" s="557"/>
      <c r="HQD20" s="557"/>
      <c r="HQE20" s="557"/>
      <c r="HQF20" s="557"/>
      <c r="HQG20" s="557"/>
      <c r="HQH20" s="557"/>
      <c r="HQI20" s="661"/>
      <c r="HQJ20" s="556"/>
      <c r="HQK20" s="557"/>
      <c r="HQL20" s="557"/>
      <c r="HQM20" s="557"/>
      <c r="HQN20" s="557"/>
      <c r="HQO20" s="557"/>
      <c r="HQP20" s="557"/>
      <c r="HQQ20" s="557"/>
      <c r="HQR20" s="557"/>
      <c r="HQS20" s="557"/>
      <c r="HQT20" s="557"/>
      <c r="HQU20" s="557"/>
      <c r="HQV20" s="557"/>
      <c r="HQW20" s="557"/>
      <c r="HQX20" s="557"/>
      <c r="HQY20" s="557"/>
      <c r="HQZ20" s="557"/>
      <c r="HRA20" s="557"/>
      <c r="HRB20" s="557"/>
      <c r="HRC20" s="661"/>
      <c r="HRD20" s="556"/>
      <c r="HRE20" s="557"/>
      <c r="HRF20" s="557"/>
      <c r="HRG20" s="557"/>
      <c r="HRH20" s="557"/>
      <c r="HRI20" s="557"/>
      <c r="HRJ20" s="557"/>
      <c r="HRK20" s="557"/>
      <c r="HRL20" s="557"/>
      <c r="HRM20" s="557"/>
      <c r="HRN20" s="557"/>
      <c r="HRO20" s="557"/>
      <c r="HRP20" s="557"/>
      <c r="HRQ20" s="557"/>
      <c r="HRR20" s="557"/>
      <c r="HRS20" s="557"/>
      <c r="HRT20" s="557"/>
      <c r="HRU20" s="557"/>
      <c r="HRV20" s="557"/>
      <c r="HRW20" s="661"/>
      <c r="HRX20" s="556"/>
      <c r="HRY20" s="557"/>
      <c r="HRZ20" s="557"/>
      <c r="HSA20" s="557"/>
      <c r="HSB20" s="557"/>
      <c r="HSC20" s="557"/>
      <c r="HSD20" s="557"/>
      <c r="HSE20" s="557"/>
      <c r="HSF20" s="557"/>
      <c r="HSG20" s="557"/>
      <c r="HSH20" s="557"/>
      <c r="HSI20" s="557"/>
      <c r="HSJ20" s="557"/>
      <c r="HSK20" s="557"/>
      <c r="HSL20" s="557"/>
      <c r="HSM20" s="557"/>
      <c r="HSN20" s="557"/>
      <c r="HSO20" s="557"/>
      <c r="HSP20" s="557"/>
      <c r="HSQ20" s="661"/>
      <c r="HSR20" s="556"/>
      <c r="HSS20" s="557"/>
      <c r="HST20" s="557"/>
      <c r="HSU20" s="557"/>
      <c r="HSV20" s="557"/>
      <c r="HSW20" s="557"/>
      <c r="HSX20" s="557"/>
      <c r="HSY20" s="557"/>
      <c r="HSZ20" s="557"/>
      <c r="HTA20" s="557"/>
      <c r="HTB20" s="557"/>
      <c r="HTC20" s="557"/>
      <c r="HTD20" s="557"/>
      <c r="HTE20" s="557"/>
      <c r="HTF20" s="557"/>
      <c r="HTG20" s="557"/>
      <c r="HTH20" s="557"/>
      <c r="HTI20" s="557"/>
      <c r="HTJ20" s="557"/>
      <c r="HTK20" s="661"/>
      <c r="HTL20" s="556"/>
      <c r="HTM20" s="557"/>
      <c r="HTN20" s="557"/>
      <c r="HTO20" s="557"/>
      <c r="HTP20" s="557"/>
      <c r="HTQ20" s="557"/>
      <c r="HTR20" s="557"/>
      <c r="HTS20" s="557"/>
      <c r="HTT20" s="557"/>
      <c r="HTU20" s="557"/>
      <c r="HTV20" s="557"/>
      <c r="HTW20" s="557"/>
      <c r="HTX20" s="557"/>
      <c r="HTY20" s="557"/>
      <c r="HTZ20" s="557"/>
      <c r="HUA20" s="557"/>
      <c r="HUB20" s="557"/>
      <c r="HUC20" s="557"/>
      <c r="HUD20" s="557"/>
      <c r="HUE20" s="661"/>
      <c r="HUF20" s="556"/>
      <c r="HUG20" s="557"/>
      <c r="HUH20" s="557"/>
      <c r="HUI20" s="557"/>
      <c r="HUJ20" s="557"/>
      <c r="HUK20" s="557"/>
      <c r="HUL20" s="557"/>
      <c r="HUM20" s="557"/>
      <c r="HUN20" s="557"/>
      <c r="HUO20" s="557"/>
      <c r="HUP20" s="557"/>
      <c r="HUQ20" s="557"/>
      <c r="HUR20" s="557"/>
      <c r="HUS20" s="557"/>
      <c r="HUT20" s="557"/>
      <c r="HUU20" s="557"/>
      <c r="HUV20" s="557"/>
      <c r="HUW20" s="557"/>
      <c r="HUX20" s="557"/>
      <c r="HUY20" s="661"/>
      <c r="HUZ20" s="556"/>
      <c r="HVA20" s="557"/>
      <c r="HVB20" s="557"/>
      <c r="HVC20" s="557"/>
      <c r="HVD20" s="557"/>
      <c r="HVE20" s="557"/>
      <c r="HVF20" s="557"/>
      <c r="HVG20" s="557"/>
      <c r="HVH20" s="557"/>
      <c r="HVI20" s="557"/>
      <c r="HVJ20" s="557"/>
      <c r="HVK20" s="557"/>
      <c r="HVL20" s="557"/>
      <c r="HVM20" s="557"/>
      <c r="HVN20" s="557"/>
      <c r="HVO20" s="557"/>
      <c r="HVP20" s="557"/>
      <c r="HVQ20" s="557"/>
      <c r="HVR20" s="557"/>
      <c r="HVS20" s="661"/>
      <c r="HVT20" s="556"/>
      <c r="HVU20" s="557"/>
      <c r="HVV20" s="557"/>
      <c r="HVW20" s="557"/>
      <c r="HVX20" s="557"/>
      <c r="HVY20" s="557"/>
      <c r="HVZ20" s="557"/>
      <c r="HWA20" s="557"/>
      <c r="HWB20" s="557"/>
      <c r="HWC20" s="557"/>
      <c r="HWD20" s="557"/>
      <c r="HWE20" s="557"/>
      <c r="HWF20" s="557"/>
      <c r="HWG20" s="557"/>
      <c r="HWH20" s="557"/>
      <c r="HWI20" s="557"/>
      <c r="HWJ20" s="557"/>
      <c r="HWK20" s="557"/>
      <c r="HWL20" s="557"/>
      <c r="HWM20" s="661"/>
      <c r="HWN20" s="556"/>
      <c r="HWO20" s="557"/>
      <c r="HWP20" s="557"/>
      <c r="HWQ20" s="557"/>
      <c r="HWR20" s="557"/>
      <c r="HWS20" s="557"/>
      <c r="HWT20" s="557"/>
      <c r="HWU20" s="557"/>
      <c r="HWV20" s="557"/>
      <c r="HWW20" s="557"/>
      <c r="HWX20" s="557"/>
      <c r="HWY20" s="557"/>
      <c r="HWZ20" s="557"/>
      <c r="HXA20" s="557"/>
      <c r="HXB20" s="557"/>
      <c r="HXC20" s="557"/>
      <c r="HXD20" s="557"/>
      <c r="HXE20" s="557"/>
      <c r="HXF20" s="557"/>
      <c r="HXG20" s="661"/>
      <c r="HXH20" s="556"/>
      <c r="HXI20" s="557"/>
      <c r="HXJ20" s="557"/>
      <c r="HXK20" s="557"/>
      <c r="HXL20" s="557"/>
      <c r="HXM20" s="557"/>
      <c r="HXN20" s="557"/>
      <c r="HXO20" s="557"/>
      <c r="HXP20" s="557"/>
      <c r="HXQ20" s="557"/>
      <c r="HXR20" s="557"/>
      <c r="HXS20" s="557"/>
      <c r="HXT20" s="557"/>
      <c r="HXU20" s="557"/>
      <c r="HXV20" s="557"/>
      <c r="HXW20" s="557"/>
      <c r="HXX20" s="557"/>
      <c r="HXY20" s="557"/>
      <c r="HXZ20" s="557"/>
      <c r="HYA20" s="661"/>
      <c r="HYB20" s="556"/>
      <c r="HYC20" s="557"/>
      <c r="HYD20" s="557"/>
      <c r="HYE20" s="557"/>
      <c r="HYF20" s="557"/>
      <c r="HYG20" s="557"/>
      <c r="HYH20" s="557"/>
      <c r="HYI20" s="557"/>
      <c r="HYJ20" s="557"/>
      <c r="HYK20" s="557"/>
      <c r="HYL20" s="557"/>
      <c r="HYM20" s="557"/>
      <c r="HYN20" s="557"/>
      <c r="HYO20" s="557"/>
      <c r="HYP20" s="557"/>
      <c r="HYQ20" s="557"/>
      <c r="HYR20" s="557"/>
      <c r="HYS20" s="557"/>
      <c r="HYT20" s="557"/>
      <c r="HYU20" s="661"/>
      <c r="HYV20" s="556"/>
      <c r="HYW20" s="557"/>
      <c r="HYX20" s="557"/>
      <c r="HYY20" s="557"/>
      <c r="HYZ20" s="557"/>
      <c r="HZA20" s="557"/>
      <c r="HZB20" s="557"/>
      <c r="HZC20" s="557"/>
      <c r="HZD20" s="557"/>
      <c r="HZE20" s="557"/>
      <c r="HZF20" s="557"/>
      <c r="HZG20" s="557"/>
      <c r="HZH20" s="557"/>
      <c r="HZI20" s="557"/>
      <c r="HZJ20" s="557"/>
      <c r="HZK20" s="557"/>
      <c r="HZL20" s="557"/>
      <c r="HZM20" s="557"/>
      <c r="HZN20" s="557"/>
      <c r="HZO20" s="661"/>
      <c r="HZP20" s="556"/>
      <c r="HZQ20" s="557"/>
      <c r="HZR20" s="557"/>
      <c r="HZS20" s="557"/>
      <c r="HZT20" s="557"/>
      <c r="HZU20" s="557"/>
      <c r="HZV20" s="557"/>
      <c r="HZW20" s="557"/>
      <c r="HZX20" s="557"/>
      <c r="HZY20" s="557"/>
      <c r="HZZ20" s="557"/>
      <c r="IAA20" s="557"/>
      <c r="IAB20" s="557"/>
      <c r="IAC20" s="557"/>
      <c r="IAD20" s="557"/>
      <c r="IAE20" s="557"/>
      <c r="IAF20" s="557"/>
      <c r="IAG20" s="557"/>
      <c r="IAH20" s="557"/>
      <c r="IAI20" s="661"/>
      <c r="IAJ20" s="556"/>
      <c r="IAK20" s="557"/>
      <c r="IAL20" s="557"/>
      <c r="IAM20" s="557"/>
      <c r="IAN20" s="557"/>
      <c r="IAO20" s="557"/>
      <c r="IAP20" s="557"/>
      <c r="IAQ20" s="557"/>
      <c r="IAR20" s="557"/>
      <c r="IAS20" s="557"/>
      <c r="IAT20" s="557"/>
      <c r="IAU20" s="557"/>
      <c r="IAV20" s="557"/>
      <c r="IAW20" s="557"/>
      <c r="IAX20" s="557"/>
      <c r="IAY20" s="557"/>
      <c r="IAZ20" s="557"/>
      <c r="IBA20" s="557"/>
      <c r="IBB20" s="557"/>
      <c r="IBC20" s="661"/>
      <c r="IBD20" s="556"/>
      <c r="IBE20" s="557"/>
      <c r="IBF20" s="557"/>
      <c r="IBG20" s="557"/>
      <c r="IBH20" s="557"/>
      <c r="IBI20" s="557"/>
      <c r="IBJ20" s="557"/>
      <c r="IBK20" s="557"/>
      <c r="IBL20" s="557"/>
      <c r="IBM20" s="557"/>
      <c r="IBN20" s="557"/>
      <c r="IBO20" s="557"/>
      <c r="IBP20" s="557"/>
      <c r="IBQ20" s="557"/>
      <c r="IBR20" s="557"/>
      <c r="IBS20" s="557"/>
      <c r="IBT20" s="557"/>
      <c r="IBU20" s="557"/>
      <c r="IBV20" s="557"/>
      <c r="IBW20" s="661"/>
      <c r="IBX20" s="556"/>
      <c r="IBY20" s="557"/>
      <c r="IBZ20" s="557"/>
      <c r="ICA20" s="557"/>
      <c r="ICB20" s="557"/>
      <c r="ICC20" s="557"/>
      <c r="ICD20" s="557"/>
      <c r="ICE20" s="557"/>
      <c r="ICF20" s="557"/>
      <c r="ICG20" s="557"/>
      <c r="ICH20" s="557"/>
      <c r="ICI20" s="557"/>
      <c r="ICJ20" s="557"/>
      <c r="ICK20" s="557"/>
      <c r="ICL20" s="557"/>
      <c r="ICM20" s="557"/>
      <c r="ICN20" s="557"/>
      <c r="ICO20" s="557"/>
      <c r="ICP20" s="557"/>
      <c r="ICQ20" s="661"/>
      <c r="ICR20" s="556"/>
      <c r="ICS20" s="557"/>
      <c r="ICT20" s="557"/>
      <c r="ICU20" s="557"/>
      <c r="ICV20" s="557"/>
      <c r="ICW20" s="557"/>
      <c r="ICX20" s="557"/>
      <c r="ICY20" s="557"/>
      <c r="ICZ20" s="557"/>
      <c r="IDA20" s="557"/>
      <c r="IDB20" s="557"/>
      <c r="IDC20" s="557"/>
      <c r="IDD20" s="557"/>
      <c r="IDE20" s="557"/>
      <c r="IDF20" s="557"/>
      <c r="IDG20" s="557"/>
      <c r="IDH20" s="557"/>
      <c r="IDI20" s="557"/>
      <c r="IDJ20" s="557"/>
      <c r="IDK20" s="661"/>
      <c r="IDL20" s="556"/>
      <c r="IDM20" s="557"/>
      <c r="IDN20" s="557"/>
      <c r="IDO20" s="557"/>
      <c r="IDP20" s="557"/>
      <c r="IDQ20" s="557"/>
      <c r="IDR20" s="557"/>
      <c r="IDS20" s="557"/>
      <c r="IDT20" s="557"/>
      <c r="IDU20" s="557"/>
      <c r="IDV20" s="557"/>
      <c r="IDW20" s="557"/>
      <c r="IDX20" s="557"/>
      <c r="IDY20" s="557"/>
      <c r="IDZ20" s="557"/>
      <c r="IEA20" s="557"/>
      <c r="IEB20" s="557"/>
      <c r="IEC20" s="557"/>
      <c r="IED20" s="557"/>
      <c r="IEE20" s="661"/>
      <c r="IEF20" s="556"/>
      <c r="IEG20" s="557"/>
      <c r="IEH20" s="557"/>
      <c r="IEI20" s="557"/>
      <c r="IEJ20" s="557"/>
      <c r="IEK20" s="557"/>
      <c r="IEL20" s="557"/>
      <c r="IEM20" s="557"/>
      <c r="IEN20" s="557"/>
      <c r="IEO20" s="557"/>
      <c r="IEP20" s="557"/>
      <c r="IEQ20" s="557"/>
      <c r="IER20" s="557"/>
      <c r="IES20" s="557"/>
      <c r="IET20" s="557"/>
      <c r="IEU20" s="557"/>
      <c r="IEV20" s="557"/>
      <c r="IEW20" s="557"/>
      <c r="IEX20" s="557"/>
      <c r="IEY20" s="661"/>
      <c r="IEZ20" s="556"/>
      <c r="IFA20" s="557"/>
      <c r="IFB20" s="557"/>
      <c r="IFC20" s="557"/>
      <c r="IFD20" s="557"/>
      <c r="IFE20" s="557"/>
      <c r="IFF20" s="557"/>
      <c r="IFG20" s="557"/>
      <c r="IFH20" s="557"/>
      <c r="IFI20" s="557"/>
      <c r="IFJ20" s="557"/>
      <c r="IFK20" s="557"/>
      <c r="IFL20" s="557"/>
      <c r="IFM20" s="557"/>
      <c r="IFN20" s="557"/>
      <c r="IFO20" s="557"/>
      <c r="IFP20" s="557"/>
      <c r="IFQ20" s="557"/>
      <c r="IFR20" s="557"/>
      <c r="IFS20" s="661"/>
      <c r="IFT20" s="556"/>
      <c r="IFU20" s="557"/>
      <c r="IFV20" s="557"/>
      <c r="IFW20" s="557"/>
      <c r="IFX20" s="557"/>
      <c r="IFY20" s="557"/>
      <c r="IFZ20" s="557"/>
      <c r="IGA20" s="557"/>
      <c r="IGB20" s="557"/>
      <c r="IGC20" s="557"/>
      <c r="IGD20" s="557"/>
      <c r="IGE20" s="557"/>
      <c r="IGF20" s="557"/>
      <c r="IGG20" s="557"/>
      <c r="IGH20" s="557"/>
      <c r="IGI20" s="557"/>
      <c r="IGJ20" s="557"/>
      <c r="IGK20" s="557"/>
      <c r="IGL20" s="557"/>
      <c r="IGM20" s="661"/>
      <c r="IGN20" s="556"/>
      <c r="IGO20" s="557"/>
      <c r="IGP20" s="557"/>
      <c r="IGQ20" s="557"/>
      <c r="IGR20" s="557"/>
      <c r="IGS20" s="557"/>
      <c r="IGT20" s="557"/>
      <c r="IGU20" s="557"/>
      <c r="IGV20" s="557"/>
      <c r="IGW20" s="557"/>
      <c r="IGX20" s="557"/>
      <c r="IGY20" s="557"/>
      <c r="IGZ20" s="557"/>
      <c r="IHA20" s="557"/>
      <c r="IHB20" s="557"/>
      <c r="IHC20" s="557"/>
      <c r="IHD20" s="557"/>
      <c r="IHE20" s="557"/>
      <c r="IHF20" s="557"/>
      <c r="IHG20" s="661"/>
      <c r="IHH20" s="556"/>
      <c r="IHI20" s="557"/>
      <c r="IHJ20" s="557"/>
      <c r="IHK20" s="557"/>
      <c r="IHL20" s="557"/>
      <c r="IHM20" s="557"/>
      <c r="IHN20" s="557"/>
      <c r="IHO20" s="557"/>
      <c r="IHP20" s="557"/>
      <c r="IHQ20" s="557"/>
      <c r="IHR20" s="557"/>
      <c r="IHS20" s="557"/>
      <c r="IHT20" s="557"/>
      <c r="IHU20" s="557"/>
      <c r="IHV20" s="557"/>
      <c r="IHW20" s="557"/>
      <c r="IHX20" s="557"/>
      <c r="IHY20" s="557"/>
      <c r="IHZ20" s="557"/>
      <c r="IIA20" s="661"/>
      <c r="IIB20" s="556"/>
      <c r="IIC20" s="557"/>
      <c r="IID20" s="557"/>
      <c r="IIE20" s="557"/>
      <c r="IIF20" s="557"/>
      <c r="IIG20" s="557"/>
      <c r="IIH20" s="557"/>
      <c r="III20" s="557"/>
      <c r="IIJ20" s="557"/>
      <c r="IIK20" s="557"/>
      <c r="IIL20" s="557"/>
      <c r="IIM20" s="557"/>
      <c r="IIN20" s="557"/>
      <c r="IIO20" s="557"/>
      <c r="IIP20" s="557"/>
      <c r="IIQ20" s="557"/>
      <c r="IIR20" s="557"/>
      <c r="IIS20" s="557"/>
      <c r="IIT20" s="557"/>
      <c r="IIU20" s="661"/>
      <c r="IIV20" s="556"/>
      <c r="IIW20" s="557"/>
      <c r="IIX20" s="557"/>
      <c r="IIY20" s="557"/>
      <c r="IIZ20" s="557"/>
      <c r="IJA20" s="557"/>
      <c r="IJB20" s="557"/>
      <c r="IJC20" s="557"/>
      <c r="IJD20" s="557"/>
      <c r="IJE20" s="557"/>
      <c r="IJF20" s="557"/>
      <c r="IJG20" s="557"/>
      <c r="IJH20" s="557"/>
      <c r="IJI20" s="557"/>
      <c r="IJJ20" s="557"/>
      <c r="IJK20" s="557"/>
      <c r="IJL20" s="557"/>
      <c r="IJM20" s="557"/>
      <c r="IJN20" s="557"/>
      <c r="IJO20" s="661"/>
      <c r="IJP20" s="556"/>
      <c r="IJQ20" s="557"/>
      <c r="IJR20" s="557"/>
      <c r="IJS20" s="557"/>
      <c r="IJT20" s="557"/>
      <c r="IJU20" s="557"/>
      <c r="IJV20" s="557"/>
      <c r="IJW20" s="557"/>
      <c r="IJX20" s="557"/>
      <c r="IJY20" s="557"/>
      <c r="IJZ20" s="557"/>
      <c r="IKA20" s="557"/>
      <c r="IKB20" s="557"/>
      <c r="IKC20" s="557"/>
      <c r="IKD20" s="557"/>
      <c r="IKE20" s="557"/>
      <c r="IKF20" s="557"/>
      <c r="IKG20" s="557"/>
      <c r="IKH20" s="557"/>
      <c r="IKI20" s="661"/>
      <c r="IKJ20" s="556"/>
      <c r="IKK20" s="557"/>
      <c r="IKL20" s="557"/>
      <c r="IKM20" s="557"/>
      <c r="IKN20" s="557"/>
      <c r="IKO20" s="557"/>
      <c r="IKP20" s="557"/>
      <c r="IKQ20" s="557"/>
      <c r="IKR20" s="557"/>
      <c r="IKS20" s="557"/>
      <c r="IKT20" s="557"/>
      <c r="IKU20" s="557"/>
      <c r="IKV20" s="557"/>
      <c r="IKW20" s="557"/>
      <c r="IKX20" s="557"/>
      <c r="IKY20" s="557"/>
      <c r="IKZ20" s="557"/>
      <c r="ILA20" s="557"/>
      <c r="ILB20" s="557"/>
      <c r="ILC20" s="661"/>
      <c r="ILD20" s="556"/>
      <c r="ILE20" s="557"/>
      <c r="ILF20" s="557"/>
      <c r="ILG20" s="557"/>
      <c r="ILH20" s="557"/>
      <c r="ILI20" s="557"/>
      <c r="ILJ20" s="557"/>
      <c r="ILK20" s="557"/>
      <c r="ILL20" s="557"/>
      <c r="ILM20" s="557"/>
      <c r="ILN20" s="557"/>
      <c r="ILO20" s="557"/>
      <c r="ILP20" s="557"/>
      <c r="ILQ20" s="557"/>
      <c r="ILR20" s="557"/>
      <c r="ILS20" s="557"/>
      <c r="ILT20" s="557"/>
      <c r="ILU20" s="557"/>
      <c r="ILV20" s="557"/>
      <c r="ILW20" s="661"/>
      <c r="ILX20" s="556"/>
      <c r="ILY20" s="557"/>
      <c r="ILZ20" s="557"/>
      <c r="IMA20" s="557"/>
      <c r="IMB20" s="557"/>
      <c r="IMC20" s="557"/>
      <c r="IMD20" s="557"/>
      <c r="IME20" s="557"/>
      <c r="IMF20" s="557"/>
      <c r="IMG20" s="557"/>
      <c r="IMH20" s="557"/>
      <c r="IMI20" s="557"/>
      <c r="IMJ20" s="557"/>
      <c r="IMK20" s="557"/>
      <c r="IML20" s="557"/>
      <c r="IMM20" s="557"/>
      <c r="IMN20" s="557"/>
      <c r="IMO20" s="557"/>
      <c r="IMP20" s="557"/>
      <c r="IMQ20" s="661"/>
      <c r="IMR20" s="556"/>
      <c r="IMS20" s="557"/>
      <c r="IMT20" s="557"/>
      <c r="IMU20" s="557"/>
      <c r="IMV20" s="557"/>
      <c r="IMW20" s="557"/>
      <c r="IMX20" s="557"/>
      <c r="IMY20" s="557"/>
      <c r="IMZ20" s="557"/>
      <c r="INA20" s="557"/>
      <c r="INB20" s="557"/>
      <c r="INC20" s="557"/>
      <c r="IND20" s="557"/>
      <c r="INE20" s="557"/>
      <c r="INF20" s="557"/>
      <c r="ING20" s="557"/>
      <c r="INH20" s="557"/>
      <c r="INI20" s="557"/>
      <c r="INJ20" s="557"/>
      <c r="INK20" s="661"/>
      <c r="INL20" s="556"/>
      <c r="INM20" s="557"/>
      <c r="INN20" s="557"/>
      <c r="INO20" s="557"/>
      <c r="INP20" s="557"/>
      <c r="INQ20" s="557"/>
      <c r="INR20" s="557"/>
      <c r="INS20" s="557"/>
      <c r="INT20" s="557"/>
      <c r="INU20" s="557"/>
      <c r="INV20" s="557"/>
      <c r="INW20" s="557"/>
      <c r="INX20" s="557"/>
      <c r="INY20" s="557"/>
      <c r="INZ20" s="557"/>
      <c r="IOA20" s="557"/>
      <c r="IOB20" s="557"/>
      <c r="IOC20" s="557"/>
      <c r="IOD20" s="557"/>
      <c r="IOE20" s="661"/>
      <c r="IOF20" s="556"/>
      <c r="IOG20" s="557"/>
      <c r="IOH20" s="557"/>
      <c r="IOI20" s="557"/>
      <c r="IOJ20" s="557"/>
      <c r="IOK20" s="557"/>
      <c r="IOL20" s="557"/>
      <c r="IOM20" s="557"/>
      <c r="ION20" s="557"/>
      <c r="IOO20" s="557"/>
      <c r="IOP20" s="557"/>
      <c r="IOQ20" s="557"/>
      <c r="IOR20" s="557"/>
      <c r="IOS20" s="557"/>
      <c r="IOT20" s="557"/>
      <c r="IOU20" s="557"/>
      <c r="IOV20" s="557"/>
      <c r="IOW20" s="557"/>
      <c r="IOX20" s="557"/>
      <c r="IOY20" s="661"/>
      <c r="IOZ20" s="556"/>
      <c r="IPA20" s="557"/>
      <c r="IPB20" s="557"/>
      <c r="IPC20" s="557"/>
      <c r="IPD20" s="557"/>
      <c r="IPE20" s="557"/>
      <c r="IPF20" s="557"/>
      <c r="IPG20" s="557"/>
      <c r="IPH20" s="557"/>
      <c r="IPI20" s="557"/>
      <c r="IPJ20" s="557"/>
      <c r="IPK20" s="557"/>
      <c r="IPL20" s="557"/>
      <c r="IPM20" s="557"/>
      <c r="IPN20" s="557"/>
      <c r="IPO20" s="557"/>
      <c r="IPP20" s="557"/>
      <c r="IPQ20" s="557"/>
      <c r="IPR20" s="557"/>
      <c r="IPS20" s="661"/>
      <c r="IPT20" s="556"/>
      <c r="IPU20" s="557"/>
      <c r="IPV20" s="557"/>
      <c r="IPW20" s="557"/>
      <c r="IPX20" s="557"/>
      <c r="IPY20" s="557"/>
      <c r="IPZ20" s="557"/>
      <c r="IQA20" s="557"/>
      <c r="IQB20" s="557"/>
      <c r="IQC20" s="557"/>
      <c r="IQD20" s="557"/>
      <c r="IQE20" s="557"/>
      <c r="IQF20" s="557"/>
      <c r="IQG20" s="557"/>
      <c r="IQH20" s="557"/>
      <c r="IQI20" s="557"/>
      <c r="IQJ20" s="557"/>
      <c r="IQK20" s="557"/>
      <c r="IQL20" s="557"/>
      <c r="IQM20" s="661"/>
      <c r="IQN20" s="556"/>
      <c r="IQO20" s="557"/>
      <c r="IQP20" s="557"/>
      <c r="IQQ20" s="557"/>
      <c r="IQR20" s="557"/>
      <c r="IQS20" s="557"/>
      <c r="IQT20" s="557"/>
      <c r="IQU20" s="557"/>
      <c r="IQV20" s="557"/>
      <c r="IQW20" s="557"/>
      <c r="IQX20" s="557"/>
      <c r="IQY20" s="557"/>
      <c r="IQZ20" s="557"/>
      <c r="IRA20" s="557"/>
      <c r="IRB20" s="557"/>
      <c r="IRC20" s="557"/>
      <c r="IRD20" s="557"/>
      <c r="IRE20" s="557"/>
      <c r="IRF20" s="557"/>
      <c r="IRG20" s="661"/>
      <c r="IRH20" s="556"/>
      <c r="IRI20" s="557"/>
      <c r="IRJ20" s="557"/>
      <c r="IRK20" s="557"/>
      <c r="IRL20" s="557"/>
      <c r="IRM20" s="557"/>
      <c r="IRN20" s="557"/>
      <c r="IRO20" s="557"/>
      <c r="IRP20" s="557"/>
      <c r="IRQ20" s="557"/>
      <c r="IRR20" s="557"/>
      <c r="IRS20" s="557"/>
      <c r="IRT20" s="557"/>
      <c r="IRU20" s="557"/>
      <c r="IRV20" s="557"/>
      <c r="IRW20" s="557"/>
      <c r="IRX20" s="557"/>
      <c r="IRY20" s="557"/>
      <c r="IRZ20" s="557"/>
      <c r="ISA20" s="661"/>
      <c r="ISB20" s="556"/>
      <c r="ISC20" s="557"/>
      <c r="ISD20" s="557"/>
      <c r="ISE20" s="557"/>
      <c r="ISF20" s="557"/>
      <c r="ISG20" s="557"/>
      <c r="ISH20" s="557"/>
      <c r="ISI20" s="557"/>
      <c r="ISJ20" s="557"/>
      <c r="ISK20" s="557"/>
      <c r="ISL20" s="557"/>
      <c r="ISM20" s="557"/>
      <c r="ISN20" s="557"/>
      <c r="ISO20" s="557"/>
      <c r="ISP20" s="557"/>
      <c r="ISQ20" s="557"/>
      <c r="ISR20" s="557"/>
      <c r="ISS20" s="557"/>
      <c r="IST20" s="557"/>
      <c r="ISU20" s="661"/>
      <c r="ISV20" s="556"/>
      <c r="ISW20" s="557"/>
      <c r="ISX20" s="557"/>
      <c r="ISY20" s="557"/>
      <c r="ISZ20" s="557"/>
      <c r="ITA20" s="557"/>
      <c r="ITB20" s="557"/>
      <c r="ITC20" s="557"/>
      <c r="ITD20" s="557"/>
      <c r="ITE20" s="557"/>
      <c r="ITF20" s="557"/>
      <c r="ITG20" s="557"/>
      <c r="ITH20" s="557"/>
      <c r="ITI20" s="557"/>
      <c r="ITJ20" s="557"/>
      <c r="ITK20" s="557"/>
      <c r="ITL20" s="557"/>
      <c r="ITM20" s="557"/>
      <c r="ITN20" s="557"/>
      <c r="ITO20" s="661"/>
      <c r="ITP20" s="556"/>
      <c r="ITQ20" s="557"/>
      <c r="ITR20" s="557"/>
      <c r="ITS20" s="557"/>
      <c r="ITT20" s="557"/>
      <c r="ITU20" s="557"/>
      <c r="ITV20" s="557"/>
      <c r="ITW20" s="557"/>
      <c r="ITX20" s="557"/>
      <c r="ITY20" s="557"/>
      <c r="ITZ20" s="557"/>
      <c r="IUA20" s="557"/>
      <c r="IUB20" s="557"/>
      <c r="IUC20" s="557"/>
      <c r="IUD20" s="557"/>
      <c r="IUE20" s="557"/>
      <c r="IUF20" s="557"/>
      <c r="IUG20" s="557"/>
      <c r="IUH20" s="557"/>
      <c r="IUI20" s="661"/>
      <c r="IUJ20" s="556"/>
      <c r="IUK20" s="557"/>
      <c r="IUL20" s="557"/>
      <c r="IUM20" s="557"/>
      <c r="IUN20" s="557"/>
      <c r="IUO20" s="557"/>
      <c r="IUP20" s="557"/>
      <c r="IUQ20" s="557"/>
      <c r="IUR20" s="557"/>
      <c r="IUS20" s="557"/>
      <c r="IUT20" s="557"/>
      <c r="IUU20" s="557"/>
      <c r="IUV20" s="557"/>
      <c r="IUW20" s="557"/>
      <c r="IUX20" s="557"/>
      <c r="IUY20" s="557"/>
      <c r="IUZ20" s="557"/>
      <c r="IVA20" s="557"/>
      <c r="IVB20" s="557"/>
      <c r="IVC20" s="661"/>
      <c r="IVD20" s="556"/>
      <c r="IVE20" s="557"/>
      <c r="IVF20" s="557"/>
      <c r="IVG20" s="557"/>
      <c r="IVH20" s="557"/>
      <c r="IVI20" s="557"/>
      <c r="IVJ20" s="557"/>
      <c r="IVK20" s="557"/>
      <c r="IVL20" s="557"/>
      <c r="IVM20" s="557"/>
      <c r="IVN20" s="557"/>
      <c r="IVO20" s="557"/>
      <c r="IVP20" s="557"/>
      <c r="IVQ20" s="557"/>
      <c r="IVR20" s="557"/>
      <c r="IVS20" s="557"/>
      <c r="IVT20" s="557"/>
      <c r="IVU20" s="557"/>
      <c r="IVV20" s="557"/>
      <c r="IVW20" s="661"/>
      <c r="IVX20" s="556"/>
      <c r="IVY20" s="557"/>
      <c r="IVZ20" s="557"/>
      <c r="IWA20" s="557"/>
      <c r="IWB20" s="557"/>
      <c r="IWC20" s="557"/>
      <c r="IWD20" s="557"/>
      <c r="IWE20" s="557"/>
      <c r="IWF20" s="557"/>
      <c r="IWG20" s="557"/>
      <c r="IWH20" s="557"/>
      <c r="IWI20" s="557"/>
      <c r="IWJ20" s="557"/>
      <c r="IWK20" s="557"/>
      <c r="IWL20" s="557"/>
      <c r="IWM20" s="557"/>
      <c r="IWN20" s="557"/>
      <c r="IWO20" s="557"/>
      <c r="IWP20" s="557"/>
      <c r="IWQ20" s="661"/>
      <c r="IWR20" s="556"/>
      <c r="IWS20" s="557"/>
      <c r="IWT20" s="557"/>
      <c r="IWU20" s="557"/>
      <c r="IWV20" s="557"/>
      <c r="IWW20" s="557"/>
      <c r="IWX20" s="557"/>
      <c r="IWY20" s="557"/>
      <c r="IWZ20" s="557"/>
      <c r="IXA20" s="557"/>
      <c r="IXB20" s="557"/>
      <c r="IXC20" s="557"/>
      <c r="IXD20" s="557"/>
      <c r="IXE20" s="557"/>
      <c r="IXF20" s="557"/>
      <c r="IXG20" s="557"/>
      <c r="IXH20" s="557"/>
      <c r="IXI20" s="557"/>
      <c r="IXJ20" s="557"/>
      <c r="IXK20" s="661"/>
      <c r="IXL20" s="556"/>
      <c r="IXM20" s="557"/>
      <c r="IXN20" s="557"/>
      <c r="IXO20" s="557"/>
      <c r="IXP20" s="557"/>
      <c r="IXQ20" s="557"/>
      <c r="IXR20" s="557"/>
      <c r="IXS20" s="557"/>
      <c r="IXT20" s="557"/>
      <c r="IXU20" s="557"/>
      <c r="IXV20" s="557"/>
      <c r="IXW20" s="557"/>
      <c r="IXX20" s="557"/>
      <c r="IXY20" s="557"/>
      <c r="IXZ20" s="557"/>
      <c r="IYA20" s="557"/>
      <c r="IYB20" s="557"/>
      <c r="IYC20" s="557"/>
      <c r="IYD20" s="557"/>
      <c r="IYE20" s="661"/>
      <c r="IYF20" s="556"/>
      <c r="IYG20" s="557"/>
      <c r="IYH20" s="557"/>
      <c r="IYI20" s="557"/>
      <c r="IYJ20" s="557"/>
      <c r="IYK20" s="557"/>
      <c r="IYL20" s="557"/>
      <c r="IYM20" s="557"/>
      <c r="IYN20" s="557"/>
      <c r="IYO20" s="557"/>
      <c r="IYP20" s="557"/>
      <c r="IYQ20" s="557"/>
      <c r="IYR20" s="557"/>
      <c r="IYS20" s="557"/>
      <c r="IYT20" s="557"/>
      <c r="IYU20" s="557"/>
      <c r="IYV20" s="557"/>
      <c r="IYW20" s="557"/>
      <c r="IYX20" s="557"/>
      <c r="IYY20" s="661"/>
      <c r="IYZ20" s="556"/>
      <c r="IZA20" s="557"/>
      <c r="IZB20" s="557"/>
      <c r="IZC20" s="557"/>
      <c r="IZD20" s="557"/>
      <c r="IZE20" s="557"/>
      <c r="IZF20" s="557"/>
      <c r="IZG20" s="557"/>
      <c r="IZH20" s="557"/>
      <c r="IZI20" s="557"/>
      <c r="IZJ20" s="557"/>
      <c r="IZK20" s="557"/>
      <c r="IZL20" s="557"/>
      <c r="IZM20" s="557"/>
      <c r="IZN20" s="557"/>
      <c r="IZO20" s="557"/>
      <c r="IZP20" s="557"/>
      <c r="IZQ20" s="557"/>
      <c r="IZR20" s="557"/>
      <c r="IZS20" s="661"/>
      <c r="IZT20" s="556"/>
      <c r="IZU20" s="557"/>
      <c r="IZV20" s="557"/>
      <c r="IZW20" s="557"/>
      <c r="IZX20" s="557"/>
      <c r="IZY20" s="557"/>
      <c r="IZZ20" s="557"/>
      <c r="JAA20" s="557"/>
      <c r="JAB20" s="557"/>
      <c r="JAC20" s="557"/>
      <c r="JAD20" s="557"/>
      <c r="JAE20" s="557"/>
      <c r="JAF20" s="557"/>
      <c r="JAG20" s="557"/>
      <c r="JAH20" s="557"/>
      <c r="JAI20" s="557"/>
      <c r="JAJ20" s="557"/>
      <c r="JAK20" s="557"/>
      <c r="JAL20" s="557"/>
      <c r="JAM20" s="661"/>
      <c r="JAN20" s="556"/>
      <c r="JAO20" s="557"/>
      <c r="JAP20" s="557"/>
      <c r="JAQ20" s="557"/>
      <c r="JAR20" s="557"/>
      <c r="JAS20" s="557"/>
      <c r="JAT20" s="557"/>
      <c r="JAU20" s="557"/>
      <c r="JAV20" s="557"/>
      <c r="JAW20" s="557"/>
      <c r="JAX20" s="557"/>
      <c r="JAY20" s="557"/>
      <c r="JAZ20" s="557"/>
      <c r="JBA20" s="557"/>
      <c r="JBB20" s="557"/>
      <c r="JBC20" s="557"/>
      <c r="JBD20" s="557"/>
      <c r="JBE20" s="557"/>
      <c r="JBF20" s="557"/>
      <c r="JBG20" s="661"/>
      <c r="JBH20" s="556"/>
      <c r="JBI20" s="557"/>
      <c r="JBJ20" s="557"/>
      <c r="JBK20" s="557"/>
      <c r="JBL20" s="557"/>
      <c r="JBM20" s="557"/>
      <c r="JBN20" s="557"/>
      <c r="JBO20" s="557"/>
      <c r="JBP20" s="557"/>
      <c r="JBQ20" s="557"/>
      <c r="JBR20" s="557"/>
      <c r="JBS20" s="557"/>
      <c r="JBT20" s="557"/>
      <c r="JBU20" s="557"/>
      <c r="JBV20" s="557"/>
      <c r="JBW20" s="557"/>
      <c r="JBX20" s="557"/>
      <c r="JBY20" s="557"/>
      <c r="JBZ20" s="557"/>
      <c r="JCA20" s="661"/>
      <c r="JCB20" s="556"/>
      <c r="JCC20" s="557"/>
      <c r="JCD20" s="557"/>
      <c r="JCE20" s="557"/>
      <c r="JCF20" s="557"/>
      <c r="JCG20" s="557"/>
      <c r="JCH20" s="557"/>
      <c r="JCI20" s="557"/>
      <c r="JCJ20" s="557"/>
      <c r="JCK20" s="557"/>
      <c r="JCL20" s="557"/>
      <c r="JCM20" s="557"/>
      <c r="JCN20" s="557"/>
      <c r="JCO20" s="557"/>
      <c r="JCP20" s="557"/>
      <c r="JCQ20" s="557"/>
      <c r="JCR20" s="557"/>
      <c r="JCS20" s="557"/>
      <c r="JCT20" s="557"/>
      <c r="JCU20" s="661"/>
      <c r="JCV20" s="556"/>
      <c r="JCW20" s="557"/>
      <c r="JCX20" s="557"/>
      <c r="JCY20" s="557"/>
      <c r="JCZ20" s="557"/>
      <c r="JDA20" s="557"/>
      <c r="JDB20" s="557"/>
      <c r="JDC20" s="557"/>
      <c r="JDD20" s="557"/>
      <c r="JDE20" s="557"/>
      <c r="JDF20" s="557"/>
      <c r="JDG20" s="557"/>
      <c r="JDH20" s="557"/>
      <c r="JDI20" s="557"/>
      <c r="JDJ20" s="557"/>
      <c r="JDK20" s="557"/>
      <c r="JDL20" s="557"/>
      <c r="JDM20" s="557"/>
      <c r="JDN20" s="557"/>
      <c r="JDO20" s="661"/>
      <c r="JDP20" s="556"/>
      <c r="JDQ20" s="557"/>
      <c r="JDR20" s="557"/>
      <c r="JDS20" s="557"/>
      <c r="JDT20" s="557"/>
      <c r="JDU20" s="557"/>
      <c r="JDV20" s="557"/>
      <c r="JDW20" s="557"/>
      <c r="JDX20" s="557"/>
      <c r="JDY20" s="557"/>
      <c r="JDZ20" s="557"/>
      <c r="JEA20" s="557"/>
      <c r="JEB20" s="557"/>
      <c r="JEC20" s="557"/>
      <c r="JED20" s="557"/>
      <c r="JEE20" s="557"/>
      <c r="JEF20" s="557"/>
      <c r="JEG20" s="557"/>
      <c r="JEH20" s="557"/>
      <c r="JEI20" s="661"/>
      <c r="JEJ20" s="556"/>
      <c r="JEK20" s="557"/>
      <c r="JEL20" s="557"/>
      <c r="JEM20" s="557"/>
      <c r="JEN20" s="557"/>
      <c r="JEO20" s="557"/>
      <c r="JEP20" s="557"/>
      <c r="JEQ20" s="557"/>
      <c r="JER20" s="557"/>
      <c r="JES20" s="557"/>
      <c r="JET20" s="557"/>
      <c r="JEU20" s="557"/>
      <c r="JEV20" s="557"/>
      <c r="JEW20" s="557"/>
      <c r="JEX20" s="557"/>
      <c r="JEY20" s="557"/>
      <c r="JEZ20" s="557"/>
      <c r="JFA20" s="557"/>
      <c r="JFB20" s="557"/>
      <c r="JFC20" s="661"/>
      <c r="JFD20" s="556"/>
      <c r="JFE20" s="557"/>
      <c r="JFF20" s="557"/>
      <c r="JFG20" s="557"/>
      <c r="JFH20" s="557"/>
      <c r="JFI20" s="557"/>
      <c r="JFJ20" s="557"/>
      <c r="JFK20" s="557"/>
      <c r="JFL20" s="557"/>
      <c r="JFM20" s="557"/>
      <c r="JFN20" s="557"/>
      <c r="JFO20" s="557"/>
      <c r="JFP20" s="557"/>
      <c r="JFQ20" s="557"/>
      <c r="JFR20" s="557"/>
      <c r="JFS20" s="557"/>
      <c r="JFT20" s="557"/>
      <c r="JFU20" s="557"/>
      <c r="JFV20" s="557"/>
      <c r="JFW20" s="661"/>
      <c r="JFX20" s="556"/>
      <c r="JFY20" s="557"/>
      <c r="JFZ20" s="557"/>
      <c r="JGA20" s="557"/>
      <c r="JGB20" s="557"/>
      <c r="JGC20" s="557"/>
      <c r="JGD20" s="557"/>
      <c r="JGE20" s="557"/>
      <c r="JGF20" s="557"/>
      <c r="JGG20" s="557"/>
      <c r="JGH20" s="557"/>
      <c r="JGI20" s="557"/>
      <c r="JGJ20" s="557"/>
      <c r="JGK20" s="557"/>
      <c r="JGL20" s="557"/>
      <c r="JGM20" s="557"/>
      <c r="JGN20" s="557"/>
      <c r="JGO20" s="557"/>
      <c r="JGP20" s="557"/>
      <c r="JGQ20" s="661"/>
      <c r="JGR20" s="556"/>
      <c r="JGS20" s="557"/>
      <c r="JGT20" s="557"/>
      <c r="JGU20" s="557"/>
      <c r="JGV20" s="557"/>
      <c r="JGW20" s="557"/>
      <c r="JGX20" s="557"/>
      <c r="JGY20" s="557"/>
      <c r="JGZ20" s="557"/>
      <c r="JHA20" s="557"/>
      <c r="JHB20" s="557"/>
      <c r="JHC20" s="557"/>
      <c r="JHD20" s="557"/>
      <c r="JHE20" s="557"/>
      <c r="JHF20" s="557"/>
      <c r="JHG20" s="557"/>
      <c r="JHH20" s="557"/>
      <c r="JHI20" s="557"/>
      <c r="JHJ20" s="557"/>
      <c r="JHK20" s="661"/>
      <c r="JHL20" s="556"/>
      <c r="JHM20" s="557"/>
      <c r="JHN20" s="557"/>
      <c r="JHO20" s="557"/>
      <c r="JHP20" s="557"/>
      <c r="JHQ20" s="557"/>
      <c r="JHR20" s="557"/>
      <c r="JHS20" s="557"/>
      <c r="JHT20" s="557"/>
      <c r="JHU20" s="557"/>
      <c r="JHV20" s="557"/>
      <c r="JHW20" s="557"/>
      <c r="JHX20" s="557"/>
      <c r="JHY20" s="557"/>
      <c r="JHZ20" s="557"/>
      <c r="JIA20" s="557"/>
      <c r="JIB20" s="557"/>
      <c r="JIC20" s="557"/>
      <c r="JID20" s="557"/>
      <c r="JIE20" s="661"/>
      <c r="JIF20" s="556"/>
      <c r="JIG20" s="557"/>
      <c r="JIH20" s="557"/>
      <c r="JII20" s="557"/>
      <c r="JIJ20" s="557"/>
      <c r="JIK20" s="557"/>
      <c r="JIL20" s="557"/>
      <c r="JIM20" s="557"/>
      <c r="JIN20" s="557"/>
      <c r="JIO20" s="557"/>
      <c r="JIP20" s="557"/>
      <c r="JIQ20" s="557"/>
      <c r="JIR20" s="557"/>
      <c r="JIS20" s="557"/>
      <c r="JIT20" s="557"/>
      <c r="JIU20" s="557"/>
      <c r="JIV20" s="557"/>
      <c r="JIW20" s="557"/>
      <c r="JIX20" s="557"/>
      <c r="JIY20" s="661"/>
      <c r="JIZ20" s="556"/>
      <c r="JJA20" s="557"/>
      <c r="JJB20" s="557"/>
      <c r="JJC20" s="557"/>
      <c r="JJD20" s="557"/>
      <c r="JJE20" s="557"/>
      <c r="JJF20" s="557"/>
      <c r="JJG20" s="557"/>
      <c r="JJH20" s="557"/>
      <c r="JJI20" s="557"/>
      <c r="JJJ20" s="557"/>
      <c r="JJK20" s="557"/>
      <c r="JJL20" s="557"/>
      <c r="JJM20" s="557"/>
      <c r="JJN20" s="557"/>
      <c r="JJO20" s="557"/>
      <c r="JJP20" s="557"/>
      <c r="JJQ20" s="557"/>
      <c r="JJR20" s="557"/>
      <c r="JJS20" s="661"/>
      <c r="JJT20" s="556"/>
      <c r="JJU20" s="557"/>
      <c r="JJV20" s="557"/>
      <c r="JJW20" s="557"/>
      <c r="JJX20" s="557"/>
      <c r="JJY20" s="557"/>
      <c r="JJZ20" s="557"/>
      <c r="JKA20" s="557"/>
      <c r="JKB20" s="557"/>
      <c r="JKC20" s="557"/>
      <c r="JKD20" s="557"/>
      <c r="JKE20" s="557"/>
      <c r="JKF20" s="557"/>
      <c r="JKG20" s="557"/>
      <c r="JKH20" s="557"/>
      <c r="JKI20" s="557"/>
      <c r="JKJ20" s="557"/>
      <c r="JKK20" s="557"/>
      <c r="JKL20" s="557"/>
      <c r="JKM20" s="661"/>
      <c r="JKN20" s="556"/>
      <c r="JKO20" s="557"/>
      <c r="JKP20" s="557"/>
      <c r="JKQ20" s="557"/>
      <c r="JKR20" s="557"/>
      <c r="JKS20" s="557"/>
      <c r="JKT20" s="557"/>
      <c r="JKU20" s="557"/>
      <c r="JKV20" s="557"/>
      <c r="JKW20" s="557"/>
      <c r="JKX20" s="557"/>
      <c r="JKY20" s="557"/>
      <c r="JKZ20" s="557"/>
      <c r="JLA20" s="557"/>
      <c r="JLB20" s="557"/>
      <c r="JLC20" s="557"/>
      <c r="JLD20" s="557"/>
      <c r="JLE20" s="557"/>
      <c r="JLF20" s="557"/>
      <c r="JLG20" s="661"/>
      <c r="JLH20" s="556"/>
      <c r="JLI20" s="557"/>
      <c r="JLJ20" s="557"/>
      <c r="JLK20" s="557"/>
      <c r="JLL20" s="557"/>
      <c r="JLM20" s="557"/>
      <c r="JLN20" s="557"/>
      <c r="JLO20" s="557"/>
      <c r="JLP20" s="557"/>
      <c r="JLQ20" s="557"/>
      <c r="JLR20" s="557"/>
      <c r="JLS20" s="557"/>
      <c r="JLT20" s="557"/>
      <c r="JLU20" s="557"/>
      <c r="JLV20" s="557"/>
      <c r="JLW20" s="557"/>
      <c r="JLX20" s="557"/>
      <c r="JLY20" s="557"/>
      <c r="JLZ20" s="557"/>
      <c r="JMA20" s="661"/>
      <c r="JMB20" s="556"/>
      <c r="JMC20" s="557"/>
      <c r="JMD20" s="557"/>
      <c r="JME20" s="557"/>
      <c r="JMF20" s="557"/>
      <c r="JMG20" s="557"/>
      <c r="JMH20" s="557"/>
      <c r="JMI20" s="557"/>
      <c r="JMJ20" s="557"/>
      <c r="JMK20" s="557"/>
      <c r="JML20" s="557"/>
      <c r="JMM20" s="557"/>
      <c r="JMN20" s="557"/>
      <c r="JMO20" s="557"/>
      <c r="JMP20" s="557"/>
      <c r="JMQ20" s="557"/>
      <c r="JMR20" s="557"/>
      <c r="JMS20" s="557"/>
      <c r="JMT20" s="557"/>
      <c r="JMU20" s="661"/>
      <c r="JMV20" s="556"/>
      <c r="JMW20" s="557"/>
      <c r="JMX20" s="557"/>
      <c r="JMY20" s="557"/>
      <c r="JMZ20" s="557"/>
      <c r="JNA20" s="557"/>
      <c r="JNB20" s="557"/>
      <c r="JNC20" s="557"/>
      <c r="JND20" s="557"/>
      <c r="JNE20" s="557"/>
      <c r="JNF20" s="557"/>
      <c r="JNG20" s="557"/>
      <c r="JNH20" s="557"/>
      <c r="JNI20" s="557"/>
      <c r="JNJ20" s="557"/>
      <c r="JNK20" s="557"/>
      <c r="JNL20" s="557"/>
      <c r="JNM20" s="557"/>
      <c r="JNN20" s="557"/>
      <c r="JNO20" s="661"/>
      <c r="JNP20" s="556"/>
      <c r="JNQ20" s="557"/>
      <c r="JNR20" s="557"/>
      <c r="JNS20" s="557"/>
      <c r="JNT20" s="557"/>
      <c r="JNU20" s="557"/>
      <c r="JNV20" s="557"/>
      <c r="JNW20" s="557"/>
      <c r="JNX20" s="557"/>
      <c r="JNY20" s="557"/>
      <c r="JNZ20" s="557"/>
      <c r="JOA20" s="557"/>
      <c r="JOB20" s="557"/>
      <c r="JOC20" s="557"/>
      <c r="JOD20" s="557"/>
      <c r="JOE20" s="557"/>
      <c r="JOF20" s="557"/>
      <c r="JOG20" s="557"/>
      <c r="JOH20" s="557"/>
      <c r="JOI20" s="661"/>
      <c r="JOJ20" s="556"/>
      <c r="JOK20" s="557"/>
      <c r="JOL20" s="557"/>
      <c r="JOM20" s="557"/>
      <c r="JON20" s="557"/>
      <c r="JOO20" s="557"/>
      <c r="JOP20" s="557"/>
      <c r="JOQ20" s="557"/>
      <c r="JOR20" s="557"/>
      <c r="JOS20" s="557"/>
      <c r="JOT20" s="557"/>
      <c r="JOU20" s="557"/>
      <c r="JOV20" s="557"/>
      <c r="JOW20" s="557"/>
      <c r="JOX20" s="557"/>
      <c r="JOY20" s="557"/>
      <c r="JOZ20" s="557"/>
      <c r="JPA20" s="557"/>
      <c r="JPB20" s="557"/>
      <c r="JPC20" s="661"/>
      <c r="JPD20" s="556"/>
      <c r="JPE20" s="557"/>
      <c r="JPF20" s="557"/>
      <c r="JPG20" s="557"/>
      <c r="JPH20" s="557"/>
      <c r="JPI20" s="557"/>
      <c r="JPJ20" s="557"/>
      <c r="JPK20" s="557"/>
      <c r="JPL20" s="557"/>
      <c r="JPM20" s="557"/>
      <c r="JPN20" s="557"/>
      <c r="JPO20" s="557"/>
      <c r="JPP20" s="557"/>
      <c r="JPQ20" s="557"/>
      <c r="JPR20" s="557"/>
      <c r="JPS20" s="557"/>
      <c r="JPT20" s="557"/>
      <c r="JPU20" s="557"/>
      <c r="JPV20" s="557"/>
      <c r="JPW20" s="661"/>
      <c r="JPX20" s="556"/>
      <c r="JPY20" s="557"/>
      <c r="JPZ20" s="557"/>
      <c r="JQA20" s="557"/>
      <c r="JQB20" s="557"/>
      <c r="JQC20" s="557"/>
      <c r="JQD20" s="557"/>
      <c r="JQE20" s="557"/>
      <c r="JQF20" s="557"/>
      <c r="JQG20" s="557"/>
      <c r="JQH20" s="557"/>
      <c r="JQI20" s="557"/>
      <c r="JQJ20" s="557"/>
      <c r="JQK20" s="557"/>
      <c r="JQL20" s="557"/>
      <c r="JQM20" s="557"/>
      <c r="JQN20" s="557"/>
      <c r="JQO20" s="557"/>
      <c r="JQP20" s="557"/>
      <c r="JQQ20" s="661"/>
      <c r="JQR20" s="556"/>
      <c r="JQS20" s="557"/>
      <c r="JQT20" s="557"/>
      <c r="JQU20" s="557"/>
      <c r="JQV20" s="557"/>
      <c r="JQW20" s="557"/>
      <c r="JQX20" s="557"/>
      <c r="JQY20" s="557"/>
      <c r="JQZ20" s="557"/>
      <c r="JRA20" s="557"/>
      <c r="JRB20" s="557"/>
      <c r="JRC20" s="557"/>
      <c r="JRD20" s="557"/>
      <c r="JRE20" s="557"/>
      <c r="JRF20" s="557"/>
      <c r="JRG20" s="557"/>
      <c r="JRH20" s="557"/>
      <c r="JRI20" s="557"/>
      <c r="JRJ20" s="557"/>
      <c r="JRK20" s="661"/>
      <c r="JRL20" s="556"/>
      <c r="JRM20" s="557"/>
      <c r="JRN20" s="557"/>
      <c r="JRO20" s="557"/>
      <c r="JRP20" s="557"/>
      <c r="JRQ20" s="557"/>
      <c r="JRR20" s="557"/>
      <c r="JRS20" s="557"/>
      <c r="JRT20" s="557"/>
      <c r="JRU20" s="557"/>
      <c r="JRV20" s="557"/>
      <c r="JRW20" s="557"/>
      <c r="JRX20" s="557"/>
      <c r="JRY20" s="557"/>
      <c r="JRZ20" s="557"/>
      <c r="JSA20" s="557"/>
      <c r="JSB20" s="557"/>
      <c r="JSC20" s="557"/>
      <c r="JSD20" s="557"/>
      <c r="JSE20" s="661"/>
      <c r="JSF20" s="556"/>
      <c r="JSG20" s="557"/>
      <c r="JSH20" s="557"/>
      <c r="JSI20" s="557"/>
      <c r="JSJ20" s="557"/>
      <c r="JSK20" s="557"/>
      <c r="JSL20" s="557"/>
      <c r="JSM20" s="557"/>
      <c r="JSN20" s="557"/>
      <c r="JSO20" s="557"/>
      <c r="JSP20" s="557"/>
      <c r="JSQ20" s="557"/>
      <c r="JSR20" s="557"/>
      <c r="JSS20" s="557"/>
      <c r="JST20" s="557"/>
      <c r="JSU20" s="557"/>
      <c r="JSV20" s="557"/>
      <c r="JSW20" s="557"/>
      <c r="JSX20" s="557"/>
      <c r="JSY20" s="661"/>
      <c r="JSZ20" s="556"/>
      <c r="JTA20" s="557"/>
      <c r="JTB20" s="557"/>
      <c r="JTC20" s="557"/>
      <c r="JTD20" s="557"/>
      <c r="JTE20" s="557"/>
      <c r="JTF20" s="557"/>
      <c r="JTG20" s="557"/>
      <c r="JTH20" s="557"/>
      <c r="JTI20" s="557"/>
      <c r="JTJ20" s="557"/>
      <c r="JTK20" s="557"/>
      <c r="JTL20" s="557"/>
      <c r="JTM20" s="557"/>
      <c r="JTN20" s="557"/>
      <c r="JTO20" s="557"/>
      <c r="JTP20" s="557"/>
      <c r="JTQ20" s="557"/>
      <c r="JTR20" s="557"/>
      <c r="JTS20" s="661"/>
      <c r="JTT20" s="556"/>
      <c r="JTU20" s="557"/>
      <c r="JTV20" s="557"/>
      <c r="JTW20" s="557"/>
      <c r="JTX20" s="557"/>
      <c r="JTY20" s="557"/>
      <c r="JTZ20" s="557"/>
      <c r="JUA20" s="557"/>
      <c r="JUB20" s="557"/>
      <c r="JUC20" s="557"/>
      <c r="JUD20" s="557"/>
      <c r="JUE20" s="557"/>
      <c r="JUF20" s="557"/>
      <c r="JUG20" s="557"/>
      <c r="JUH20" s="557"/>
      <c r="JUI20" s="557"/>
      <c r="JUJ20" s="557"/>
      <c r="JUK20" s="557"/>
      <c r="JUL20" s="557"/>
      <c r="JUM20" s="661"/>
      <c r="JUN20" s="556"/>
      <c r="JUO20" s="557"/>
      <c r="JUP20" s="557"/>
      <c r="JUQ20" s="557"/>
      <c r="JUR20" s="557"/>
      <c r="JUS20" s="557"/>
      <c r="JUT20" s="557"/>
      <c r="JUU20" s="557"/>
      <c r="JUV20" s="557"/>
      <c r="JUW20" s="557"/>
      <c r="JUX20" s="557"/>
      <c r="JUY20" s="557"/>
      <c r="JUZ20" s="557"/>
      <c r="JVA20" s="557"/>
      <c r="JVB20" s="557"/>
      <c r="JVC20" s="557"/>
      <c r="JVD20" s="557"/>
      <c r="JVE20" s="557"/>
      <c r="JVF20" s="557"/>
      <c r="JVG20" s="661"/>
      <c r="JVH20" s="556"/>
      <c r="JVI20" s="557"/>
      <c r="JVJ20" s="557"/>
      <c r="JVK20" s="557"/>
      <c r="JVL20" s="557"/>
      <c r="JVM20" s="557"/>
      <c r="JVN20" s="557"/>
      <c r="JVO20" s="557"/>
      <c r="JVP20" s="557"/>
      <c r="JVQ20" s="557"/>
      <c r="JVR20" s="557"/>
      <c r="JVS20" s="557"/>
      <c r="JVT20" s="557"/>
      <c r="JVU20" s="557"/>
      <c r="JVV20" s="557"/>
      <c r="JVW20" s="557"/>
      <c r="JVX20" s="557"/>
      <c r="JVY20" s="557"/>
      <c r="JVZ20" s="557"/>
      <c r="JWA20" s="661"/>
      <c r="JWB20" s="556"/>
      <c r="JWC20" s="557"/>
      <c r="JWD20" s="557"/>
      <c r="JWE20" s="557"/>
      <c r="JWF20" s="557"/>
      <c r="JWG20" s="557"/>
      <c r="JWH20" s="557"/>
      <c r="JWI20" s="557"/>
      <c r="JWJ20" s="557"/>
      <c r="JWK20" s="557"/>
      <c r="JWL20" s="557"/>
      <c r="JWM20" s="557"/>
      <c r="JWN20" s="557"/>
      <c r="JWO20" s="557"/>
      <c r="JWP20" s="557"/>
      <c r="JWQ20" s="557"/>
      <c r="JWR20" s="557"/>
      <c r="JWS20" s="557"/>
      <c r="JWT20" s="557"/>
      <c r="JWU20" s="661"/>
      <c r="JWV20" s="556"/>
      <c r="JWW20" s="557"/>
      <c r="JWX20" s="557"/>
      <c r="JWY20" s="557"/>
      <c r="JWZ20" s="557"/>
      <c r="JXA20" s="557"/>
      <c r="JXB20" s="557"/>
      <c r="JXC20" s="557"/>
      <c r="JXD20" s="557"/>
      <c r="JXE20" s="557"/>
      <c r="JXF20" s="557"/>
      <c r="JXG20" s="557"/>
      <c r="JXH20" s="557"/>
      <c r="JXI20" s="557"/>
      <c r="JXJ20" s="557"/>
      <c r="JXK20" s="557"/>
      <c r="JXL20" s="557"/>
      <c r="JXM20" s="557"/>
      <c r="JXN20" s="557"/>
      <c r="JXO20" s="661"/>
      <c r="JXP20" s="556"/>
      <c r="JXQ20" s="557"/>
      <c r="JXR20" s="557"/>
      <c r="JXS20" s="557"/>
      <c r="JXT20" s="557"/>
      <c r="JXU20" s="557"/>
      <c r="JXV20" s="557"/>
      <c r="JXW20" s="557"/>
      <c r="JXX20" s="557"/>
      <c r="JXY20" s="557"/>
      <c r="JXZ20" s="557"/>
      <c r="JYA20" s="557"/>
      <c r="JYB20" s="557"/>
      <c r="JYC20" s="557"/>
      <c r="JYD20" s="557"/>
      <c r="JYE20" s="557"/>
      <c r="JYF20" s="557"/>
      <c r="JYG20" s="557"/>
      <c r="JYH20" s="557"/>
      <c r="JYI20" s="661"/>
      <c r="JYJ20" s="556"/>
      <c r="JYK20" s="557"/>
      <c r="JYL20" s="557"/>
      <c r="JYM20" s="557"/>
      <c r="JYN20" s="557"/>
      <c r="JYO20" s="557"/>
      <c r="JYP20" s="557"/>
      <c r="JYQ20" s="557"/>
      <c r="JYR20" s="557"/>
      <c r="JYS20" s="557"/>
      <c r="JYT20" s="557"/>
      <c r="JYU20" s="557"/>
      <c r="JYV20" s="557"/>
      <c r="JYW20" s="557"/>
      <c r="JYX20" s="557"/>
      <c r="JYY20" s="557"/>
      <c r="JYZ20" s="557"/>
      <c r="JZA20" s="557"/>
      <c r="JZB20" s="557"/>
      <c r="JZC20" s="661"/>
      <c r="JZD20" s="556"/>
      <c r="JZE20" s="557"/>
      <c r="JZF20" s="557"/>
      <c r="JZG20" s="557"/>
      <c r="JZH20" s="557"/>
      <c r="JZI20" s="557"/>
      <c r="JZJ20" s="557"/>
      <c r="JZK20" s="557"/>
      <c r="JZL20" s="557"/>
      <c r="JZM20" s="557"/>
      <c r="JZN20" s="557"/>
      <c r="JZO20" s="557"/>
      <c r="JZP20" s="557"/>
      <c r="JZQ20" s="557"/>
      <c r="JZR20" s="557"/>
      <c r="JZS20" s="557"/>
      <c r="JZT20" s="557"/>
      <c r="JZU20" s="557"/>
      <c r="JZV20" s="557"/>
      <c r="JZW20" s="661"/>
      <c r="JZX20" s="556"/>
      <c r="JZY20" s="557"/>
      <c r="JZZ20" s="557"/>
      <c r="KAA20" s="557"/>
      <c r="KAB20" s="557"/>
      <c r="KAC20" s="557"/>
      <c r="KAD20" s="557"/>
      <c r="KAE20" s="557"/>
      <c r="KAF20" s="557"/>
      <c r="KAG20" s="557"/>
      <c r="KAH20" s="557"/>
      <c r="KAI20" s="557"/>
      <c r="KAJ20" s="557"/>
      <c r="KAK20" s="557"/>
      <c r="KAL20" s="557"/>
      <c r="KAM20" s="557"/>
      <c r="KAN20" s="557"/>
      <c r="KAO20" s="557"/>
      <c r="KAP20" s="557"/>
      <c r="KAQ20" s="661"/>
      <c r="KAR20" s="556"/>
      <c r="KAS20" s="557"/>
      <c r="KAT20" s="557"/>
      <c r="KAU20" s="557"/>
      <c r="KAV20" s="557"/>
      <c r="KAW20" s="557"/>
      <c r="KAX20" s="557"/>
      <c r="KAY20" s="557"/>
      <c r="KAZ20" s="557"/>
      <c r="KBA20" s="557"/>
      <c r="KBB20" s="557"/>
      <c r="KBC20" s="557"/>
      <c r="KBD20" s="557"/>
      <c r="KBE20" s="557"/>
      <c r="KBF20" s="557"/>
      <c r="KBG20" s="557"/>
      <c r="KBH20" s="557"/>
      <c r="KBI20" s="557"/>
      <c r="KBJ20" s="557"/>
      <c r="KBK20" s="661"/>
      <c r="KBL20" s="556"/>
      <c r="KBM20" s="557"/>
      <c r="KBN20" s="557"/>
      <c r="KBO20" s="557"/>
      <c r="KBP20" s="557"/>
      <c r="KBQ20" s="557"/>
      <c r="KBR20" s="557"/>
      <c r="KBS20" s="557"/>
      <c r="KBT20" s="557"/>
      <c r="KBU20" s="557"/>
      <c r="KBV20" s="557"/>
      <c r="KBW20" s="557"/>
      <c r="KBX20" s="557"/>
      <c r="KBY20" s="557"/>
      <c r="KBZ20" s="557"/>
      <c r="KCA20" s="557"/>
      <c r="KCB20" s="557"/>
      <c r="KCC20" s="557"/>
      <c r="KCD20" s="557"/>
      <c r="KCE20" s="661"/>
      <c r="KCF20" s="556"/>
      <c r="KCG20" s="557"/>
      <c r="KCH20" s="557"/>
      <c r="KCI20" s="557"/>
      <c r="KCJ20" s="557"/>
      <c r="KCK20" s="557"/>
      <c r="KCL20" s="557"/>
      <c r="KCM20" s="557"/>
      <c r="KCN20" s="557"/>
      <c r="KCO20" s="557"/>
      <c r="KCP20" s="557"/>
      <c r="KCQ20" s="557"/>
      <c r="KCR20" s="557"/>
      <c r="KCS20" s="557"/>
      <c r="KCT20" s="557"/>
      <c r="KCU20" s="557"/>
      <c r="KCV20" s="557"/>
      <c r="KCW20" s="557"/>
      <c r="KCX20" s="557"/>
      <c r="KCY20" s="661"/>
      <c r="KCZ20" s="556"/>
      <c r="KDA20" s="557"/>
      <c r="KDB20" s="557"/>
      <c r="KDC20" s="557"/>
      <c r="KDD20" s="557"/>
      <c r="KDE20" s="557"/>
      <c r="KDF20" s="557"/>
      <c r="KDG20" s="557"/>
      <c r="KDH20" s="557"/>
      <c r="KDI20" s="557"/>
      <c r="KDJ20" s="557"/>
      <c r="KDK20" s="557"/>
      <c r="KDL20" s="557"/>
      <c r="KDM20" s="557"/>
      <c r="KDN20" s="557"/>
      <c r="KDO20" s="557"/>
      <c r="KDP20" s="557"/>
      <c r="KDQ20" s="557"/>
      <c r="KDR20" s="557"/>
      <c r="KDS20" s="661"/>
      <c r="KDT20" s="556"/>
      <c r="KDU20" s="557"/>
      <c r="KDV20" s="557"/>
      <c r="KDW20" s="557"/>
      <c r="KDX20" s="557"/>
      <c r="KDY20" s="557"/>
      <c r="KDZ20" s="557"/>
      <c r="KEA20" s="557"/>
      <c r="KEB20" s="557"/>
      <c r="KEC20" s="557"/>
      <c r="KED20" s="557"/>
      <c r="KEE20" s="557"/>
      <c r="KEF20" s="557"/>
      <c r="KEG20" s="557"/>
      <c r="KEH20" s="557"/>
      <c r="KEI20" s="557"/>
      <c r="KEJ20" s="557"/>
      <c r="KEK20" s="557"/>
      <c r="KEL20" s="557"/>
      <c r="KEM20" s="661"/>
      <c r="KEN20" s="556"/>
      <c r="KEO20" s="557"/>
      <c r="KEP20" s="557"/>
      <c r="KEQ20" s="557"/>
      <c r="KER20" s="557"/>
      <c r="KES20" s="557"/>
      <c r="KET20" s="557"/>
      <c r="KEU20" s="557"/>
      <c r="KEV20" s="557"/>
      <c r="KEW20" s="557"/>
      <c r="KEX20" s="557"/>
      <c r="KEY20" s="557"/>
      <c r="KEZ20" s="557"/>
      <c r="KFA20" s="557"/>
      <c r="KFB20" s="557"/>
      <c r="KFC20" s="557"/>
      <c r="KFD20" s="557"/>
      <c r="KFE20" s="557"/>
      <c r="KFF20" s="557"/>
      <c r="KFG20" s="661"/>
      <c r="KFH20" s="556"/>
      <c r="KFI20" s="557"/>
      <c r="KFJ20" s="557"/>
      <c r="KFK20" s="557"/>
      <c r="KFL20" s="557"/>
      <c r="KFM20" s="557"/>
      <c r="KFN20" s="557"/>
      <c r="KFO20" s="557"/>
      <c r="KFP20" s="557"/>
      <c r="KFQ20" s="557"/>
      <c r="KFR20" s="557"/>
      <c r="KFS20" s="557"/>
      <c r="KFT20" s="557"/>
      <c r="KFU20" s="557"/>
      <c r="KFV20" s="557"/>
      <c r="KFW20" s="557"/>
      <c r="KFX20" s="557"/>
      <c r="KFY20" s="557"/>
      <c r="KFZ20" s="557"/>
      <c r="KGA20" s="661"/>
      <c r="KGB20" s="556"/>
      <c r="KGC20" s="557"/>
      <c r="KGD20" s="557"/>
      <c r="KGE20" s="557"/>
      <c r="KGF20" s="557"/>
      <c r="KGG20" s="557"/>
      <c r="KGH20" s="557"/>
      <c r="KGI20" s="557"/>
      <c r="KGJ20" s="557"/>
      <c r="KGK20" s="557"/>
      <c r="KGL20" s="557"/>
      <c r="KGM20" s="557"/>
      <c r="KGN20" s="557"/>
      <c r="KGO20" s="557"/>
      <c r="KGP20" s="557"/>
      <c r="KGQ20" s="557"/>
      <c r="KGR20" s="557"/>
      <c r="KGS20" s="557"/>
      <c r="KGT20" s="557"/>
      <c r="KGU20" s="661"/>
      <c r="KGV20" s="556"/>
      <c r="KGW20" s="557"/>
      <c r="KGX20" s="557"/>
      <c r="KGY20" s="557"/>
      <c r="KGZ20" s="557"/>
      <c r="KHA20" s="557"/>
      <c r="KHB20" s="557"/>
      <c r="KHC20" s="557"/>
      <c r="KHD20" s="557"/>
      <c r="KHE20" s="557"/>
      <c r="KHF20" s="557"/>
      <c r="KHG20" s="557"/>
      <c r="KHH20" s="557"/>
      <c r="KHI20" s="557"/>
      <c r="KHJ20" s="557"/>
      <c r="KHK20" s="557"/>
      <c r="KHL20" s="557"/>
      <c r="KHM20" s="557"/>
      <c r="KHN20" s="557"/>
      <c r="KHO20" s="661"/>
      <c r="KHP20" s="556"/>
      <c r="KHQ20" s="557"/>
      <c r="KHR20" s="557"/>
      <c r="KHS20" s="557"/>
      <c r="KHT20" s="557"/>
      <c r="KHU20" s="557"/>
      <c r="KHV20" s="557"/>
      <c r="KHW20" s="557"/>
      <c r="KHX20" s="557"/>
      <c r="KHY20" s="557"/>
      <c r="KHZ20" s="557"/>
      <c r="KIA20" s="557"/>
      <c r="KIB20" s="557"/>
      <c r="KIC20" s="557"/>
      <c r="KID20" s="557"/>
      <c r="KIE20" s="557"/>
      <c r="KIF20" s="557"/>
      <c r="KIG20" s="557"/>
      <c r="KIH20" s="557"/>
      <c r="KII20" s="661"/>
      <c r="KIJ20" s="556"/>
      <c r="KIK20" s="557"/>
      <c r="KIL20" s="557"/>
      <c r="KIM20" s="557"/>
      <c r="KIN20" s="557"/>
      <c r="KIO20" s="557"/>
      <c r="KIP20" s="557"/>
      <c r="KIQ20" s="557"/>
      <c r="KIR20" s="557"/>
      <c r="KIS20" s="557"/>
      <c r="KIT20" s="557"/>
      <c r="KIU20" s="557"/>
      <c r="KIV20" s="557"/>
      <c r="KIW20" s="557"/>
      <c r="KIX20" s="557"/>
      <c r="KIY20" s="557"/>
      <c r="KIZ20" s="557"/>
      <c r="KJA20" s="557"/>
      <c r="KJB20" s="557"/>
      <c r="KJC20" s="661"/>
      <c r="KJD20" s="556"/>
      <c r="KJE20" s="557"/>
      <c r="KJF20" s="557"/>
      <c r="KJG20" s="557"/>
      <c r="KJH20" s="557"/>
      <c r="KJI20" s="557"/>
      <c r="KJJ20" s="557"/>
      <c r="KJK20" s="557"/>
      <c r="KJL20" s="557"/>
      <c r="KJM20" s="557"/>
      <c r="KJN20" s="557"/>
      <c r="KJO20" s="557"/>
      <c r="KJP20" s="557"/>
      <c r="KJQ20" s="557"/>
      <c r="KJR20" s="557"/>
      <c r="KJS20" s="557"/>
      <c r="KJT20" s="557"/>
      <c r="KJU20" s="557"/>
      <c r="KJV20" s="557"/>
      <c r="KJW20" s="661"/>
      <c r="KJX20" s="556"/>
      <c r="KJY20" s="557"/>
      <c r="KJZ20" s="557"/>
      <c r="KKA20" s="557"/>
      <c r="KKB20" s="557"/>
      <c r="KKC20" s="557"/>
      <c r="KKD20" s="557"/>
      <c r="KKE20" s="557"/>
      <c r="KKF20" s="557"/>
      <c r="KKG20" s="557"/>
      <c r="KKH20" s="557"/>
      <c r="KKI20" s="557"/>
      <c r="KKJ20" s="557"/>
      <c r="KKK20" s="557"/>
      <c r="KKL20" s="557"/>
      <c r="KKM20" s="557"/>
      <c r="KKN20" s="557"/>
      <c r="KKO20" s="557"/>
      <c r="KKP20" s="557"/>
      <c r="KKQ20" s="661"/>
      <c r="KKR20" s="556"/>
      <c r="KKS20" s="557"/>
      <c r="KKT20" s="557"/>
      <c r="KKU20" s="557"/>
      <c r="KKV20" s="557"/>
      <c r="KKW20" s="557"/>
      <c r="KKX20" s="557"/>
      <c r="KKY20" s="557"/>
      <c r="KKZ20" s="557"/>
      <c r="KLA20" s="557"/>
      <c r="KLB20" s="557"/>
      <c r="KLC20" s="557"/>
      <c r="KLD20" s="557"/>
      <c r="KLE20" s="557"/>
      <c r="KLF20" s="557"/>
      <c r="KLG20" s="557"/>
      <c r="KLH20" s="557"/>
      <c r="KLI20" s="557"/>
      <c r="KLJ20" s="557"/>
      <c r="KLK20" s="661"/>
      <c r="KLL20" s="556"/>
      <c r="KLM20" s="557"/>
      <c r="KLN20" s="557"/>
      <c r="KLO20" s="557"/>
      <c r="KLP20" s="557"/>
      <c r="KLQ20" s="557"/>
      <c r="KLR20" s="557"/>
      <c r="KLS20" s="557"/>
      <c r="KLT20" s="557"/>
      <c r="KLU20" s="557"/>
      <c r="KLV20" s="557"/>
      <c r="KLW20" s="557"/>
      <c r="KLX20" s="557"/>
      <c r="KLY20" s="557"/>
      <c r="KLZ20" s="557"/>
      <c r="KMA20" s="557"/>
      <c r="KMB20" s="557"/>
      <c r="KMC20" s="557"/>
      <c r="KMD20" s="557"/>
      <c r="KME20" s="661"/>
      <c r="KMF20" s="556"/>
      <c r="KMG20" s="557"/>
      <c r="KMH20" s="557"/>
      <c r="KMI20" s="557"/>
      <c r="KMJ20" s="557"/>
      <c r="KMK20" s="557"/>
      <c r="KML20" s="557"/>
      <c r="KMM20" s="557"/>
      <c r="KMN20" s="557"/>
      <c r="KMO20" s="557"/>
      <c r="KMP20" s="557"/>
      <c r="KMQ20" s="557"/>
      <c r="KMR20" s="557"/>
      <c r="KMS20" s="557"/>
      <c r="KMT20" s="557"/>
      <c r="KMU20" s="557"/>
      <c r="KMV20" s="557"/>
      <c r="KMW20" s="557"/>
      <c r="KMX20" s="557"/>
      <c r="KMY20" s="661"/>
      <c r="KMZ20" s="556"/>
      <c r="KNA20" s="557"/>
      <c r="KNB20" s="557"/>
      <c r="KNC20" s="557"/>
      <c r="KND20" s="557"/>
      <c r="KNE20" s="557"/>
      <c r="KNF20" s="557"/>
      <c r="KNG20" s="557"/>
      <c r="KNH20" s="557"/>
      <c r="KNI20" s="557"/>
      <c r="KNJ20" s="557"/>
      <c r="KNK20" s="557"/>
      <c r="KNL20" s="557"/>
      <c r="KNM20" s="557"/>
      <c r="KNN20" s="557"/>
      <c r="KNO20" s="557"/>
      <c r="KNP20" s="557"/>
      <c r="KNQ20" s="557"/>
      <c r="KNR20" s="557"/>
      <c r="KNS20" s="661"/>
      <c r="KNT20" s="556"/>
      <c r="KNU20" s="557"/>
      <c r="KNV20" s="557"/>
      <c r="KNW20" s="557"/>
      <c r="KNX20" s="557"/>
      <c r="KNY20" s="557"/>
      <c r="KNZ20" s="557"/>
      <c r="KOA20" s="557"/>
      <c r="KOB20" s="557"/>
      <c r="KOC20" s="557"/>
      <c r="KOD20" s="557"/>
      <c r="KOE20" s="557"/>
      <c r="KOF20" s="557"/>
      <c r="KOG20" s="557"/>
      <c r="KOH20" s="557"/>
      <c r="KOI20" s="557"/>
      <c r="KOJ20" s="557"/>
      <c r="KOK20" s="557"/>
      <c r="KOL20" s="557"/>
      <c r="KOM20" s="661"/>
      <c r="KON20" s="556"/>
      <c r="KOO20" s="557"/>
      <c r="KOP20" s="557"/>
      <c r="KOQ20" s="557"/>
      <c r="KOR20" s="557"/>
      <c r="KOS20" s="557"/>
      <c r="KOT20" s="557"/>
      <c r="KOU20" s="557"/>
      <c r="KOV20" s="557"/>
      <c r="KOW20" s="557"/>
      <c r="KOX20" s="557"/>
      <c r="KOY20" s="557"/>
      <c r="KOZ20" s="557"/>
      <c r="KPA20" s="557"/>
      <c r="KPB20" s="557"/>
      <c r="KPC20" s="557"/>
      <c r="KPD20" s="557"/>
      <c r="KPE20" s="557"/>
      <c r="KPF20" s="557"/>
      <c r="KPG20" s="661"/>
      <c r="KPH20" s="556"/>
      <c r="KPI20" s="557"/>
      <c r="KPJ20" s="557"/>
      <c r="KPK20" s="557"/>
      <c r="KPL20" s="557"/>
      <c r="KPM20" s="557"/>
      <c r="KPN20" s="557"/>
      <c r="KPO20" s="557"/>
      <c r="KPP20" s="557"/>
      <c r="KPQ20" s="557"/>
      <c r="KPR20" s="557"/>
      <c r="KPS20" s="557"/>
      <c r="KPT20" s="557"/>
      <c r="KPU20" s="557"/>
      <c r="KPV20" s="557"/>
      <c r="KPW20" s="557"/>
      <c r="KPX20" s="557"/>
      <c r="KPY20" s="557"/>
      <c r="KPZ20" s="557"/>
      <c r="KQA20" s="661"/>
      <c r="KQB20" s="556"/>
      <c r="KQC20" s="557"/>
      <c r="KQD20" s="557"/>
      <c r="KQE20" s="557"/>
      <c r="KQF20" s="557"/>
      <c r="KQG20" s="557"/>
      <c r="KQH20" s="557"/>
      <c r="KQI20" s="557"/>
      <c r="KQJ20" s="557"/>
      <c r="KQK20" s="557"/>
      <c r="KQL20" s="557"/>
      <c r="KQM20" s="557"/>
      <c r="KQN20" s="557"/>
      <c r="KQO20" s="557"/>
      <c r="KQP20" s="557"/>
      <c r="KQQ20" s="557"/>
      <c r="KQR20" s="557"/>
      <c r="KQS20" s="557"/>
      <c r="KQT20" s="557"/>
      <c r="KQU20" s="661"/>
      <c r="KQV20" s="556"/>
      <c r="KQW20" s="557"/>
      <c r="KQX20" s="557"/>
      <c r="KQY20" s="557"/>
      <c r="KQZ20" s="557"/>
      <c r="KRA20" s="557"/>
      <c r="KRB20" s="557"/>
      <c r="KRC20" s="557"/>
      <c r="KRD20" s="557"/>
      <c r="KRE20" s="557"/>
      <c r="KRF20" s="557"/>
      <c r="KRG20" s="557"/>
      <c r="KRH20" s="557"/>
      <c r="KRI20" s="557"/>
      <c r="KRJ20" s="557"/>
      <c r="KRK20" s="557"/>
      <c r="KRL20" s="557"/>
      <c r="KRM20" s="557"/>
      <c r="KRN20" s="557"/>
      <c r="KRO20" s="661"/>
      <c r="KRP20" s="556"/>
      <c r="KRQ20" s="557"/>
      <c r="KRR20" s="557"/>
      <c r="KRS20" s="557"/>
      <c r="KRT20" s="557"/>
      <c r="KRU20" s="557"/>
      <c r="KRV20" s="557"/>
      <c r="KRW20" s="557"/>
      <c r="KRX20" s="557"/>
      <c r="KRY20" s="557"/>
      <c r="KRZ20" s="557"/>
      <c r="KSA20" s="557"/>
      <c r="KSB20" s="557"/>
      <c r="KSC20" s="557"/>
      <c r="KSD20" s="557"/>
      <c r="KSE20" s="557"/>
      <c r="KSF20" s="557"/>
      <c r="KSG20" s="557"/>
      <c r="KSH20" s="557"/>
      <c r="KSI20" s="661"/>
      <c r="KSJ20" s="556"/>
      <c r="KSK20" s="557"/>
      <c r="KSL20" s="557"/>
      <c r="KSM20" s="557"/>
      <c r="KSN20" s="557"/>
      <c r="KSO20" s="557"/>
      <c r="KSP20" s="557"/>
      <c r="KSQ20" s="557"/>
      <c r="KSR20" s="557"/>
      <c r="KSS20" s="557"/>
      <c r="KST20" s="557"/>
      <c r="KSU20" s="557"/>
      <c r="KSV20" s="557"/>
      <c r="KSW20" s="557"/>
      <c r="KSX20" s="557"/>
      <c r="KSY20" s="557"/>
      <c r="KSZ20" s="557"/>
      <c r="KTA20" s="557"/>
      <c r="KTB20" s="557"/>
      <c r="KTC20" s="661"/>
      <c r="KTD20" s="556"/>
      <c r="KTE20" s="557"/>
      <c r="KTF20" s="557"/>
      <c r="KTG20" s="557"/>
      <c r="KTH20" s="557"/>
      <c r="KTI20" s="557"/>
      <c r="KTJ20" s="557"/>
      <c r="KTK20" s="557"/>
      <c r="KTL20" s="557"/>
      <c r="KTM20" s="557"/>
      <c r="KTN20" s="557"/>
      <c r="KTO20" s="557"/>
      <c r="KTP20" s="557"/>
      <c r="KTQ20" s="557"/>
      <c r="KTR20" s="557"/>
      <c r="KTS20" s="557"/>
      <c r="KTT20" s="557"/>
      <c r="KTU20" s="557"/>
      <c r="KTV20" s="557"/>
      <c r="KTW20" s="661"/>
      <c r="KTX20" s="556"/>
      <c r="KTY20" s="557"/>
      <c r="KTZ20" s="557"/>
      <c r="KUA20" s="557"/>
      <c r="KUB20" s="557"/>
      <c r="KUC20" s="557"/>
      <c r="KUD20" s="557"/>
      <c r="KUE20" s="557"/>
      <c r="KUF20" s="557"/>
      <c r="KUG20" s="557"/>
      <c r="KUH20" s="557"/>
      <c r="KUI20" s="557"/>
      <c r="KUJ20" s="557"/>
      <c r="KUK20" s="557"/>
      <c r="KUL20" s="557"/>
      <c r="KUM20" s="557"/>
      <c r="KUN20" s="557"/>
      <c r="KUO20" s="557"/>
      <c r="KUP20" s="557"/>
      <c r="KUQ20" s="661"/>
      <c r="KUR20" s="556"/>
      <c r="KUS20" s="557"/>
      <c r="KUT20" s="557"/>
      <c r="KUU20" s="557"/>
      <c r="KUV20" s="557"/>
      <c r="KUW20" s="557"/>
      <c r="KUX20" s="557"/>
      <c r="KUY20" s="557"/>
      <c r="KUZ20" s="557"/>
      <c r="KVA20" s="557"/>
      <c r="KVB20" s="557"/>
      <c r="KVC20" s="557"/>
      <c r="KVD20" s="557"/>
      <c r="KVE20" s="557"/>
      <c r="KVF20" s="557"/>
      <c r="KVG20" s="557"/>
      <c r="KVH20" s="557"/>
      <c r="KVI20" s="557"/>
      <c r="KVJ20" s="557"/>
      <c r="KVK20" s="661"/>
      <c r="KVL20" s="556"/>
      <c r="KVM20" s="557"/>
      <c r="KVN20" s="557"/>
      <c r="KVO20" s="557"/>
      <c r="KVP20" s="557"/>
      <c r="KVQ20" s="557"/>
      <c r="KVR20" s="557"/>
      <c r="KVS20" s="557"/>
      <c r="KVT20" s="557"/>
      <c r="KVU20" s="557"/>
      <c r="KVV20" s="557"/>
      <c r="KVW20" s="557"/>
      <c r="KVX20" s="557"/>
      <c r="KVY20" s="557"/>
      <c r="KVZ20" s="557"/>
      <c r="KWA20" s="557"/>
      <c r="KWB20" s="557"/>
      <c r="KWC20" s="557"/>
      <c r="KWD20" s="557"/>
      <c r="KWE20" s="661"/>
      <c r="KWF20" s="556"/>
      <c r="KWG20" s="557"/>
      <c r="KWH20" s="557"/>
      <c r="KWI20" s="557"/>
      <c r="KWJ20" s="557"/>
      <c r="KWK20" s="557"/>
      <c r="KWL20" s="557"/>
      <c r="KWM20" s="557"/>
      <c r="KWN20" s="557"/>
      <c r="KWO20" s="557"/>
      <c r="KWP20" s="557"/>
      <c r="KWQ20" s="557"/>
      <c r="KWR20" s="557"/>
      <c r="KWS20" s="557"/>
      <c r="KWT20" s="557"/>
      <c r="KWU20" s="557"/>
      <c r="KWV20" s="557"/>
      <c r="KWW20" s="557"/>
      <c r="KWX20" s="557"/>
      <c r="KWY20" s="661"/>
      <c r="KWZ20" s="556"/>
      <c r="KXA20" s="557"/>
      <c r="KXB20" s="557"/>
      <c r="KXC20" s="557"/>
      <c r="KXD20" s="557"/>
      <c r="KXE20" s="557"/>
      <c r="KXF20" s="557"/>
      <c r="KXG20" s="557"/>
      <c r="KXH20" s="557"/>
      <c r="KXI20" s="557"/>
      <c r="KXJ20" s="557"/>
      <c r="KXK20" s="557"/>
      <c r="KXL20" s="557"/>
      <c r="KXM20" s="557"/>
      <c r="KXN20" s="557"/>
      <c r="KXO20" s="557"/>
      <c r="KXP20" s="557"/>
      <c r="KXQ20" s="557"/>
      <c r="KXR20" s="557"/>
      <c r="KXS20" s="661"/>
      <c r="KXT20" s="556"/>
      <c r="KXU20" s="557"/>
      <c r="KXV20" s="557"/>
      <c r="KXW20" s="557"/>
      <c r="KXX20" s="557"/>
      <c r="KXY20" s="557"/>
      <c r="KXZ20" s="557"/>
      <c r="KYA20" s="557"/>
      <c r="KYB20" s="557"/>
      <c r="KYC20" s="557"/>
      <c r="KYD20" s="557"/>
      <c r="KYE20" s="557"/>
      <c r="KYF20" s="557"/>
      <c r="KYG20" s="557"/>
      <c r="KYH20" s="557"/>
      <c r="KYI20" s="557"/>
      <c r="KYJ20" s="557"/>
      <c r="KYK20" s="557"/>
      <c r="KYL20" s="557"/>
      <c r="KYM20" s="661"/>
      <c r="KYN20" s="556"/>
      <c r="KYO20" s="557"/>
      <c r="KYP20" s="557"/>
      <c r="KYQ20" s="557"/>
      <c r="KYR20" s="557"/>
      <c r="KYS20" s="557"/>
      <c r="KYT20" s="557"/>
      <c r="KYU20" s="557"/>
      <c r="KYV20" s="557"/>
      <c r="KYW20" s="557"/>
      <c r="KYX20" s="557"/>
      <c r="KYY20" s="557"/>
      <c r="KYZ20" s="557"/>
      <c r="KZA20" s="557"/>
      <c r="KZB20" s="557"/>
      <c r="KZC20" s="557"/>
      <c r="KZD20" s="557"/>
      <c r="KZE20" s="557"/>
      <c r="KZF20" s="557"/>
      <c r="KZG20" s="661"/>
      <c r="KZH20" s="556"/>
      <c r="KZI20" s="557"/>
      <c r="KZJ20" s="557"/>
      <c r="KZK20" s="557"/>
      <c r="KZL20" s="557"/>
      <c r="KZM20" s="557"/>
      <c r="KZN20" s="557"/>
      <c r="KZO20" s="557"/>
      <c r="KZP20" s="557"/>
      <c r="KZQ20" s="557"/>
      <c r="KZR20" s="557"/>
      <c r="KZS20" s="557"/>
      <c r="KZT20" s="557"/>
      <c r="KZU20" s="557"/>
      <c r="KZV20" s="557"/>
      <c r="KZW20" s="557"/>
      <c r="KZX20" s="557"/>
      <c r="KZY20" s="557"/>
      <c r="KZZ20" s="557"/>
      <c r="LAA20" s="661"/>
      <c r="LAB20" s="556"/>
      <c r="LAC20" s="557"/>
      <c r="LAD20" s="557"/>
      <c r="LAE20" s="557"/>
      <c r="LAF20" s="557"/>
      <c r="LAG20" s="557"/>
      <c r="LAH20" s="557"/>
      <c r="LAI20" s="557"/>
      <c r="LAJ20" s="557"/>
      <c r="LAK20" s="557"/>
      <c r="LAL20" s="557"/>
      <c r="LAM20" s="557"/>
      <c r="LAN20" s="557"/>
      <c r="LAO20" s="557"/>
      <c r="LAP20" s="557"/>
      <c r="LAQ20" s="557"/>
      <c r="LAR20" s="557"/>
      <c r="LAS20" s="557"/>
      <c r="LAT20" s="557"/>
      <c r="LAU20" s="661"/>
      <c r="LAV20" s="556"/>
      <c r="LAW20" s="557"/>
      <c r="LAX20" s="557"/>
      <c r="LAY20" s="557"/>
      <c r="LAZ20" s="557"/>
      <c r="LBA20" s="557"/>
      <c r="LBB20" s="557"/>
      <c r="LBC20" s="557"/>
      <c r="LBD20" s="557"/>
      <c r="LBE20" s="557"/>
      <c r="LBF20" s="557"/>
      <c r="LBG20" s="557"/>
      <c r="LBH20" s="557"/>
      <c r="LBI20" s="557"/>
      <c r="LBJ20" s="557"/>
      <c r="LBK20" s="557"/>
      <c r="LBL20" s="557"/>
      <c r="LBM20" s="557"/>
      <c r="LBN20" s="557"/>
      <c r="LBO20" s="661"/>
      <c r="LBP20" s="556"/>
      <c r="LBQ20" s="557"/>
      <c r="LBR20" s="557"/>
      <c r="LBS20" s="557"/>
      <c r="LBT20" s="557"/>
      <c r="LBU20" s="557"/>
      <c r="LBV20" s="557"/>
      <c r="LBW20" s="557"/>
      <c r="LBX20" s="557"/>
      <c r="LBY20" s="557"/>
      <c r="LBZ20" s="557"/>
      <c r="LCA20" s="557"/>
      <c r="LCB20" s="557"/>
      <c r="LCC20" s="557"/>
      <c r="LCD20" s="557"/>
      <c r="LCE20" s="557"/>
      <c r="LCF20" s="557"/>
      <c r="LCG20" s="557"/>
      <c r="LCH20" s="557"/>
      <c r="LCI20" s="661"/>
      <c r="LCJ20" s="556"/>
      <c r="LCK20" s="557"/>
      <c r="LCL20" s="557"/>
      <c r="LCM20" s="557"/>
      <c r="LCN20" s="557"/>
      <c r="LCO20" s="557"/>
      <c r="LCP20" s="557"/>
      <c r="LCQ20" s="557"/>
      <c r="LCR20" s="557"/>
      <c r="LCS20" s="557"/>
      <c r="LCT20" s="557"/>
      <c r="LCU20" s="557"/>
      <c r="LCV20" s="557"/>
      <c r="LCW20" s="557"/>
      <c r="LCX20" s="557"/>
      <c r="LCY20" s="557"/>
      <c r="LCZ20" s="557"/>
      <c r="LDA20" s="557"/>
      <c r="LDB20" s="557"/>
      <c r="LDC20" s="661"/>
      <c r="LDD20" s="556"/>
      <c r="LDE20" s="557"/>
      <c r="LDF20" s="557"/>
      <c r="LDG20" s="557"/>
      <c r="LDH20" s="557"/>
      <c r="LDI20" s="557"/>
      <c r="LDJ20" s="557"/>
      <c r="LDK20" s="557"/>
      <c r="LDL20" s="557"/>
      <c r="LDM20" s="557"/>
      <c r="LDN20" s="557"/>
      <c r="LDO20" s="557"/>
      <c r="LDP20" s="557"/>
      <c r="LDQ20" s="557"/>
      <c r="LDR20" s="557"/>
      <c r="LDS20" s="557"/>
      <c r="LDT20" s="557"/>
      <c r="LDU20" s="557"/>
      <c r="LDV20" s="557"/>
      <c r="LDW20" s="661"/>
      <c r="LDX20" s="556"/>
      <c r="LDY20" s="557"/>
      <c r="LDZ20" s="557"/>
      <c r="LEA20" s="557"/>
      <c r="LEB20" s="557"/>
      <c r="LEC20" s="557"/>
      <c r="LED20" s="557"/>
      <c r="LEE20" s="557"/>
      <c r="LEF20" s="557"/>
      <c r="LEG20" s="557"/>
      <c r="LEH20" s="557"/>
      <c r="LEI20" s="557"/>
      <c r="LEJ20" s="557"/>
      <c r="LEK20" s="557"/>
      <c r="LEL20" s="557"/>
      <c r="LEM20" s="557"/>
      <c r="LEN20" s="557"/>
      <c r="LEO20" s="557"/>
      <c r="LEP20" s="557"/>
      <c r="LEQ20" s="661"/>
      <c r="LER20" s="556"/>
      <c r="LES20" s="557"/>
      <c r="LET20" s="557"/>
      <c r="LEU20" s="557"/>
      <c r="LEV20" s="557"/>
      <c r="LEW20" s="557"/>
      <c r="LEX20" s="557"/>
      <c r="LEY20" s="557"/>
      <c r="LEZ20" s="557"/>
      <c r="LFA20" s="557"/>
      <c r="LFB20" s="557"/>
      <c r="LFC20" s="557"/>
      <c r="LFD20" s="557"/>
      <c r="LFE20" s="557"/>
      <c r="LFF20" s="557"/>
      <c r="LFG20" s="557"/>
      <c r="LFH20" s="557"/>
      <c r="LFI20" s="557"/>
      <c r="LFJ20" s="557"/>
      <c r="LFK20" s="661"/>
      <c r="LFL20" s="556"/>
      <c r="LFM20" s="557"/>
      <c r="LFN20" s="557"/>
      <c r="LFO20" s="557"/>
      <c r="LFP20" s="557"/>
      <c r="LFQ20" s="557"/>
      <c r="LFR20" s="557"/>
      <c r="LFS20" s="557"/>
      <c r="LFT20" s="557"/>
      <c r="LFU20" s="557"/>
      <c r="LFV20" s="557"/>
      <c r="LFW20" s="557"/>
      <c r="LFX20" s="557"/>
      <c r="LFY20" s="557"/>
      <c r="LFZ20" s="557"/>
      <c r="LGA20" s="557"/>
      <c r="LGB20" s="557"/>
      <c r="LGC20" s="557"/>
      <c r="LGD20" s="557"/>
      <c r="LGE20" s="661"/>
      <c r="LGF20" s="556"/>
      <c r="LGG20" s="557"/>
      <c r="LGH20" s="557"/>
      <c r="LGI20" s="557"/>
      <c r="LGJ20" s="557"/>
      <c r="LGK20" s="557"/>
      <c r="LGL20" s="557"/>
      <c r="LGM20" s="557"/>
      <c r="LGN20" s="557"/>
      <c r="LGO20" s="557"/>
      <c r="LGP20" s="557"/>
      <c r="LGQ20" s="557"/>
      <c r="LGR20" s="557"/>
      <c r="LGS20" s="557"/>
      <c r="LGT20" s="557"/>
      <c r="LGU20" s="557"/>
      <c r="LGV20" s="557"/>
      <c r="LGW20" s="557"/>
      <c r="LGX20" s="557"/>
      <c r="LGY20" s="661"/>
      <c r="LGZ20" s="556"/>
      <c r="LHA20" s="557"/>
      <c r="LHB20" s="557"/>
      <c r="LHC20" s="557"/>
      <c r="LHD20" s="557"/>
      <c r="LHE20" s="557"/>
      <c r="LHF20" s="557"/>
      <c r="LHG20" s="557"/>
      <c r="LHH20" s="557"/>
      <c r="LHI20" s="557"/>
      <c r="LHJ20" s="557"/>
      <c r="LHK20" s="557"/>
      <c r="LHL20" s="557"/>
      <c r="LHM20" s="557"/>
      <c r="LHN20" s="557"/>
      <c r="LHO20" s="557"/>
      <c r="LHP20" s="557"/>
      <c r="LHQ20" s="557"/>
      <c r="LHR20" s="557"/>
      <c r="LHS20" s="661"/>
      <c r="LHT20" s="556"/>
      <c r="LHU20" s="557"/>
      <c r="LHV20" s="557"/>
      <c r="LHW20" s="557"/>
      <c r="LHX20" s="557"/>
      <c r="LHY20" s="557"/>
      <c r="LHZ20" s="557"/>
      <c r="LIA20" s="557"/>
      <c r="LIB20" s="557"/>
      <c r="LIC20" s="557"/>
      <c r="LID20" s="557"/>
      <c r="LIE20" s="557"/>
      <c r="LIF20" s="557"/>
      <c r="LIG20" s="557"/>
      <c r="LIH20" s="557"/>
      <c r="LII20" s="557"/>
      <c r="LIJ20" s="557"/>
      <c r="LIK20" s="557"/>
      <c r="LIL20" s="557"/>
      <c r="LIM20" s="661"/>
      <c r="LIN20" s="556"/>
      <c r="LIO20" s="557"/>
      <c r="LIP20" s="557"/>
      <c r="LIQ20" s="557"/>
      <c r="LIR20" s="557"/>
      <c r="LIS20" s="557"/>
      <c r="LIT20" s="557"/>
      <c r="LIU20" s="557"/>
      <c r="LIV20" s="557"/>
      <c r="LIW20" s="557"/>
      <c r="LIX20" s="557"/>
      <c r="LIY20" s="557"/>
      <c r="LIZ20" s="557"/>
      <c r="LJA20" s="557"/>
      <c r="LJB20" s="557"/>
      <c r="LJC20" s="557"/>
      <c r="LJD20" s="557"/>
      <c r="LJE20" s="557"/>
      <c r="LJF20" s="557"/>
      <c r="LJG20" s="661"/>
      <c r="LJH20" s="556"/>
      <c r="LJI20" s="557"/>
      <c r="LJJ20" s="557"/>
      <c r="LJK20" s="557"/>
      <c r="LJL20" s="557"/>
      <c r="LJM20" s="557"/>
      <c r="LJN20" s="557"/>
      <c r="LJO20" s="557"/>
      <c r="LJP20" s="557"/>
      <c r="LJQ20" s="557"/>
      <c r="LJR20" s="557"/>
      <c r="LJS20" s="557"/>
      <c r="LJT20" s="557"/>
      <c r="LJU20" s="557"/>
      <c r="LJV20" s="557"/>
      <c r="LJW20" s="557"/>
      <c r="LJX20" s="557"/>
      <c r="LJY20" s="557"/>
      <c r="LJZ20" s="557"/>
      <c r="LKA20" s="661"/>
      <c r="LKB20" s="556"/>
      <c r="LKC20" s="557"/>
      <c r="LKD20" s="557"/>
      <c r="LKE20" s="557"/>
      <c r="LKF20" s="557"/>
      <c r="LKG20" s="557"/>
      <c r="LKH20" s="557"/>
      <c r="LKI20" s="557"/>
      <c r="LKJ20" s="557"/>
      <c r="LKK20" s="557"/>
      <c r="LKL20" s="557"/>
      <c r="LKM20" s="557"/>
      <c r="LKN20" s="557"/>
      <c r="LKO20" s="557"/>
      <c r="LKP20" s="557"/>
      <c r="LKQ20" s="557"/>
      <c r="LKR20" s="557"/>
      <c r="LKS20" s="557"/>
      <c r="LKT20" s="557"/>
      <c r="LKU20" s="661"/>
      <c r="LKV20" s="556"/>
      <c r="LKW20" s="557"/>
      <c r="LKX20" s="557"/>
      <c r="LKY20" s="557"/>
      <c r="LKZ20" s="557"/>
      <c r="LLA20" s="557"/>
      <c r="LLB20" s="557"/>
      <c r="LLC20" s="557"/>
      <c r="LLD20" s="557"/>
      <c r="LLE20" s="557"/>
      <c r="LLF20" s="557"/>
      <c r="LLG20" s="557"/>
      <c r="LLH20" s="557"/>
      <c r="LLI20" s="557"/>
      <c r="LLJ20" s="557"/>
      <c r="LLK20" s="557"/>
      <c r="LLL20" s="557"/>
      <c r="LLM20" s="557"/>
      <c r="LLN20" s="557"/>
      <c r="LLO20" s="661"/>
      <c r="LLP20" s="556"/>
      <c r="LLQ20" s="557"/>
      <c r="LLR20" s="557"/>
      <c r="LLS20" s="557"/>
      <c r="LLT20" s="557"/>
      <c r="LLU20" s="557"/>
      <c r="LLV20" s="557"/>
      <c r="LLW20" s="557"/>
      <c r="LLX20" s="557"/>
      <c r="LLY20" s="557"/>
      <c r="LLZ20" s="557"/>
      <c r="LMA20" s="557"/>
      <c r="LMB20" s="557"/>
      <c r="LMC20" s="557"/>
      <c r="LMD20" s="557"/>
      <c r="LME20" s="557"/>
      <c r="LMF20" s="557"/>
      <c r="LMG20" s="557"/>
      <c r="LMH20" s="557"/>
      <c r="LMI20" s="661"/>
      <c r="LMJ20" s="556"/>
      <c r="LMK20" s="557"/>
      <c r="LML20" s="557"/>
      <c r="LMM20" s="557"/>
      <c r="LMN20" s="557"/>
      <c r="LMO20" s="557"/>
      <c r="LMP20" s="557"/>
      <c r="LMQ20" s="557"/>
      <c r="LMR20" s="557"/>
      <c r="LMS20" s="557"/>
      <c r="LMT20" s="557"/>
      <c r="LMU20" s="557"/>
      <c r="LMV20" s="557"/>
      <c r="LMW20" s="557"/>
      <c r="LMX20" s="557"/>
      <c r="LMY20" s="557"/>
      <c r="LMZ20" s="557"/>
      <c r="LNA20" s="557"/>
      <c r="LNB20" s="557"/>
      <c r="LNC20" s="661"/>
      <c r="LND20" s="556"/>
      <c r="LNE20" s="557"/>
      <c r="LNF20" s="557"/>
      <c r="LNG20" s="557"/>
      <c r="LNH20" s="557"/>
      <c r="LNI20" s="557"/>
      <c r="LNJ20" s="557"/>
      <c r="LNK20" s="557"/>
      <c r="LNL20" s="557"/>
      <c r="LNM20" s="557"/>
      <c r="LNN20" s="557"/>
      <c r="LNO20" s="557"/>
      <c r="LNP20" s="557"/>
      <c r="LNQ20" s="557"/>
      <c r="LNR20" s="557"/>
      <c r="LNS20" s="557"/>
      <c r="LNT20" s="557"/>
      <c r="LNU20" s="557"/>
      <c r="LNV20" s="557"/>
      <c r="LNW20" s="661"/>
      <c r="LNX20" s="556"/>
      <c r="LNY20" s="557"/>
      <c r="LNZ20" s="557"/>
      <c r="LOA20" s="557"/>
      <c r="LOB20" s="557"/>
      <c r="LOC20" s="557"/>
      <c r="LOD20" s="557"/>
      <c r="LOE20" s="557"/>
      <c r="LOF20" s="557"/>
      <c r="LOG20" s="557"/>
      <c r="LOH20" s="557"/>
      <c r="LOI20" s="557"/>
      <c r="LOJ20" s="557"/>
      <c r="LOK20" s="557"/>
      <c r="LOL20" s="557"/>
      <c r="LOM20" s="557"/>
      <c r="LON20" s="557"/>
      <c r="LOO20" s="557"/>
      <c r="LOP20" s="557"/>
      <c r="LOQ20" s="661"/>
      <c r="LOR20" s="556"/>
      <c r="LOS20" s="557"/>
      <c r="LOT20" s="557"/>
      <c r="LOU20" s="557"/>
      <c r="LOV20" s="557"/>
      <c r="LOW20" s="557"/>
      <c r="LOX20" s="557"/>
      <c r="LOY20" s="557"/>
      <c r="LOZ20" s="557"/>
      <c r="LPA20" s="557"/>
      <c r="LPB20" s="557"/>
      <c r="LPC20" s="557"/>
      <c r="LPD20" s="557"/>
      <c r="LPE20" s="557"/>
      <c r="LPF20" s="557"/>
      <c r="LPG20" s="557"/>
      <c r="LPH20" s="557"/>
      <c r="LPI20" s="557"/>
      <c r="LPJ20" s="557"/>
      <c r="LPK20" s="661"/>
      <c r="LPL20" s="556"/>
      <c r="LPM20" s="557"/>
      <c r="LPN20" s="557"/>
      <c r="LPO20" s="557"/>
      <c r="LPP20" s="557"/>
      <c r="LPQ20" s="557"/>
      <c r="LPR20" s="557"/>
      <c r="LPS20" s="557"/>
      <c r="LPT20" s="557"/>
      <c r="LPU20" s="557"/>
      <c r="LPV20" s="557"/>
      <c r="LPW20" s="557"/>
      <c r="LPX20" s="557"/>
      <c r="LPY20" s="557"/>
      <c r="LPZ20" s="557"/>
      <c r="LQA20" s="557"/>
      <c r="LQB20" s="557"/>
      <c r="LQC20" s="557"/>
      <c r="LQD20" s="557"/>
      <c r="LQE20" s="661"/>
      <c r="LQF20" s="556"/>
      <c r="LQG20" s="557"/>
      <c r="LQH20" s="557"/>
      <c r="LQI20" s="557"/>
      <c r="LQJ20" s="557"/>
      <c r="LQK20" s="557"/>
      <c r="LQL20" s="557"/>
      <c r="LQM20" s="557"/>
      <c r="LQN20" s="557"/>
      <c r="LQO20" s="557"/>
      <c r="LQP20" s="557"/>
      <c r="LQQ20" s="557"/>
      <c r="LQR20" s="557"/>
      <c r="LQS20" s="557"/>
      <c r="LQT20" s="557"/>
      <c r="LQU20" s="557"/>
      <c r="LQV20" s="557"/>
      <c r="LQW20" s="557"/>
      <c r="LQX20" s="557"/>
      <c r="LQY20" s="661"/>
      <c r="LQZ20" s="556"/>
      <c r="LRA20" s="557"/>
      <c r="LRB20" s="557"/>
      <c r="LRC20" s="557"/>
      <c r="LRD20" s="557"/>
      <c r="LRE20" s="557"/>
      <c r="LRF20" s="557"/>
      <c r="LRG20" s="557"/>
      <c r="LRH20" s="557"/>
      <c r="LRI20" s="557"/>
      <c r="LRJ20" s="557"/>
      <c r="LRK20" s="557"/>
      <c r="LRL20" s="557"/>
      <c r="LRM20" s="557"/>
      <c r="LRN20" s="557"/>
      <c r="LRO20" s="557"/>
      <c r="LRP20" s="557"/>
      <c r="LRQ20" s="557"/>
      <c r="LRR20" s="557"/>
      <c r="LRS20" s="661"/>
      <c r="LRT20" s="556"/>
      <c r="LRU20" s="557"/>
      <c r="LRV20" s="557"/>
      <c r="LRW20" s="557"/>
      <c r="LRX20" s="557"/>
      <c r="LRY20" s="557"/>
      <c r="LRZ20" s="557"/>
      <c r="LSA20" s="557"/>
      <c r="LSB20" s="557"/>
      <c r="LSC20" s="557"/>
      <c r="LSD20" s="557"/>
      <c r="LSE20" s="557"/>
      <c r="LSF20" s="557"/>
      <c r="LSG20" s="557"/>
      <c r="LSH20" s="557"/>
      <c r="LSI20" s="557"/>
      <c r="LSJ20" s="557"/>
      <c r="LSK20" s="557"/>
      <c r="LSL20" s="557"/>
      <c r="LSM20" s="661"/>
      <c r="LSN20" s="556"/>
      <c r="LSO20" s="557"/>
      <c r="LSP20" s="557"/>
      <c r="LSQ20" s="557"/>
      <c r="LSR20" s="557"/>
      <c r="LSS20" s="557"/>
      <c r="LST20" s="557"/>
      <c r="LSU20" s="557"/>
      <c r="LSV20" s="557"/>
      <c r="LSW20" s="557"/>
      <c r="LSX20" s="557"/>
      <c r="LSY20" s="557"/>
      <c r="LSZ20" s="557"/>
      <c r="LTA20" s="557"/>
      <c r="LTB20" s="557"/>
      <c r="LTC20" s="557"/>
      <c r="LTD20" s="557"/>
      <c r="LTE20" s="557"/>
      <c r="LTF20" s="557"/>
      <c r="LTG20" s="661"/>
      <c r="LTH20" s="556"/>
      <c r="LTI20" s="557"/>
      <c r="LTJ20" s="557"/>
      <c r="LTK20" s="557"/>
      <c r="LTL20" s="557"/>
      <c r="LTM20" s="557"/>
      <c r="LTN20" s="557"/>
      <c r="LTO20" s="557"/>
      <c r="LTP20" s="557"/>
      <c r="LTQ20" s="557"/>
      <c r="LTR20" s="557"/>
      <c r="LTS20" s="557"/>
      <c r="LTT20" s="557"/>
      <c r="LTU20" s="557"/>
      <c r="LTV20" s="557"/>
      <c r="LTW20" s="557"/>
      <c r="LTX20" s="557"/>
      <c r="LTY20" s="557"/>
      <c r="LTZ20" s="557"/>
      <c r="LUA20" s="661"/>
      <c r="LUB20" s="556"/>
      <c r="LUC20" s="557"/>
      <c r="LUD20" s="557"/>
      <c r="LUE20" s="557"/>
      <c r="LUF20" s="557"/>
      <c r="LUG20" s="557"/>
      <c r="LUH20" s="557"/>
      <c r="LUI20" s="557"/>
      <c r="LUJ20" s="557"/>
      <c r="LUK20" s="557"/>
      <c r="LUL20" s="557"/>
      <c r="LUM20" s="557"/>
      <c r="LUN20" s="557"/>
      <c r="LUO20" s="557"/>
      <c r="LUP20" s="557"/>
      <c r="LUQ20" s="557"/>
      <c r="LUR20" s="557"/>
      <c r="LUS20" s="557"/>
      <c r="LUT20" s="557"/>
      <c r="LUU20" s="661"/>
      <c r="LUV20" s="556"/>
      <c r="LUW20" s="557"/>
      <c r="LUX20" s="557"/>
      <c r="LUY20" s="557"/>
      <c r="LUZ20" s="557"/>
      <c r="LVA20" s="557"/>
      <c r="LVB20" s="557"/>
      <c r="LVC20" s="557"/>
      <c r="LVD20" s="557"/>
      <c r="LVE20" s="557"/>
      <c r="LVF20" s="557"/>
      <c r="LVG20" s="557"/>
      <c r="LVH20" s="557"/>
      <c r="LVI20" s="557"/>
      <c r="LVJ20" s="557"/>
      <c r="LVK20" s="557"/>
      <c r="LVL20" s="557"/>
      <c r="LVM20" s="557"/>
      <c r="LVN20" s="557"/>
      <c r="LVO20" s="661"/>
      <c r="LVP20" s="556"/>
      <c r="LVQ20" s="557"/>
      <c r="LVR20" s="557"/>
      <c r="LVS20" s="557"/>
      <c r="LVT20" s="557"/>
      <c r="LVU20" s="557"/>
      <c r="LVV20" s="557"/>
      <c r="LVW20" s="557"/>
      <c r="LVX20" s="557"/>
      <c r="LVY20" s="557"/>
      <c r="LVZ20" s="557"/>
      <c r="LWA20" s="557"/>
      <c r="LWB20" s="557"/>
      <c r="LWC20" s="557"/>
      <c r="LWD20" s="557"/>
      <c r="LWE20" s="557"/>
      <c r="LWF20" s="557"/>
      <c r="LWG20" s="557"/>
      <c r="LWH20" s="557"/>
      <c r="LWI20" s="661"/>
      <c r="LWJ20" s="556"/>
      <c r="LWK20" s="557"/>
      <c r="LWL20" s="557"/>
      <c r="LWM20" s="557"/>
      <c r="LWN20" s="557"/>
      <c r="LWO20" s="557"/>
      <c r="LWP20" s="557"/>
      <c r="LWQ20" s="557"/>
      <c r="LWR20" s="557"/>
      <c r="LWS20" s="557"/>
      <c r="LWT20" s="557"/>
      <c r="LWU20" s="557"/>
      <c r="LWV20" s="557"/>
      <c r="LWW20" s="557"/>
      <c r="LWX20" s="557"/>
      <c r="LWY20" s="557"/>
      <c r="LWZ20" s="557"/>
      <c r="LXA20" s="557"/>
      <c r="LXB20" s="557"/>
      <c r="LXC20" s="661"/>
      <c r="LXD20" s="556"/>
      <c r="LXE20" s="557"/>
      <c r="LXF20" s="557"/>
      <c r="LXG20" s="557"/>
      <c r="LXH20" s="557"/>
      <c r="LXI20" s="557"/>
      <c r="LXJ20" s="557"/>
      <c r="LXK20" s="557"/>
      <c r="LXL20" s="557"/>
      <c r="LXM20" s="557"/>
      <c r="LXN20" s="557"/>
      <c r="LXO20" s="557"/>
      <c r="LXP20" s="557"/>
      <c r="LXQ20" s="557"/>
      <c r="LXR20" s="557"/>
      <c r="LXS20" s="557"/>
      <c r="LXT20" s="557"/>
      <c r="LXU20" s="557"/>
      <c r="LXV20" s="557"/>
      <c r="LXW20" s="661"/>
      <c r="LXX20" s="556"/>
      <c r="LXY20" s="557"/>
      <c r="LXZ20" s="557"/>
      <c r="LYA20" s="557"/>
      <c r="LYB20" s="557"/>
      <c r="LYC20" s="557"/>
      <c r="LYD20" s="557"/>
      <c r="LYE20" s="557"/>
      <c r="LYF20" s="557"/>
      <c r="LYG20" s="557"/>
      <c r="LYH20" s="557"/>
      <c r="LYI20" s="557"/>
      <c r="LYJ20" s="557"/>
      <c r="LYK20" s="557"/>
      <c r="LYL20" s="557"/>
      <c r="LYM20" s="557"/>
      <c r="LYN20" s="557"/>
      <c r="LYO20" s="557"/>
      <c r="LYP20" s="557"/>
      <c r="LYQ20" s="661"/>
      <c r="LYR20" s="556"/>
      <c r="LYS20" s="557"/>
      <c r="LYT20" s="557"/>
      <c r="LYU20" s="557"/>
      <c r="LYV20" s="557"/>
      <c r="LYW20" s="557"/>
      <c r="LYX20" s="557"/>
      <c r="LYY20" s="557"/>
      <c r="LYZ20" s="557"/>
      <c r="LZA20" s="557"/>
      <c r="LZB20" s="557"/>
      <c r="LZC20" s="557"/>
      <c r="LZD20" s="557"/>
      <c r="LZE20" s="557"/>
      <c r="LZF20" s="557"/>
      <c r="LZG20" s="557"/>
      <c r="LZH20" s="557"/>
      <c r="LZI20" s="557"/>
      <c r="LZJ20" s="557"/>
      <c r="LZK20" s="661"/>
      <c r="LZL20" s="556"/>
      <c r="LZM20" s="557"/>
      <c r="LZN20" s="557"/>
      <c r="LZO20" s="557"/>
      <c r="LZP20" s="557"/>
      <c r="LZQ20" s="557"/>
      <c r="LZR20" s="557"/>
      <c r="LZS20" s="557"/>
      <c r="LZT20" s="557"/>
      <c r="LZU20" s="557"/>
      <c r="LZV20" s="557"/>
      <c r="LZW20" s="557"/>
      <c r="LZX20" s="557"/>
      <c r="LZY20" s="557"/>
      <c r="LZZ20" s="557"/>
      <c r="MAA20" s="557"/>
      <c r="MAB20" s="557"/>
      <c r="MAC20" s="557"/>
      <c r="MAD20" s="557"/>
      <c r="MAE20" s="661"/>
      <c r="MAF20" s="556"/>
      <c r="MAG20" s="557"/>
      <c r="MAH20" s="557"/>
      <c r="MAI20" s="557"/>
      <c r="MAJ20" s="557"/>
      <c r="MAK20" s="557"/>
      <c r="MAL20" s="557"/>
      <c r="MAM20" s="557"/>
      <c r="MAN20" s="557"/>
      <c r="MAO20" s="557"/>
      <c r="MAP20" s="557"/>
      <c r="MAQ20" s="557"/>
      <c r="MAR20" s="557"/>
      <c r="MAS20" s="557"/>
      <c r="MAT20" s="557"/>
      <c r="MAU20" s="557"/>
      <c r="MAV20" s="557"/>
      <c r="MAW20" s="557"/>
      <c r="MAX20" s="557"/>
      <c r="MAY20" s="661"/>
      <c r="MAZ20" s="556"/>
      <c r="MBA20" s="557"/>
      <c r="MBB20" s="557"/>
      <c r="MBC20" s="557"/>
      <c r="MBD20" s="557"/>
      <c r="MBE20" s="557"/>
      <c r="MBF20" s="557"/>
      <c r="MBG20" s="557"/>
      <c r="MBH20" s="557"/>
      <c r="MBI20" s="557"/>
      <c r="MBJ20" s="557"/>
      <c r="MBK20" s="557"/>
      <c r="MBL20" s="557"/>
      <c r="MBM20" s="557"/>
      <c r="MBN20" s="557"/>
      <c r="MBO20" s="557"/>
      <c r="MBP20" s="557"/>
      <c r="MBQ20" s="557"/>
      <c r="MBR20" s="557"/>
      <c r="MBS20" s="661"/>
      <c r="MBT20" s="556"/>
      <c r="MBU20" s="557"/>
      <c r="MBV20" s="557"/>
      <c r="MBW20" s="557"/>
      <c r="MBX20" s="557"/>
      <c r="MBY20" s="557"/>
      <c r="MBZ20" s="557"/>
      <c r="MCA20" s="557"/>
      <c r="MCB20" s="557"/>
      <c r="MCC20" s="557"/>
      <c r="MCD20" s="557"/>
      <c r="MCE20" s="557"/>
      <c r="MCF20" s="557"/>
      <c r="MCG20" s="557"/>
      <c r="MCH20" s="557"/>
      <c r="MCI20" s="557"/>
      <c r="MCJ20" s="557"/>
      <c r="MCK20" s="557"/>
      <c r="MCL20" s="557"/>
      <c r="MCM20" s="661"/>
      <c r="MCN20" s="556"/>
      <c r="MCO20" s="557"/>
      <c r="MCP20" s="557"/>
      <c r="MCQ20" s="557"/>
      <c r="MCR20" s="557"/>
      <c r="MCS20" s="557"/>
      <c r="MCT20" s="557"/>
      <c r="MCU20" s="557"/>
      <c r="MCV20" s="557"/>
      <c r="MCW20" s="557"/>
      <c r="MCX20" s="557"/>
      <c r="MCY20" s="557"/>
      <c r="MCZ20" s="557"/>
      <c r="MDA20" s="557"/>
      <c r="MDB20" s="557"/>
      <c r="MDC20" s="557"/>
      <c r="MDD20" s="557"/>
      <c r="MDE20" s="557"/>
      <c r="MDF20" s="557"/>
      <c r="MDG20" s="661"/>
      <c r="MDH20" s="556"/>
      <c r="MDI20" s="557"/>
      <c r="MDJ20" s="557"/>
      <c r="MDK20" s="557"/>
      <c r="MDL20" s="557"/>
      <c r="MDM20" s="557"/>
      <c r="MDN20" s="557"/>
      <c r="MDO20" s="557"/>
      <c r="MDP20" s="557"/>
      <c r="MDQ20" s="557"/>
      <c r="MDR20" s="557"/>
      <c r="MDS20" s="557"/>
      <c r="MDT20" s="557"/>
      <c r="MDU20" s="557"/>
      <c r="MDV20" s="557"/>
      <c r="MDW20" s="557"/>
      <c r="MDX20" s="557"/>
      <c r="MDY20" s="557"/>
      <c r="MDZ20" s="557"/>
      <c r="MEA20" s="661"/>
      <c r="MEB20" s="556"/>
      <c r="MEC20" s="557"/>
      <c r="MED20" s="557"/>
      <c r="MEE20" s="557"/>
      <c r="MEF20" s="557"/>
      <c r="MEG20" s="557"/>
      <c r="MEH20" s="557"/>
      <c r="MEI20" s="557"/>
      <c r="MEJ20" s="557"/>
      <c r="MEK20" s="557"/>
      <c r="MEL20" s="557"/>
      <c r="MEM20" s="557"/>
      <c r="MEN20" s="557"/>
      <c r="MEO20" s="557"/>
      <c r="MEP20" s="557"/>
      <c r="MEQ20" s="557"/>
      <c r="MER20" s="557"/>
      <c r="MES20" s="557"/>
      <c r="MET20" s="557"/>
      <c r="MEU20" s="661"/>
      <c r="MEV20" s="556"/>
      <c r="MEW20" s="557"/>
      <c r="MEX20" s="557"/>
      <c r="MEY20" s="557"/>
      <c r="MEZ20" s="557"/>
      <c r="MFA20" s="557"/>
      <c r="MFB20" s="557"/>
      <c r="MFC20" s="557"/>
      <c r="MFD20" s="557"/>
      <c r="MFE20" s="557"/>
      <c r="MFF20" s="557"/>
      <c r="MFG20" s="557"/>
      <c r="MFH20" s="557"/>
      <c r="MFI20" s="557"/>
      <c r="MFJ20" s="557"/>
      <c r="MFK20" s="557"/>
      <c r="MFL20" s="557"/>
      <c r="MFM20" s="557"/>
      <c r="MFN20" s="557"/>
      <c r="MFO20" s="661"/>
      <c r="MFP20" s="556"/>
      <c r="MFQ20" s="557"/>
      <c r="MFR20" s="557"/>
      <c r="MFS20" s="557"/>
      <c r="MFT20" s="557"/>
      <c r="MFU20" s="557"/>
      <c r="MFV20" s="557"/>
      <c r="MFW20" s="557"/>
      <c r="MFX20" s="557"/>
      <c r="MFY20" s="557"/>
      <c r="MFZ20" s="557"/>
      <c r="MGA20" s="557"/>
      <c r="MGB20" s="557"/>
      <c r="MGC20" s="557"/>
      <c r="MGD20" s="557"/>
      <c r="MGE20" s="557"/>
      <c r="MGF20" s="557"/>
      <c r="MGG20" s="557"/>
      <c r="MGH20" s="557"/>
      <c r="MGI20" s="661"/>
      <c r="MGJ20" s="556"/>
      <c r="MGK20" s="557"/>
      <c r="MGL20" s="557"/>
      <c r="MGM20" s="557"/>
      <c r="MGN20" s="557"/>
      <c r="MGO20" s="557"/>
      <c r="MGP20" s="557"/>
      <c r="MGQ20" s="557"/>
      <c r="MGR20" s="557"/>
      <c r="MGS20" s="557"/>
      <c r="MGT20" s="557"/>
      <c r="MGU20" s="557"/>
      <c r="MGV20" s="557"/>
      <c r="MGW20" s="557"/>
      <c r="MGX20" s="557"/>
      <c r="MGY20" s="557"/>
      <c r="MGZ20" s="557"/>
      <c r="MHA20" s="557"/>
      <c r="MHB20" s="557"/>
      <c r="MHC20" s="661"/>
      <c r="MHD20" s="556"/>
      <c r="MHE20" s="557"/>
      <c r="MHF20" s="557"/>
      <c r="MHG20" s="557"/>
      <c r="MHH20" s="557"/>
      <c r="MHI20" s="557"/>
      <c r="MHJ20" s="557"/>
      <c r="MHK20" s="557"/>
      <c r="MHL20" s="557"/>
      <c r="MHM20" s="557"/>
      <c r="MHN20" s="557"/>
      <c r="MHO20" s="557"/>
      <c r="MHP20" s="557"/>
      <c r="MHQ20" s="557"/>
      <c r="MHR20" s="557"/>
      <c r="MHS20" s="557"/>
      <c r="MHT20" s="557"/>
      <c r="MHU20" s="557"/>
      <c r="MHV20" s="557"/>
      <c r="MHW20" s="661"/>
      <c r="MHX20" s="556"/>
      <c r="MHY20" s="557"/>
      <c r="MHZ20" s="557"/>
      <c r="MIA20" s="557"/>
      <c r="MIB20" s="557"/>
      <c r="MIC20" s="557"/>
      <c r="MID20" s="557"/>
      <c r="MIE20" s="557"/>
      <c r="MIF20" s="557"/>
      <c r="MIG20" s="557"/>
      <c r="MIH20" s="557"/>
      <c r="MII20" s="557"/>
      <c r="MIJ20" s="557"/>
      <c r="MIK20" s="557"/>
      <c r="MIL20" s="557"/>
      <c r="MIM20" s="557"/>
      <c r="MIN20" s="557"/>
      <c r="MIO20" s="557"/>
      <c r="MIP20" s="557"/>
      <c r="MIQ20" s="661"/>
      <c r="MIR20" s="556"/>
      <c r="MIS20" s="557"/>
      <c r="MIT20" s="557"/>
      <c r="MIU20" s="557"/>
      <c r="MIV20" s="557"/>
      <c r="MIW20" s="557"/>
      <c r="MIX20" s="557"/>
      <c r="MIY20" s="557"/>
      <c r="MIZ20" s="557"/>
      <c r="MJA20" s="557"/>
      <c r="MJB20" s="557"/>
      <c r="MJC20" s="557"/>
      <c r="MJD20" s="557"/>
      <c r="MJE20" s="557"/>
      <c r="MJF20" s="557"/>
      <c r="MJG20" s="557"/>
      <c r="MJH20" s="557"/>
      <c r="MJI20" s="557"/>
      <c r="MJJ20" s="557"/>
      <c r="MJK20" s="661"/>
      <c r="MJL20" s="556"/>
      <c r="MJM20" s="557"/>
      <c r="MJN20" s="557"/>
      <c r="MJO20" s="557"/>
      <c r="MJP20" s="557"/>
      <c r="MJQ20" s="557"/>
      <c r="MJR20" s="557"/>
      <c r="MJS20" s="557"/>
      <c r="MJT20" s="557"/>
      <c r="MJU20" s="557"/>
      <c r="MJV20" s="557"/>
      <c r="MJW20" s="557"/>
      <c r="MJX20" s="557"/>
      <c r="MJY20" s="557"/>
      <c r="MJZ20" s="557"/>
      <c r="MKA20" s="557"/>
      <c r="MKB20" s="557"/>
      <c r="MKC20" s="557"/>
      <c r="MKD20" s="557"/>
      <c r="MKE20" s="661"/>
      <c r="MKF20" s="556"/>
      <c r="MKG20" s="557"/>
      <c r="MKH20" s="557"/>
      <c r="MKI20" s="557"/>
      <c r="MKJ20" s="557"/>
      <c r="MKK20" s="557"/>
      <c r="MKL20" s="557"/>
      <c r="MKM20" s="557"/>
      <c r="MKN20" s="557"/>
      <c r="MKO20" s="557"/>
      <c r="MKP20" s="557"/>
      <c r="MKQ20" s="557"/>
      <c r="MKR20" s="557"/>
      <c r="MKS20" s="557"/>
      <c r="MKT20" s="557"/>
      <c r="MKU20" s="557"/>
      <c r="MKV20" s="557"/>
      <c r="MKW20" s="557"/>
      <c r="MKX20" s="557"/>
      <c r="MKY20" s="661"/>
      <c r="MKZ20" s="556"/>
      <c r="MLA20" s="557"/>
      <c r="MLB20" s="557"/>
      <c r="MLC20" s="557"/>
      <c r="MLD20" s="557"/>
      <c r="MLE20" s="557"/>
      <c r="MLF20" s="557"/>
      <c r="MLG20" s="557"/>
      <c r="MLH20" s="557"/>
      <c r="MLI20" s="557"/>
      <c r="MLJ20" s="557"/>
      <c r="MLK20" s="557"/>
      <c r="MLL20" s="557"/>
      <c r="MLM20" s="557"/>
      <c r="MLN20" s="557"/>
      <c r="MLO20" s="557"/>
      <c r="MLP20" s="557"/>
      <c r="MLQ20" s="557"/>
      <c r="MLR20" s="557"/>
      <c r="MLS20" s="661"/>
      <c r="MLT20" s="556"/>
      <c r="MLU20" s="557"/>
      <c r="MLV20" s="557"/>
      <c r="MLW20" s="557"/>
      <c r="MLX20" s="557"/>
      <c r="MLY20" s="557"/>
      <c r="MLZ20" s="557"/>
      <c r="MMA20" s="557"/>
      <c r="MMB20" s="557"/>
      <c r="MMC20" s="557"/>
      <c r="MMD20" s="557"/>
      <c r="MME20" s="557"/>
      <c r="MMF20" s="557"/>
      <c r="MMG20" s="557"/>
      <c r="MMH20" s="557"/>
      <c r="MMI20" s="557"/>
      <c r="MMJ20" s="557"/>
      <c r="MMK20" s="557"/>
      <c r="MML20" s="557"/>
      <c r="MMM20" s="661"/>
      <c r="MMN20" s="556"/>
      <c r="MMO20" s="557"/>
      <c r="MMP20" s="557"/>
      <c r="MMQ20" s="557"/>
      <c r="MMR20" s="557"/>
      <c r="MMS20" s="557"/>
      <c r="MMT20" s="557"/>
      <c r="MMU20" s="557"/>
      <c r="MMV20" s="557"/>
      <c r="MMW20" s="557"/>
      <c r="MMX20" s="557"/>
      <c r="MMY20" s="557"/>
      <c r="MMZ20" s="557"/>
      <c r="MNA20" s="557"/>
      <c r="MNB20" s="557"/>
      <c r="MNC20" s="557"/>
      <c r="MND20" s="557"/>
      <c r="MNE20" s="557"/>
      <c r="MNF20" s="557"/>
      <c r="MNG20" s="661"/>
      <c r="MNH20" s="556"/>
      <c r="MNI20" s="557"/>
      <c r="MNJ20" s="557"/>
      <c r="MNK20" s="557"/>
      <c r="MNL20" s="557"/>
      <c r="MNM20" s="557"/>
      <c r="MNN20" s="557"/>
      <c r="MNO20" s="557"/>
      <c r="MNP20" s="557"/>
      <c r="MNQ20" s="557"/>
      <c r="MNR20" s="557"/>
      <c r="MNS20" s="557"/>
      <c r="MNT20" s="557"/>
      <c r="MNU20" s="557"/>
      <c r="MNV20" s="557"/>
      <c r="MNW20" s="557"/>
      <c r="MNX20" s="557"/>
      <c r="MNY20" s="557"/>
      <c r="MNZ20" s="557"/>
      <c r="MOA20" s="661"/>
      <c r="MOB20" s="556"/>
      <c r="MOC20" s="557"/>
      <c r="MOD20" s="557"/>
      <c r="MOE20" s="557"/>
      <c r="MOF20" s="557"/>
      <c r="MOG20" s="557"/>
      <c r="MOH20" s="557"/>
      <c r="MOI20" s="557"/>
      <c r="MOJ20" s="557"/>
      <c r="MOK20" s="557"/>
      <c r="MOL20" s="557"/>
      <c r="MOM20" s="557"/>
      <c r="MON20" s="557"/>
      <c r="MOO20" s="557"/>
      <c r="MOP20" s="557"/>
      <c r="MOQ20" s="557"/>
      <c r="MOR20" s="557"/>
      <c r="MOS20" s="557"/>
      <c r="MOT20" s="557"/>
      <c r="MOU20" s="661"/>
      <c r="MOV20" s="556"/>
      <c r="MOW20" s="557"/>
      <c r="MOX20" s="557"/>
      <c r="MOY20" s="557"/>
      <c r="MOZ20" s="557"/>
      <c r="MPA20" s="557"/>
      <c r="MPB20" s="557"/>
      <c r="MPC20" s="557"/>
      <c r="MPD20" s="557"/>
      <c r="MPE20" s="557"/>
      <c r="MPF20" s="557"/>
      <c r="MPG20" s="557"/>
      <c r="MPH20" s="557"/>
      <c r="MPI20" s="557"/>
      <c r="MPJ20" s="557"/>
      <c r="MPK20" s="557"/>
      <c r="MPL20" s="557"/>
      <c r="MPM20" s="557"/>
      <c r="MPN20" s="557"/>
      <c r="MPO20" s="661"/>
      <c r="MPP20" s="556"/>
      <c r="MPQ20" s="557"/>
      <c r="MPR20" s="557"/>
      <c r="MPS20" s="557"/>
      <c r="MPT20" s="557"/>
      <c r="MPU20" s="557"/>
      <c r="MPV20" s="557"/>
      <c r="MPW20" s="557"/>
      <c r="MPX20" s="557"/>
      <c r="MPY20" s="557"/>
      <c r="MPZ20" s="557"/>
      <c r="MQA20" s="557"/>
      <c r="MQB20" s="557"/>
      <c r="MQC20" s="557"/>
      <c r="MQD20" s="557"/>
      <c r="MQE20" s="557"/>
      <c r="MQF20" s="557"/>
      <c r="MQG20" s="557"/>
      <c r="MQH20" s="557"/>
      <c r="MQI20" s="661"/>
      <c r="MQJ20" s="556"/>
      <c r="MQK20" s="557"/>
      <c r="MQL20" s="557"/>
      <c r="MQM20" s="557"/>
      <c r="MQN20" s="557"/>
      <c r="MQO20" s="557"/>
      <c r="MQP20" s="557"/>
      <c r="MQQ20" s="557"/>
      <c r="MQR20" s="557"/>
      <c r="MQS20" s="557"/>
      <c r="MQT20" s="557"/>
      <c r="MQU20" s="557"/>
      <c r="MQV20" s="557"/>
      <c r="MQW20" s="557"/>
      <c r="MQX20" s="557"/>
      <c r="MQY20" s="557"/>
      <c r="MQZ20" s="557"/>
      <c r="MRA20" s="557"/>
      <c r="MRB20" s="557"/>
      <c r="MRC20" s="661"/>
      <c r="MRD20" s="556"/>
      <c r="MRE20" s="557"/>
      <c r="MRF20" s="557"/>
      <c r="MRG20" s="557"/>
      <c r="MRH20" s="557"/>
      <c r="MRI20" s="557"/>
      <c r="MRJ20" s="557"/>
      <c r="MRK20" s="557"/>
      <c r="MRL20" s="557"/>
      <c r="MRM20" s="557"/>
      <c r="MRN20" s="557"/>
      <c r="MRO20" s="557"/>
      <c r="MRP20" s="557"/>
      <c r="MRQ20" s="557"/>
      <c r="MRR20" s="557"/>
      <c r="MRS20" s="557"/>
      <c r="MRT20" s="557"/>
      <c r="MRU20" s="557"/>
      <c r="MRV20" s="557"/>
      <c r="MRW20" s="661"/>
      <c r="MRX20" s="556"/>
      <c r="MRY20" s="557"/>
      <c r="MRZ20" s="557"/>
      <c r="MSA20" s="557"/>
      <c r="MSB20" s="557"/>
      <c r="MSC20" s="557"/>
      <c r="MSD20" s="557"/>
      <c r="MSE20" s="557"/>
      <c r="MSF20" s="557"/>
      <c r="MSG20" s="557"/>
      <c r="MSH20" s="557"/>
      <c r="MSI20" s="557"/>
      <c r="MSJ20" s="557"/>
      <c r="MSK20" s="557"/>
      <c r="MSL20" s="557"/>
      <c r="MSM20" s="557"/>
      <c r="MSN20" s="557"/>
      <c r="MSO20" s="557"/>
      <c r="MSP20" s="557"/>
      <c r="MSQ20" s="661"/>
      <c r="MSR20" s="556"/>
      <c r="MSS20" s="557"/>
      <c r="MST20" s="557"/>
      <c r="MSU20" s="557"/>
      <c r="MSV20" s="557"/>
      <c r="MSW20" s="557"/>
      <c r="MSX20" s="557"/>
      <c r="MSY20" s="557"/>
      <c r="MSZ20" s="557"/>
      <c r="MTA20" s="557"/>
      <c r="MTB20" s="557"/>
      <c r="MTC20" s="557"/>
      <c r="MTD20" s="557"/>
      <c r="MTE20" s="557"/>
      <c r="MTF20" s="557"/>
      <c r="MTG20" s="557"/>
      <c r="MTH20" s="557"/>
      <c r="MTI20" s="557"/>
      <c r="MTJ20" s="557"/>
      <c r="MTK20" s="661"/>
      <c r="MTL20" s="556"/>
      <c r="MTM20" s="557"/>
      <c r="MTN20" s="557"/>
      <c r="MTO20" s="557"/>
      <c r="MTP20" s="557"/>
      <c r="MTQ20" s="557"/>
      <c r="MTR20" s="557"/>
      <c r="MTS20" s="557"/>
      <c r="MTT20" s="557"/>
      <c r="MTU20" s="557"/>
      <c r="MTV20" s="557"/>
      <c r="MTW20" s="557"/>
      <c r="MTX20" s="557"/>
      <c r="MTY20" s="557"/>
      <c r="MTZ20" s="557"/>
      <c r="MUA20" s="557"/>
      <c r="MUB20" s="557"/>
      <c r="MUC20" s="557"/>
      <c r="MUD20" s="557"/>
      <c r="MUE20" s="661"/>
      <c r="MUF20" s="556"/>
      <c r="MUG20" s="557"/>
      <c r="MUH20" s="557"/>
      <c r="MUI20" s="557"/>
      <c r="MUJ20" s="557"/>
      <c r="MUK20" s="557"/>
      <c r="MUL20" s="557"/>
      <c r="MUM20" s="557"/>
      <c r="MUN20" s="557"/>
      <c r="MUO20" s="557"/>
      <c r="MUP20" s="557"/>
      <c r="MUQ20" s="557"/>
      <c r="MUR20" s="557"/>
      <c r="MUS20" s="557"/>
      <c r="MUT20" s="557"/>
      <c r="MUU20" s="557"/>
      <c r="MUV20" s="557"/>
      <c r="MUW20" s="557"/>
      <c r="MUX20" s="557"/>
      <c r="MUY20" s="661"/>
      <c r="MUZ20" s="556"/>
      <c r="MVA20" s="557"/>
      <c r="MVB20" s="557"/>
      <c r="MVC20" s="557"/>
      <c r="MVD20" s="557"/>
      <c r="MVE20" s="557"/>
      <c r="MVF20" s="557"/>
      <c r="MVG20" s="557"/>
      <c r="MVH20" s="557"/>
      <c r="MVI20" s="557"/>
      <c r="MVJ20" s="557"/>
      <c r="MVK20" s="557"/>
      <c r="MVL20" s="557"/>
      <c r="MVM20" s="557"/>
      <c r="MVN20" s="557"/>
      <c r="MVO20" s="557"/>
      <c r="MVP20" s="557"/>
      <c r="MVQ20" s="557"/>
      <c r="MVR20" s="557"/>
      <c r="MVS20" s="661"/>
      <c r="MVT20" s="556"/>
      <c r="MVU20" s="557"/>
      <c r="MVV20" s="557"/>
      <c r="MVW20" s="557"/>
      <c r="MVX20" s="557"/>
      <c r="MVY20" s="557"/>
      <c r="MVZ20" s="557"/>
      <c r="MWA20" s="557"/>
      <c r="MWB20" s="557"/>
      <c r="MWC20" s="557"/>
      <c r="MWD20" s="557"/>
      <c r="MWE20" s="557"/>
      <c r="MWF20" s="557"/>
      <c r="MWG20" s="557"/>
      <c r="MWH20" s="557"/>
      <c r="MWI20" s="557"/>
      <c r="MWJ20" s="557"/>
      <c r="MWK20" s="557"/>
      <c r="MWL20" s="557"/>
      <c r="MWM20" s="661"/>
      <c r="MWN20" s="556"/>
      <c r="MWO20" s="557"/>
      <c r="MWP20" s="557"/>
      <c r="MWQ20" s="557"/>
      <c r="MWR20" s="557"/>
      <c r="MWS20" s="557"/>
      <c r="MWT20" s="557"/>
      <c r="MWU20" s="557"/>
      <c r="MWV20" s="557"/>
      <c r="MWW20" s="557"/>
      <c r="MWX20" s="557"/>
      <c r="MWY20" s="557"/>
      <c r="MWZ20" s="557"/>
      <c r="MXA20" s="557"/>
      <c r="MXB20" s="557"/>
      <c r="MXC20" s="557"/>
      <c r="MXD20" s="557"/>
      <c r="MXE20" s="557"/>
      <c r="MXF20" s="557"/>
      <c r="MXG20" s="661"/>
      <c r="MXH20" s="556"/>
      <c r="MXI20" s="557"/>
      <c r="MXJ20" s="557"/>
      <c r="MXK20" s="557"/>
      <c r="MXL20" s="557"/>
      <c r="MXM20" s="557"/>
      <c r="MXN20" s="557"/>
      <c r="MXO20" s="557"/>
      <c r="MXP20" s="557"/>
      <c r="MXQ20" s="557"/>
      <c r="MXR20" s="557"/>
      <c r="MXS20" s="557"/>
      <c r="MXT20" s="557"/>
      <c r="MXU20" s="557"/>
      <c r="MXV20" s="557"/>
      <c r="MXW20" s="557"/>
      <c r="MXX20" s="557"/>
      <c r="MXY20" s="557"/>
      <c r="MXZ20" s="557"/>
      <c r="MYA20" s="661"/>
      <c r="MYB20" s="556"/>
      <c r="MYC20" s="557"/>
      <c r="MYD20" s="557"/>
      <c r="MYE20" s="557"/>
      <c r="MYF20" s="557"/>
      <c r="MYG20" s="557"/>
      <c r="MYH20" s="557"/>
      <c r="MYI20" s="557"/>
      <c r="MYJ20" s="557"/>
      <c r="MYK20" s="557"/>
      <c r="MYL20" s="557"/>
      <c r="MYM20" s="557"/>
      <c r="MYN20" s="557"/>
      <c r="MYO20" s="557"/>
      <c r="MYP20" s="557"/>
      <c r="MYQ20" s="557"/>
      <c r="MYR20" s="557"/>
      <c r="MYS20" s="557"/>
      <c r="MYT20" s="557"/>
      <c r="MYU20" s="661"/>
      <c r="MYV20" s="556"/>
      <c r="MYW20" s="557"/>
      <c r="MYX20" s="557"/>
      <c r="MYY20" s="557"/>
      <c r="MYZ20" s="557"/>
      <c r="MZA20" s="557"/>
      <c r="MZB20" s="557"/>
      <c r="MZC20" s="557"/>
      <c r="MZD20" s="557"/>
      <c r="MZE20" s="557"/>
      <c r="MZF20" s="557"/>
      <c r="MZG20" s="557"/>
      <c r="MZH20" s="557"/>
      <c r="MZI20" s="557"/>
      <c r="MZJ20" s="557"/>
      <c r="MZK20" s="557"/>
      <c r="MZL20" s="557"/>
      <c r="MZM20" s="557"/>
      <c r="MZN20" s="557"/>
      <c r="MZO20" s="661"/>
      <c r="MZP20" s="556"/>
      <c r="MZQ20" s="557"/>
      <c r="MZR20" s="557"/>
      <c r="MZS20" s="557"/>
      <c r="MZT20" s="557"/>
      <c r="MZU20" s="557"/>
      <c r="MZV20" s="557"/>
      <c r="MZW20" s="557"/>
      <c r="MZX20" s="557"/>
      <c r="MZY20" s="557"/>
      <c r="MZZ20" s="557"/>
      <c r="NAA20" s="557"/>
      <c r="NAB20" s="557"/>
      <c r="NAC20" s="557"/>
      <c r="NAD20" s="557"/>
      <c r="NAE20" s="557"/>
      <c r="NAF20" s="557"/>
      <c r="NAG20" s="557"/>
      <c r="NAH20" s="557"/>
      <c r="NAI20" s="661"/>
      <c r="NAJ20" s="556"/>
      <c r="NAK20" s="557"/>
      <c r="NAL20" s="557"/>
      <c r="NAM20" s="557"/>
      <c r="NAN20" s="557"/>
      <c r="NAO20" s="557"/>
      <c r="NAP20" s="557"/>
      <c r="NAQ20" s="557"/>
      <c r="NAR20" s="557"/>
      <c r="NAS20" s="557"/>
      <c r="NAT20" s="557"/>
      <c r="NAU20" s="557"/>
      <c r="NAV20" s="557"/>
      <c r="NAW20" s="557"/>
      <c r="NAX20" s="557"/>
      <c r="NAY20" s="557"/>
      <c r="NAZ20" s="557"/>
      <c r="NBA20" s="557"/>
      <c r="NBB20" s="557"/>
      <c r="NBC20" s="661"/>
      <c r="NBD20" s="556"/>
      <c r="NBE20" s="557"/>
      <c r="NBF20" s="557"/>
      <c r="NBG20" s="557"/>
      <c r="NBH20" s="557"/>
      <c r="NBI20" s="557"/>
      <c r="NBJ20" s="557"/>
      <c r="NBK20" s="557"/>
      <c r="NBL20" s="557"/>
      <c r="NBM20" s="557"/>
      <c r="NBN20" s="557"/>
      <c r="NBO20" s="557"/>
      <c r="NBP20" s="557"/>
      <c r="NBQ20" s="557"/>
      <c r="NBR20" s="557"/>
      <c r="NBS20" s="557"/>
      <c r="NBT20" s="557"/>
      <c r="NBU20" s="557"/>
      <c r="NBV20" s="557"/>
      <c r="NBW20" s="661"/>
      <c r="NBX20" s="556"/>
      <c r="NBY20" s="557"/>
      <c r="NBZ20" s="557"/>
      <c r="NCA20" s="557"/>
      <c r="NCB20" s="557"/>
      <c r="NCC20" s="557"/>
      <c r="NCD20" s="557"/>
      <c r="NCE20" s="557"/>
      <c r="NCF20" s="557"/>
      <c r="NCG20" s="557"/>
      <c r="NCH20" s="557"/>
      <c r="NCI20" s="557"/>
      <c r="NCJ20" s="557"/>
      <c r="NCK20" s="557"/>
      <c r="NCL20" s="557"/>
      <c r="NCM20" s="557"/>
      <c r="NCN20" s="557"/>
      <c r="NCO20" s="557"/>
      <c r="NCP20" s="557"/>
      <c r="NCQ20" s="661"/>
      <c r="NCR20" s="556"/>
      <c r="NCS20" s="557"/>
      <c r="NCT20" s="557"/>
      <c r="NCU20" s="557"/>
      <c r="NCV20" s="557"/>
      <c r="NCW20" s="557"/>
      <c r="NCX20" s="557"/>
      <c r="NCY20" s="557"/>
      <c r="NCZ20" s="557"/>
      <c r="NDA20" s="557"/>
      <c r="NDB20" s="557"/>
      <c r="NDC20" s="557"/>
      <c r="NDD20" s="557"/>
      <c r="NDE20" s="557"/>
      <c r="NDF20" s="557"/>
      <c r="NDG20" s="557"/>
      <c r="NDH20" s="557"/>
      <c r="NDI20" s="557"/>
      <c r="NDJ20" s="557"/>
      <c r="NDK20" s="661"/>
      <c r="NDL20" s="556"/>
      <c r="NDM20" s="557"/>
      <c r="NDN20" s="557"/>
      <c r="NDO20" s="557"/>
      <c r="NDP20" s="557"/>
      <c r="NDQ20" s="557"/>
      <c r="NDR20" s="557"/>
      <c r="NDS20" s="557"/>
      <c r="NDT20" s="557"/>
      <c r="NDU20" s="557"/>
      <c r="NDV20" s="557"/>
      <c r="NDW20" s="557"/>
      <c r="NDX20" s="557"/>
      <c r="NDY20" s="557"/>
      <c r="NDZ20" s="557"/>
      <c r="NEA20" s="557"/>
      <c r="NEB20" s="557"/>
      <c r="NEC20" s="557"/>
      <c r="NED20" s="557"/>
      <c r="NEE20" s="661"/>
      <c r="NEF20" s="556"/>
      <c r="NEG20" s="557"/>
      <c r="NEH20" s="557"/>
      <c r="NEI20" s="557"/>
      <c r="NEJ20" s="557"/>
      <c r="NEK20" s="557"/>
      <c r="NEL20" s="557"/>
      <c r="NEM20" s="557"/>
      <c r="NEN20" s="557"/>
      <c r="NEO20" s="557"/>
      <c r="NEP20" s="557"/>
      <c r="NEQ20" s="557"/>
      <c r="NER20" s="557"/>
      <c r="NES20" s="557"/>
      <c r="NET20" s="557"/>
      <c r="NEU20" s="557"/>
      <c r="NEV20" s="557"/>
      <c r="NEW20" s="557"/>
      <c r="NEX20" s="557"/>
      <c r="NEY20" s="661"/>
      <c r="NEZ20" s="556"/>
      <c r="NFA20" s="557"/>
      <c r="NFB20" s="557"/>
      <c r="NFC20" s="557"/>
      <c r="NFD20" s="557"/>
      <c r="NFE20" s="557"/>
      <c r="NFF20" s="557"/>
      <c r="NFG20" s="557"/>
      <c r="NFH20" s="557"/>
      <c r="NFI20" s="557"/>
      <c r="NFJ20" s="557"/>
      <c r="NFK20" s="557"/>
      <c r="NFL20" s="557"/>
      <c r="NFM20" s="557"/>
      <c r="NFN20" s="557"/>
      <c r="NFO20" s="557"/>
      <c r="NFP20" s="557"/>
      <c r="NFQ20" s="557"/>
      <c r="NFR20" s="557"/>
      <c r="NFS20" s="661"/>
      <c r="NFT20" s="556"/>
      <c r="NFU20" s="557"/>
      <c r="NFV20" s="557"/>
      <c r="NFW20" s="557"/>
      <c r="NFX20" s="557"/>
      <c r="NFY20" s="557"/>
      <c r="NFZ20" s="557"/>
      <c r="NGA20" s="557"/>
      <c r="NGB20" s="557"/>
      <c r="NGC20" s="557"/>
      <c r="NGD20" s="557"/>
      <c r="NGE20" s="557"/>
      <c r="NGF20" s="557"/>
      <c r="NGG20" s="557"/>
      <c r="NGH20" s="557"/>
      <c r="NGI20" s="557"/>
      <c r="NGJ20" s="557"/>
      <c r="NGK20" s="557"/>
      <c r="NGL20" s="557"/>
      <c r="NGM20" s="661"/>
      <c r="NGN20" s="556"/>
      <c r="NGO20" s="557"/>
      <c r="NGP20" s="557"/>
      <c r="NGQ20" s="557"/>
      <c r="NGR20" s="557"/>
      <c r="NGS20" s="557"/>
      <c r="NGT20" s="557"/>
      <c r="NGU20" s="557"/>
      <c r="NGV20" s="557"/>
      <c r="NGW20" s="557"/>
      <c r="NGX20" s="557"/>
      <c r="NGY20" s="557"/>
      <c r="NGZ20" s="557"/>
      <c r="NHA20" s="557"/>
      <c r="NHB20" s="557"/>
      <c r="NHC20" s="557"/>
      <c r="NHD20" s="557"/>
      <c r="NHE20" s="557"/>
      <c r="NHF20" s="557"/>
      <c r="NHG20" s="661"/>
      <c r="NHH20" s="556"/>
      <c r="NHI20" s="557"/>
      <c r="NHJ20" s="557"/>
      <c r="NHK20" s="557"/>
      <c r="NHL20" s="557"/>
      <c r="NHM20" s="557"/>
      <c r="NHN20" s="557"/>
      <c r="NHO20" s="557"/>
      <c r="NHP20" s="557"/>
      <c r="NHQ20" s="557"/>
      <c r="NHR20" s="557"/>
      <c r="NHS20" s="557"/>
      <c r="NHT20" s="557"/>
      <c r="NHU20" s="557"/>
      <c r="NHV20" s="557"/>
      <c r="NHW20" s="557"/>
      <c r="NHX20" s="557"/>
      <c r="NHY20" s="557"/>
      <c r="NHZ20" s="557"/>
      <c r="NIA20" s="661"/>
      <c r="NIB20" s="556"/>
      <c r="NIC20" s="557"/>
      <c r="NID20" s="557"/>
      <c r="NIE20" s="557"/>
      <c r="NIF20" s="557"/>
      <c r="NIG20" s="557"/>
      <c r="NIH20" s="557"/>
      <c r="NII20" s="557"/>
      <c r="NIJ20" s="557"/>
      <c r="NIK20" s="557"/>
      <c r="NIL20" s="557"/>
      <c r="NIM20" s="557"/>
      <c r="NIN20" s="557"/>
      <c r="NIO20" s="557"/>
      <c r="NIP20" s="557"/>
      <c r="NIQ20" s="557"/>
      <c r="NIR20" s="557"/>
      <c r="NIS20" s="557"/>
      <c r="NIT20" s="557"/>
      <c r="NIU20" s="661"/>
      <c r="NIV20" s="556"/>
      <c r="NIW20" s="557"/>
      <c r="NIX20" s="557"/>
      <c r="NIY20" s="557"/>
      <c r="NIZ20" s="557"/>
      <c r="NJA20" s="557"/>
      <c r="NJB20" s="557"/>
      <c r="NJC20" s="557"/>
      <c r="NJD20" s="557"/>
      <c r="NJE20" s="557"/>
      <c r="NJF20" s="557"/>
      <c r="NJG20" s="557"/>
      <c r="NJH20" s="557"/>
      <c r="NJI20" s="557"/>
      <c r="NJJ20" s="557"/>
      <c r="NJK20" s="557"/>
      <c r="NJL20" s="557"/>
      <c r="NJM20" s="557"/>
      <c r="NJN20" s="557"/>
      <c r="NJO20" s="661"/>
      <c r="NJP20" s="556"/>
      <c r="NJQ20" s="557"/>
      <c r="NJR20" s="557"/>
      <c r="NJS20" s="557"/>
      <c r="NJT20" s="557"/>
      <c r="NJU20" s="557"/>
      <c r="NJV20" s="557"/>
      <c r="NJW20" s="557"/>
      <c r="NJX20" s="557"/>
      <c r="NJY20" s="557"/>
      <c r="NJZ20" s="557"/>
      <c r="NKA20" s="557"/>
      <c r="NKB20" s="557"/>
      <c r="NKC20" s="557"/>
      <c r="NKD20" s="557"/>
      <c r="NKE20" s="557"/>
      <c r="NKF20" s="557"/>
      <c r="NKG20" s="557"/>
      <c r="NKH20" s="557"/>
      <c r="NKI20" s="661"/>
      <c r="NKJ20" s="556"/>
      <c r="NKK20" s="557"/>
      <c r="NKL20" s="557"/>
      <c r="NKM20" s="557"/>
      <c r="NKN20" s="557"/>
      <c r="NKO20" s="557"/>
      <c r="NKP20" s="557"/>
      <c r="NKQ20" s="557"/>
      <c r="NKR20" s="557"/>
      <c r="NKS20" s="557"/>
      <c r="NKT20" s="557"/>
      <c r="NKU20" s="557"/>
      <c r="NKV20" s="557"/>
      <c r="NKW20" s="557"/>
      <c r="NKX20" s="557"/>
      <c r="NKY20" s="557"/>
      <c r="NKZ20" s="557"/>
      <c r="NLA20" s="557"/>
      <c r="NLB20" s="557"/>
      <c r="NLC20" s="661"/>
      <c r="NLD20" s="556"/>
      <c r="NLE20" s="557"/>
      <c r="NLF20" s="557"/>
      <c r="NLG20" s="557"/>
      <c r="NLH20" s="557"/>
      <c r="NLI20" s="557"/>
      <c r="NLJ20" s="557"/>
      <c r="NLK20" s="557"/>
      <c r="NLL20" s="557"/>
      <c r="NLM20" s="557"/>
      <c r="NLN20" s="557"/>
      <c r="NLO20" s="557"/>
      <c r="NLP20" s="557"/>
      <c r="NLQ20" s="557"/>
      <c r="NLR20" s="557"/>
      <c r="NLS20" s="557"/>
      <c r="NLT20" s="557"/>
      <c r="NLU20" s="557"/>
      <c r="NLV20" s="557"/>
      <c r="NLW20" s="661"/>
      <c r="NLX20" s="556"/>
      <c r="NLY20" s="557"/>
      <c r="NLZ20" s="557"/>
      <c r="NMA20" s="557"/>
      <c r="NMB20" s="557"/>
      <c r="NMC20" s="557"/>
      <c r="NMD20" s="557"/>
      <c r="NME20" s="557"/>
      <c r="NMF20" s="557"/>
      <c r="NMG20" s="557"/>
      <c r="NMH20" s="557"/>
      <c r="NMI20" s="557"/>
      <c r="NMJ20" s="557"/>
      <c r="NMK20" s="557"/>
      <c r="NML20" s="557"/>
      <c r="NMM20" s="557"/>
      <c r="NMN20" s="557"/>
      <c r="NMO20" s="557"/>
      <c r="NMP20" s="557"/>
      <c r="NMQ20" s="661"/>
      <c r="NMR20" s="556"/>
      <c r="NMS20" s="557"/>
      <c r="NMT20" s="557"/>
      <c r="NMU20" s="557"/>
      <c r="NMV20" s="557"/>
      <c r="NMW20" s="557"/>
      <c r="NMX20" s="557"/>
      <c r="NMY20" s="557"/>
      <c r="NMZ20" s="557"/>
      <c r="NNA20" s="557"/>
      <c r="NNB20" s="557"/>
      <c r="NNC20" s="557"/>
      <c r="NND20" s="557"/>
      <c r="NNE20" s="557"/>
      <c r="NNF20" s="557"/>
      <c r="NNG20" s="557"/>
      <c r="NNH20" s="557"/>
      <c r="NNI20" s="557"/>
      <c r="NNJ20" s="557"/>
      <c r="NNK20" s="661"/>
      <c r="NNL20" s="556"/>
      <c r="NNM20" s="557"/>
      <c r="NNN20" s="557"/>
      <c r="NNO20" s="557"/>
      <c r="NNP20" s="557"/>
      <c r="NNQ20" s="557"/>
      <c r="NNR20" s="557"/>
      <c r="NNS20" s="557"/>
      <c r="NNT20" s="557"/>
      <c r="NNU20" s="557"/>
      <c r="NNV20" s="557"/>
      <c r="NNW20" s="557"/>
      <c r="NNX20" s="557"/>
      <c r="NNY20" s="557"/>
      <c r="NNZ20" s="557"/>
      <c r="NOA20" s="557"/>
      <c r="NOB20" s="557"/>
      <c r="NOC20" s="557"/>
      <c r="NOD20" s="557"/>
      <c r="NOE20" s="661"/>
      <c r="NOF20" s="556"/>
      <c r="NOG20" s="557"/>
      <c r="NOH20" s="557"/>
      <c r="NOI20" s="557"/>
      <c r="NOJ20" s="557"/>
      <c r="NOK20" s="557"/>
      <c r="NOL20" s="557"/>
      <c r="NOM20" s="557"/>
      <c r="NON20" s="557"/>
      <c r="NOO20" s="557"/>
      <c r="NOP20" s="557"/>
      <c r="NOQ20" s="557"/>
      <c r="NOR20" s="557"/>
      <c r="NOS20" s="557"/>
      <c r="NOT20" s="557"/>
      <c r="NOU20" s="557"/>
      <c r="NOV20" s="557"/>
      <c r="NOW20" s="557"/>
      <c r="NOX20" s="557"/>
      <c r="NOY20" s="661"/>
      <c r="NOZ20" s="556"/>
      <c r="NPA20" s="557"/>
      <c r="NPB20" s="557"/>
      <c r="NPC20" s="557"/>
      <c r="NPD20" s="557"/>
      <c r="NPE20" s="557"/>
      <c r="NPF20" s="557"/>
      <c r="NPG20" s="557"/>
      <c r="NPH20" s="557"/>
      <c r="NPI20" s="557"/>
      <c r="NPJ20" s="557"/>
      <c r="NPK20" s="557"/>
      <c r="NPL20" s="557"/>
      <c r="NPM20" s="557"/>
      <c r="NPN20" s="557"/>
      <c r="NPO20" s="557"/>
      <c r="NPP20" s="557"/>
      <c r="NPQ20" s="557"/>
      <c r="NPR20" s="557"/>
      <c r="NPS20" s="661"/>
      <c r="NPT20" s="556"/>
      <c r="NPU20" s="557"/>
      <c r="NPV20" s="557"/>
      <c r="NPW20" s="557"/>
      <c r="NPX20" s="557"/>
      <c r="NPY20" s="557"/>
      <c r="NPZ20" s="557"/>
      <c r="NQA20" s="557"/>
      <c r="NQB20" s="557"/>
      <c r="NQC20" s="557"/>
      <c r="NQD20" s="557"/>
      <c r="NQE20" s="557"/>
      <c r="NQF20" s="557"/>
      <c r="NQG20" s="557"/>
      <c r="NQH20" s="557"/>
      <c r="NQI20" s="557"/>
      <c r="NQJ20" s="557"/>
      <c r="NQK20" s="557"/>
      <c r="NQL20" s="557"/>
      <c r="NQM20" s="661"/>
      <c r="NQN20" s="556"/>
      <c r="NQO20" s="557"/>
      <c r="NQP20" s="557"/>
      <c r="NQQ20" s="557"/>
      <c r="NQR20" s="557"/>
      <c r="NQS20" s="557"/>
      <c r="NQT20" s="557"/>
      <c r="NQU20" s="557"/>
      <c r="NQV20" s="557"/>
      <c r="NQW20" s="557"/>
      <c r="NQX20" s="557"/>
      <c r="NQY20" s="557"/>
      <c r="NQZ20" s="557"/>
      <c r="NRA20" s="557"/>
      <c r="NRB20" s="557"/>
      <c r="NRC20" s="557"/>
      <c r="NRD20" s="557"/>
      <c r="NRE20" s="557"/>
      <c r="NRF20" s="557"/>
      <c r="NRG20" s="661"/>
      <c r="NRH20" s="556"/>
      <c r="NRI20" s="557"/>
      <c r="NRJ20" s="557"/>
      <c r="NRK20" s="557"/>
      <c r="NRL20" s="557"/>
      <c r="NRM20" s="557"/>
      <c r="NRN20" s="557"/>
      <c r="NRO20" s="557"/>
      <c r="NRP20" s="557"/>
      <c r="NRQ20" s="557"/>
      <c r="NRR20" s="557"/>
      <c r="NRS20" s="557"/>
      <c r="NRT20" s="557"/>
      <c r="NRU20" s="557"/>
      <c r="NRV20" s="557"/>
      <c r="NRW20" s="557"/>
      <c r="NRX20" s="557"/>
      <c r="NRY20" s="557"/>
      <c r="NRZ20" s="557"/>
      <c r="NSA20" s="661"/>
      <c r="NSB20" s="556"/>
      <c r="NSC20" s="557"/>
      <c r="NSD20" s="557"/>
      <c r="NSE20" s="557"/>
      <c r="NSF20" s="557"/>
      <c r="NSG20" s="557"/>
      <c r="NSH20" s="557"/>
      <c r="NSI20" s="557"/>
      <c r="NSJ20" s="557"/>
      <c r="NSK20" s="557"/>
      <c r="NSL20" s="557"/>
      <c r="NSM20" s="557"/>
      <c r="NSN20" s="557"/>
      <c r="NSO20" s="557"/>
      <c r="NSP20" s="557"/>
      <c r="NSQ20" s="557"/>
      <c r="NSR20" s="557"/>
      <c r="NSS20" s="557"/>
      <c r="NST20" s="557"/>
      <c r="NSU20" s="661"/>
      <c r="NSV20" s="556"/>
      <c r="NSW20" s="557"/>
      <c r="NSX20" s="557"/>
      <c r="NSY20" s="557"/>
      <c r="NSZ20" s="557"/>
      <c r="NTA20" s="557"/>
      <c r="NTB20" s="557"/>
      <c r="NTC20" s="557"/>
      <c r="NTD20" s="557"/>
      <c r="NTE20" s="557"/>
      <c r="NTF20" s="557"/>
      <c r="NTG20" s="557"/>
      <c r="NTH20" s="557"/>
      <c r="NTI20" s="557"/>
      <c r="NTJ20" s="557"/>
      <c r="NTK20" s="557"/>
      <c r="NTL20" s="557"/>
      <c r="NTM20" s="557"/>
      <c r="NTN20" s="557"/>
      <c r="NTO20" s="661"/>
      <c r="NTP20" s="556"/>
      <c r="NTQ20" s="557"/>
      <c r="NTR20" s="557"/>
      <c r="NTS20" s="557"/>
      <c r="NTT20" s="557"/>
      <c r="NTU20" s="557"/>
      <c r="NTV20" s="557"/>
      <c r="NTW20" s="557"/>
      <c r="NTX20" s="557"/>
      <c r="NTY20" s="557"/>
      <c r="NTZ20" s="557"/>
      <c r="NUA20" s="557"/>
      <c r="NUB20" s="557"/>
      <c r="NUC20" s="557"/>
      <c r="NUD20" s="557"/>
      <c r="NUE20" s="557"/>
      <c r="NUF20" s="557"/>
      <c r="NUG20" s="557"/>
      <c r="NUH20" s="557"/>
      <c r="NUI20" s="661"/>
      <c r="NUJ20" s="556"/>
      <c r="NUK20" s="557"/>
      <c r="NUL20" s="557"/>
      <c r="NUM20" s="557"/>
      <c r="NUN20" s="557"/>
      <c r="NUO20" s="557"/>
      <c r="NUP20" s="557"/>
      <c r="NUQ20" s="557"/>
      <c r="NUR20" s="557"/>
      <c r="NUS20" s="557"/>
      <c r="NUT20" s="557"/>
      <c r="NUU20" s="557"/>
      <c r="NUV20" s="557"/>
      <c r="NUW20" s="557"/>
      <c r="NUX20" s="557"/>
      <c r="NUY20" s="557"/>
      <c r="NUZ20" s="557"/>
      <c r="NVA20" s="557"/>
      <c r="NVB20" s="557"/>
      <c r="NVC20" s="661"/>
      <c r="NVD20" s="556"/>
      <c r="NVE20" s="557"/>
      <c r="NVF20" s="557"/>
      <c r="NVG20" s="557"/>
      <c r="NVH20" s="557"/>
      <c r="NVI20" s="557"/>
      <c r="NVJ20" s="557"/>
      <c r="NVK20" s="557"/>
      <c r="NVL20" s="557"/>
      <c r="NVM20" s="557"/>
      <c r="NVN20" s="557"/>
      <c r="NVO20" s="557"/>
      <c r="NVP20" s="557"/>
      <c r="NVQ20" s="557"/>
      <c r="NVR20" s="557"/>
      <c r="NVS20" s="557"/>
      <c r="NVT20" s="557"/>
      <c r="NVU20" s="557"/>
      <c r="NVV20" s="557"/>
      <c r="NVW20" s="661"/>
      <c r="NVX20" s="556"/>
      <c r="NVY20" s="557"/>
      <c r="NVZ20" s="557"/>
      <c r="NWA20" s="557"/>
      <c r="NWB20" s="557"/>
      <c r="NWC20" s="557"/>
      <c r="NWD20" s="557"/>
      <c r="NWE20" s="557"/>
      <c r="NWF20" s="557"/>
      <c r="NWG20" s="557"/>
      <c r="NWH20" s="557"/>
      <c r="NWI20" s="557"/>
      <c r="NWJ20" s="557"/>
      <c r="NWK20" s="557"/>
      <c r="NWL20" s="557"/>
      <c r="NWM20" s="557"/>
      <c r="NWN20" s="557"/>
      <c r="NWO20" s="557"/>
      <c r="NWP20" s="557"/>
      <c r="NWQ20" s="661"/>
      <c r="NWR20" s="556"/>
      <c r="NWS20" s="557"/>
      <c r="NWT20" s="557"/>
      <c r="NWU20" s="557"/>
      <c r="NWV20" s="557"/>
      <c r="NWW20" s="557"/>
      <c r="NWX20" s="557"/>
      <c r="NWY20" s="557"/>
      <c r="NWZ20" s="557"/>
      <c r="NXA20" s="557"/>
      <c r="NXB20" s="557"/>
      <c r="NXC20" s="557"/>
      <c r="NXD20" s="557"/>
      <c r="NXE20" s="557"/>
      <c r="NXF20" s="557"/>
      <c r="NXG20" s="557"/>
      <c r="NXH20" s="557"/>
      <c r="NXI20" s="557"/>
      <c r="NXJ20" s="557"/>
      <c r="NXK20" s="661"/>
      <c r="NXL20" s="556"/>
      <c r="NXM20" s="557"/>
      <c r="NXN20" s="557"/>
      <c r="NXO20" s="557"/>
      <c r="NXP20" s="557"/>
      <c r="NXQ20" s="557"/>
      <c r="NXR20" s="557"/>
      <c r="NXS20" s="557"/>
      <c r="NXT20" s="557"/>
      <c r="NXU20" s="557"/>
      <c r="NXV20" s="557"/>
      <c r="NXW20" s="557"/>
      <c r="NXX20" s="557"/>
      <c r="NXY20" s="557"/>
      <c r="NXZ20" s="557"/>
      <c r="NYA20" s="557"/>
      <c r="NYB20" s="557"/>
      <c r="NYC20" s="557"/>
      <c r="NYD20" s="557"/>
      <c r="NYE20" s="661"/>
      <c r="NYF20" s="556"/>
      <c r="NYG20" s="557"/>
      <c r="NYH20" s="557"/>
      <c r="NYI20" s="557"/>
      <c r="NYJ20" s="557"/>
      <c r="NYK20" s="557"/>
      <c r="NYL20" s="557"/>
      <c r="NYM20" s="557"/>
      <c r="NYN20" s="557"/>
      <c r="NYO20" s="557"/>
      <c r="NYP20" s="557"/>
      <c r="NYQ20" s="557"/>
      <c r="NYR20" s="557"/>
      <c r="NYS20" s="557"/>
      <c r="NYT20" s="557"/>
      <c r="NYU20" s="557"/>
      <c r="NYV20" s="557"/>
      <c r="NYW20" s="557"/>
      <c r="NYX20" s="557"/>
      <c r="NYY20" s="661"/>
      <c r="NYZ20" s="556"/>
      <c r="NZA20" s="557"/>
      <c r="NZB20" s="557"/>
      <c r="NZC20" s="557"/>
      <c r="NZD20" s="557"/>
      <c r="NZE20" s="557"/>
      <c r="NZF20" s="557"/>
      <c r="NZG20" s="557"/>
      <c r="NZH20" s="557"/>
      <c r="NZI20" s="557"/>
      <c r="NZJ20" s="557"/>
      <c r="NZK20" s="557"/>
      <c r="NZL20" s="557"/>
      <c r="NZM20" s="557"/>
      <c r="NZN20" s="557"/>
      <c r="NZO20" s="557"/>
      <c r="NZP20" s="557"/>
      <c r="NZQ20" s="557"/>
      <c r="NZR20" s="557"/>
      <c r="NZS20" s="661"/>
      <c r="NZT20" s="556"/>
      <c r="NZU20" s="557"/>
      <c r="NZV20" s="557"/>
      <c r="NZW20" s="557"/>
      <c r="NZX20" s="557"/>
      <c r="NZY20" s="557"/>
      <c r="NZZ20" s="557"/>
      <c r="OAA20" s="557"/>
      <c r="OAB20" s="557"/>
      <c r="OAC20" s="557"/>
      <c r="OAD20" s="557"/>
      <c r="OAE20" s="557"/>
      <c r="OAF20" s="557"/>
      <c r="OAG20" s="557"/>
      <c r="OAH20" s="557"/>
      <c r="OAI20" s="557"/>
      <c r="OAJ20" s="557"/>
      <c r="OAK20" s="557"/>
      <c r="OAL20" s="557"/>
      <c r="OAM20" s="661"/>
      <c r="OAN20" s="556"/>
      <c r="OAO20" s="557"/>
      <c r="OAP20" s="557"/>
      <c r="OAQ20" s="557"/>
      <c r="OAR20" s="557"/>
      <c r="OAS20" s="557"/>
      <c r="OAT20" s="557"/>
      <c r="OAU20" s="557"/>
      <c r="OAV20" s="557"/>
      <c r="OAW20" s="557"/>
      <c r="OAX20" s="557"/>
      <c r="OAY20" s="557"/>
      <c r="OAZ20" s="557"/>
      <c r="OBA20" s="557"/>
      <c r="OBB20" s="557"/>
      <c r="OBC20" s="557"/>
      <c r="OBD20" s="557"/>
      <c r="OBE20" s="557"/>
      <c r="OBF20" s="557"/>
      <c r="OBG20" s="661"/>
      <c r="OBH20" s="556"/>
      <c r="OBI20" s="557"/>
      <c r="OBJ20" s="557"/>
      <c r="OBK20" s="557"/>
      <c r="OBL20" s="557"/>
      <c r="OBM20" s="557"/>
      <c r="OBN20" s="557"/>
      <c r="OBO20" s="557"/>
      <c r="OBP20" s="557"/>
      <c r="OBQ20" s="557"/>
      <c r="OBR20" s="557"/>
      <c r="OBS20" s="557"/>
      <c r="OBT20" s="557"/>
      <c r="OBU20" s="557"/>
      <c r="OBV20" s="557"/>
      <c r="OBW20" s="557"/>
      <c r="OBX20" s="557"/>
      <c r="OBY20" s="557"/>
      <c r="OBZ20" s="557"/>
      <c r="OCA20" s="661"/>
      <c r="OCB20" s="556"/>
      <c r="OCC20" s="557"/>
      <c r="OCD20" s="557"/>
      <c r="OCE20" s="557"/>
      <c r="OCF20" s="557"/>
      <c r="OCG20" s="557"/>
      <c r="OCH20" s="557"/>
      <c r="OCI20" s="557"/>
      <c r="OCJ20" s="557"/>
      <c r="OCK20" s="557"/>
      <c r="OCL20" s="557"/>
      <c r="OCM20" s="557"/>
      <c r="OCN20" s="557"/>
      <c r="OCO20" s="557"/>
      <c r="OCP20" s="557"/>
      <c r="OCQ20" s="557"/>
      <c r="OCR20" s="557"/>
      <c r="OCS20" s="557"/>
      <c r="OCT20" s="557"/>
      <c r="OCU20" s="661"/>
      <c r="OCV20" s="556"/>
      <c r="OCW20" s="557"/>
      <c r="OCX20" s="557"/>
      <c r="OCY20" s="557"/>
      <c r="OCZ20" s="557"/>
      <c r="ODA20" s="557"/>
      <c r="ODB20" s="557"/>
      <c r="ODC20" s="557"/>
      <c r="ODD20" s="557"/>
      <c r="ODE20" s="557"/>
      <c r="ODF20" s="557"/>
      <c r="ODG20" s="557"/>
      <c r="ODH20" s="557"/>
      <c r="ODI20" s="557"/>
      <c r="ODJ20" s="557"/>
      <c r="ODK20" s="557"/>
      <c r="ODL20" s="557"/>
      <c r="ODM20" s="557"/>
      <c r="ODN20" s="557"/>
      <c r="ODO20" s="661"/>
      <c r="ODP20" s="556"/>
      <c r="ODQ20" s="557"/>
      <c r="ODR20" s="557"/>
      <c r="ODS20" s="557"/>
      <c r="ODT20" s="557"/>
      <c r="ODU20" s="557"/>
      <c r="ODV20" s="557"/>
      <c r="ODW20" s="557"/>
      <c r="ODX20" s="557"/>
      <c r="ODY20" s="557"/>
      <c r="ODZ20" s="557"/>
      <c r="OEA20" s="557"/>
      <c r="OEB20" s="557"/>
      <c r="OEC20" s="557"/>
      <c r="OED20" s="557"/>
      <c r="OEE20" s="557"/>
      <c r="OEF20" s="557"/>
      <c r="OEG20" s="557"/>
      <c r="OEH20" s="557"/>
      <c r="OEI20" s="661"/>
      <c r="OEJ20" s="556"/>
      <c r="OEK20" s="557"/>
      <c r="OEL20" s="557"/>
      <c r="OEM20" s="557"/>
      <c r="OEN20" s="557"/>
      <c r="OEO20" s="557"/>
      <c r="OEP20" s="557"/>
      <c r="OEQ20" s="557"/>
      <c r="OER20" s="557"/>
      <c r="OES20" s="557"/>
      <c r="OET20" s="557"/>
      <c r="OEU20" s="557"/>
      <c r="OEV20" s="557"/>
      <c r="OEW20" s="557"/>
      <c r="OEX20" s="557"/>
      <c r="OEY20" s="557"/>
      <c r="OEZ20" s="557"/>
      <c r="OFA20" s="557"/>
      <c r="OFB20" s="557"/>
      <c r="OFC20" s="661"/>
      <c r="OFD20" s="556"/>
      <c r="OFE20" s="557"/>
      <c r="OFF20" s="557"/>
      <c r="OFG20" s="557"/>
      <c r="OFH20" s="557"/>
      <c r="OFI20" s="557"/>
      <c r="OFJ20" s="557"/>
      <c r="OFK20" s="557"/>
      <c r="OFL20" s="557"/>
      <c r="OFM20" s="557"/>
      <c r="OFN20" s="557"/>
      <c r="OFO20" s="557"/>
      <c r="OFP20" s="557"/>
      <c r="OFQ20" s="557"/>
      <c r="OFR20" s="557"/>
      <c r="OFS20" s="557"/>
      <c r="OFT20" s="557"/>
      <c r="OFU20" s="557"/>
      <c r="OFV20" s="557"/>
      <c r="OFW20" s="661"/>
      <c r="OFX20" s="556"/>
      <c r="OFY20" s="557"/>
      <c r="OFZ20" s="557"/>
      <c r="OGA20" s="557"/>
      <c r="OGB20" s="557"/>
      <c r="OGC20" s="557"/>
      <c r="OGD20" s="557"/>
      <c r="OGE20" s="557"/>
      <c r="OGF20" s="557"/>
      <c r="OGG20" s="557"/>
      <c r="OGH20" s="557"/>
      <c r="OGI20" s="557"/>
      <c r="OGJ20" s="557"/>
      <c r="OGK20" s="557"/>
      <c r="OGL20" s="557"/>
      <c r="OGM20" s="557"/>
      <c r="OGN20" s="557"/>
      <c r="OGO20" s="557"/>
      <c r="OGP20" s="557"/>
      <c r="OGQ20" s="661"/>
      <c r="OGR20" s="556"/>
      <c r="OGS20" s="557"/>
      <c r="OGT20" s="557"/>
      <c r="OGU20" s="557"/>
      <c r="OGV20" s="557"/>
      <c r="OGW20" s="557"/>
      <c r="OGX20" s="557"/>
      <c r="OGY20" s="557"/>
      <c r="OGZ20" s="557"/>
      <c r="OHA20" s="557"/>
      <c r="OHB20" s="557"/>
      <c r="OHC20" s="557"/>
      <c r="OHD20" s="557"/>
      <c r="OHE20" s="557"/>
      <c r="OHF20" s="557"/>
      <c r="OHG20" s="557"/>
      <c r="OHH20" s="557"/>
      <c r="OHI20" s="557"/>
      <c r="OHJ20" s="557"/>
      <c r="OHK20" s="661"/>
      <c r="OHL20" s="556"/>
      <c r="OHM20" s="557"/>
      <c r="OHN20" s="557"/>
      <c r="OHO20" s="557"/>
      <c r="OHP20" s="557"/>
      <c r="OHQ20" s="557"/>
      <c r="OHR20" s="557"/>
      <c r="OHS20" s="557"/>
      <c r="OHT20" s="557"/>
      <c r="OHU20" s="557"/>
      <c r="OHV20" s="557"/>
      <c r="OHW20" s="557"/>
      <c r="OHX20" s="557"/>
      <c r="OHY20" s="557"/>
      <c r="OHZ20" s="557"/>
      <c r="OIA20" s="557"/>
      <c r="OIB20" s="557"/>
      <c r="OIC20" s="557"/>
      <c r="OID20" s="557"/>
      <c r="OIE20" s="661"/>
      <c r="OIF20" s="556"/>
      <c r="OIG20" s="557"/>
      <c r="OIH20" s="557"/>
      <c r="OII20" s="557"/>
      <c r="OIJ20" s="557"/>
      <c r="OIK20" s="557"/>
      <c r="OIL20" s="557"/>
      <c r="OIM20" s="557"/>
      <c r="OIN20" s="557"/>
      <c r="OIO20" s="557"/>
      <c r="OIP20" s="557"/>
      <c r="OIQ20" s="557"/>
      <c r="OIR20" s="557"/>
      <c r="OIS20" s="557"/>
      <c r="OIT20" s="557"/>
      <c r="OIU20" s="557"/>
      <c r="OIV20" s="557"/>
      <c r="OIW20" s="557"/>
      <c r="OIX20" s="557"/>
      <c r="OIY20" s="661"/>
      <c r="OIZ20" s="556"/>
      <c r="OJA20" s="557"/>
      <c r="OJB20" s="557"/>
      <c r="OJC20" s="557"/>
      <c r="OJD20" s="557"/>
      <c r="OJE20" s="557"/>
      <c r="OJF20" s="557"/>
      <c r="OJG20" s="557"/>
      <c r="OJH20" s="557"/>
      <c r="OJI20" s="557"/>
      <c r="OJJ20" s="557"/>
      <c r="OJK20" s="557"/>
      <c r="OJL20" s="557"/>
      <c r="OJM20" s="557"/>
      <c r="OJN20" s="557"/>
      <c r="OJO20" s="557"/>
      <c r="OJP20" s="557"/>
      <c r="OJQ20" s="557"/>
      <c r="OJR20" s="557"/>
      <c r="OJS20" s="661"/>
      <c r="OJT20" s="556"/>
      <c r="OJU20" s="557"/>
      <c r="OJV20" s="557"/>
      <c r="OJW20" s="557"/>
      <c r="OJX20" s="557"/>
      <c r="OJY20" s="557"/>
      <c r="OJZ20" s="557"/>
      <c r="OKA20" s="557"/>
      <c r="OKB20" s="557"/>
      <c r="OKC20" s="557"/>
      <c r="OKD20" s="557"/>
      <c r="OKE20" s="557"/>
      <c r="OKF20" s="557"/>
      <c r="OKG20" s="557"/>
      <c r="OKH20" s="557"/>
      <c r="OKI20" s="557"/>
      <c r="OKJ20" s="557"/>
      <c r="OKK20" s="557"/>
      <c r="OKL20" s="557"/>
      <c r="OKM20" s="661"/>
      <c r="OKN20" s="556"/>
      <c r="OKO20" s="557"/>
      <c r="OKP20" s="557"/>
      <c r="OKQ20" s="557"/>
      <c r="OKR20" s="557"/>
      <c r="OKS20" s="557"/>
      <c r="OKT20" s="557"/>
      <c r="OKU20" s="557"/>
      <c r="OKV20" s="557"/>
      <c r="OKW20" s="557"/>
      <c r="OKX20" s="557"/>
      <c r="OKY20" s="557"/>
      <c r="OKZ20" s="557"/>
      <c r="OLA20" s="557"/>
      <c r="OLB20" s="557"/>
      <c r="OLC20" s="557"/>
      <c r="OLD20" s="557"/>
      <c r="OLE20" s="557"/>
      <c r="OLF20" s="557"/>
      <c r="OLG20" s="661"/>
      <c r="OLH20" s="556"/>
      <c r="OLI20" s="557"/>
      <c r="OLJ20" s="557"/>
      <c r="OLK20" s="557"/>
      <c r="OLL20" s="557"/>
      <c r="OLM20" s="557"/>
      <c r="OLN20" s="557"/>
      <c r="OLO20" s="557"/>
      <c r="OLP20" s="557"/>
      <c r="OLQ20" s="557"/>
      <c r="OLR20" s="557"/>
      <c r="OLS20" s="557"/>
      <c r="OLT20" s="557"/>
      <c r="OLU20" s="557"/>
      <c r="OLV20" s="557"/>
      <c r="OLW20" s="557"/>
      <c r="OLX20" s="557"/>
      <c r="OLY20" s="557"/>
      <c r="OLZ20" s="557"/>
      <c r="OMA20" s="661"/>
      <c r="OMB20" s="556"/>
      <c r="OMC20" s="557"/>
      <c r="OMD20" s="557"/>
      <c r="OME20" s="557"/>
      <c r="OMF20" s="557"/>
      <c r="OMG20" s="557"/>
      <c r="OMH20" s="557"/>
      <c r="OMI20" s="557"/>
      <c r="OMJ20" s="557"/>
      <c r="OMK20" s="557"/>
      <c r="OML20" s="557"/>
      <c r="OMM20" s="557"/>
      <c r="OMN20" s="557"/>
      <c r="OMO20" s="557"/>
      <c r="OMP20" s="557"/>
      <c r="OMQ20" s="557"/>
      <c r="OMR20" s="557"/>
      <c r="OMS20" s="557"/>
      <c r="OMT20" s="557"/>
      <c r="OMU20" s="661"/>
      <c r="OMV20" s="556"/>
      <c r="OMW20" s="557"/>
      <c r="OMX20" s="557"/>
      <c r="OMY20" s="557"/>
      <c r="OMZ20" s="557"/>
      <c r="ONA20" s="557"/>
      <c r="ONB20" s="557"/>
      <c r="ONC20" s="557"/>
      <c r="OND20" s="557"/>
      <c r="ONE20" s="557"/>
      <c r="ONF20" s="557"/>
      <c r="ONG20" s="557"/>
      <c r="ONH20" s="557"/>
      <c r="ONI20" s="557"/>
      <c r="ONJ20" s="557"/>
      <c r="ONK20" s="557"/>
      <c r="ONL20" s="557"/>
      <c r="ONM20" s="557"/>
      <c r="ONN20" s="557"/>
      <c r="ONO20" s="661"/>
      <c r="ONP20" s="556"/>
      <c r="ONQ20" s="557"/>
      <c r="ONR20" s="557"/>
      <c r="ONS20" s="557"/>
      <c r="ONT20" s="557"/>
      <c r="ONU20" s="557"/>
      <c r="ONV20" s="557"/>
      <c r="ONW20" s="557"/>
      <c r="ONX20" s="557"/>
      <c r="ONY20" s="557"/>
      <c r="ONZ20" s="557"/>
      <c r="OOA20" s="557"/>
      <c r="OOB20" s="557"/>
      <c r="OOC20" s="557"/>
      <c r="OOD20" s="557"/>
      <c r="OOE20" s="557"/>
      <c r="OOF20" s="557"/>
      <c r="OOG20" s="557"/>
      <c r="OOH20" s="557"/>
      <c r="OOI20" s="661"/>
      <c r="OOJ20" s="556"/>
      <c r="OOK20" s="557"/>
      <c r="OOL20" s="557"/>
      <c r="OOM20" s="557"/>
      <c r="OON20" s="557"/>
      <c r="OOO20" s="557"/>
      <c r="OOP20" s="557"/>
      <c r="OOQ20" s="557"/>
      <c r="OOR20" s="557"/>
      <c r="OOS20" s="557"/>
      <c r="OOT20" s="557"/>
      <c r="OOU20" s="557"/>
      <c r="OOV20" s="557"/>
      <c r="OOW20" s="557"/>
      <c r="OOX20" s="557"/>
      <c r="OOY20" s="557"/>
      <c r="OOZ20" s="557"/>
      <c r="OPA20" s="557"/>
      <c r="OPB20" s="557"/>
      <c r="OPC20" s="661"/>
      <c r="OPD20" s="556"/>
      <c r="OPE20" s="557"/>
      <c r="OPF20" s="557"/>
      <c r="OPG20" s="557"/>
      <c r="OPH20" s="557"/>
      <c r="OPI20" s="557"/>
      <c r="OPJ20" s="557"/>
      <c r="OPK20" s="557"/>
      <c r="OPL20" s="557"/>
      <c r="OPM20" s="557"/>
      <c r="OPN20" s="557"/>
      <c r="OPO20" s="557"/>
      <c r="OPP20" s="557"/>
      <c r="OPQ20" s="557"/>
      <c r="OPR20" s="557"/>
      <c r="OPS20" s="557"/>
      <c r="OPT20" s="557"/>
      <c r="OPU20" s="557"/>
      <c r="OPV20" s="557"/>
      <c r="OPW20" s="661"/>
      <c r="OPX20" s="556"/>
      <c r="OPY20" s="557"/>
      <c r="OPZ20" s="557"/>
      <c r="OQA20" s="557"/>
      <c r="OQB20" s="557"/>
      <c r="OQC20" s="557"/>
      <c r="OQD20" s="557"/>
      <c r="OQE20" s="557"/>
      <c r="OQF20" s="557"/>
      <c r="OQG20" s="557"/>
      <c r="OQH20" s="557"/>
      <c r="OQI20" s="557"/>
      <c r="OQJ20" s="557"/>
      <c r="OQK20" s="557"/>
      <c r="OQL20" s="557"/>
      <c r="OQM20" s="557"/>
      <c r="OQN20" s="557"/>
      <c r="OQO20" s="557"/>
      <c r="OQP20" s="557"/>
      <c r="OQQ20" s="661"/>
      <c r="OQR20" s="556"/>
      <c r="OQS20" s="557"/>
      <c r="OQT20" s="557"/>
      <c r="OQU20" s="557"/>
      <c r="OQV20" s="557"/>
      <c r="OQW20" s="557"/>
      <c r="OQX20" s="557"/>
      <c r="OQY20" s="557"/>
      <c r="OQZ20" s="557"/>
      <c r="ORA20" s="557"/>
      <c r="ORB20" s="557"/>
      <c r="ORC20" s="557"/>
      <c r="ORD20" s="557"/>
      <c r="ORE20" s="557"/>
      <c r="ORF20" s="557"/>
      <c r="ORG20" s="557"/>
      <c r="ORH20" s="557"/>
      <c r="ORI20" s="557"/>
      <c r="ORJ20" s="557"/>
      <c r="ORK20" s="661"/>
      <c r="ORL20" s="556"/>
      <c r="ORM20" s="557"/>
      <c r="ORN20" s="557"/>
      <c r="ORO20" s="557"/>
      <c r="ORP20" s="557"/>
      <c r="ORQ20" s="557"/>
      <c r="ORR20" s="557"/>
      <c r="ORS20" s="557"/>
      <c r="ORT20" s="557"/>
      <c r="ORU20" s="557"/>
      <c r="ORV20" s="557"/>
      <c r="ORW20" s="557"/>
      <c r="ORX20" s="557"/>
      <c r="ORY20" s="557"/>
      <c r="ORZ20" s="557"/>
      <c r="OSA20" s="557"/>
      <c r="OSB20" s="557"/>
      <c r="OSC20" s="557"/>
      <c r="OSD20" s="557"/>
      <c r="OSE20" s="661"/>
      <c r="OSF20" s="556"/>
      <c r="OSG20" s="557"/>
      <c r="OSH20" s="557"/>
      <c r="OSI20" s="557"/>
      <c r="OSJ20" s="557"/>
      <c r="OSK20" s="557"/>
      <c r="OSL20" s="557"/>
      <c r="OSM20" s="557"/>
      <c r="OSN20" s="557"/>
      <c r="OSO20" s="557"/>
      <c r="OSP20" s="557"/>
      <c r="OSQ20" s="557"/>
      <c r="OSR20" s="557"/>
      <c r="OSS20" s="557"/>
      <c r="OST20" s="557"/>
      <c r="OSU20" s="557"/>
      <c r="OSV20" s="557"/>
      <c r="OSW20" s="557"/>
      <c r="OSX20" s="557"/>
      <c r="OSY20" s="661"/>
      <c r="OSZ20" s="556"/>
      <c r="OTA20" s="557"/>
      <c r="OTB20" s="557"/>
      <c r="OTC20" s="557"/>
      <c r="OTD20" s="557"/>
      <c r="OTE20" s="557"/>
      <c r="OTF20" s="557"/>
      <c r="OTG20" s="557"/>
      <c r="OTH20" s="557"/>
      <c r="OTI20" s="557"/>
      <c r="OTJ20" s="557"/>
      <c r="OTK20" s="557"/>
      <c r="OTL20" s="557"/>
      <c r="OTM20" s="557"/>
      <c r="OTN20" s="557"/>
      <c r="OTO20" s="557"/>
      <c r="OTP20" s="557"/>
      <c r="OTQ20" s="557"/>
      <c r="OTR20" s="557"/>
      <c r="OTS20" s="661"/>
      <c r="OTT20" s="556"/>
      <c r="OTU20" s="557"/>
      <c r="OTV20" s="557"/>
      <c r="OTW20" s="557"/>
      <c r="OTX20" s="557"/>
      <c r="OTY20" s="557"/>
      <c r="OTZ20" s="557"/>
      <c r="OUA20" s="557"/>
      <c r="OUB20" s="557"/>
      <c r="OUC20" s="557"/>
      <c r="OUD20" s="557"/>
      <c r="OUE20" s="557"/>
      <c r="OUF20" s="557"/>
      <c r="OUG20" s="557"/>
      <c r="OUH20" s="557"/>
      <c r="OUI20" s="557"/>
      <c r="OUJ20" s="557"/>
      <c r="OUK20" s="557"/>
      <c r="OUL20" s="557"/>
      <c r="OUM20" s="661"/>
      <c r="OUN20" s="556"/>
      <c r="OUO20" s="557"/>
      <c r="OUP20" s="557"/>
      <c r="OUQ20" s="557"/>
      <c r="OUR20" s="557"/>
      <c r="OUS20" s="557"/>
      <c r="OUT20" s="557"/>
      <c r="OUU20" s="557"/>
      <c r="OUV20" s="557"/>
      <c r="OUW20" s="557"/>
      <c r="OUX20" s="557"/>
      <c r="OUY20" s="557"/>
      <c r="OUZ20" s="557"/>
      <c r="OVA20" s="557"/>
      <c r="OVB20" s="557"/>
      <c r="OVC20" s="557"/>
      <c r="OVD20" s="557"/>
      <c r="OVE20" s="557"/>
      <c r="OVF20" s="557"/>
      <c r="OVG20" s="661"/>
      <c r="OVH20" s="556"/>
      <c r="OVI20" s="557"/>
      <c r="OVJ20" s="557"/>
      <c r="OVK20" s="557"/>
      <c r="OVL20" s="557"/>
      <c r="OVM20" s="557"/>
      <c r="OVN20" s="557"/>
      <c r="OVO20" s="557"/>
      <c r="OVP20" s="557"/>
      <c r="OVQ20" s="557"/>
      <c r="OVR20" s="557"/>
      <c r="OVS20" s="557"/>
      <c r="OVT20" s="557"/>
      <c r="OVU20" s="557"/>
      <c r="OVV20" s="557"/>
      <c r="OVW20" s="557"/>
      <c r="OVX20" s="557"/>
      <c r="OVY20" s="557"/>
      <c r="OVZ20" s="557"/>
      <c r="OWA20" s="661"/>
      <c r="OWB20" s="556"/>
      <c r="OWC20" s="557"/>
      <c r="OWD20" s="557"/>
      <c r="OWE20" s="557"/>
      <c r="OWF20" s="557"/>
      <c r="OWG20" s="557"/>
      <c r="OWH20" s="557"/>
      <c r="OWI20" s="557"/>
      <c r="OWJ20" s="557"/>
      <c r="OWK20" s="557"/>
      <c r="OWL20" s="557"/>
      <c r="OWM20" s="557"/>
      <c r="OWN20" s="557"/>
      <c r="OWO20" s="557"/>
      <c r="OWP20" s="557"/>
      <c r="OWQ20" s="557"/>
      <c r="OWR20" s="557"/>
      <c r="OWS20" s="557"/>
      <c r="OWT20" s="557"/>
      <c r="OWU20" s="661"/>
      <c r="OWV20" s="556"/>
      <c r="OWW20" s="557"/>
      <c r="OWX20" s="557"/>
      <c r="OWY20" s="557"/>
      <c r="OWZ20" s="557"/>
      <c r="OXA20" s="557"/>
      <c r="OXB20" s="557"/>
      <c r="OXC20" s="557"/>
      <c r="OXD20" s="557"/>
      <c r="OXE20" s="557"/>
      <c r="OXF20" s="557"/>
      <c r="OXG20" s="557"/>
      <c r="OXH20" s="557"/>
      <c r="OXI20" s="557"/>
      <c r="OXJ20" s="557"/>
      <c r="OXK20" s="557"/>
      <c r="OXL20" s="557"/>
      <c r="OXM20" s="557"/>
      <c r="OXN20" s="557"/>
      <c r="OXO20" s="661"/>
      <c r="OXP20" s="556"/>
      <c r="OXQ20" s="557"/>
      <c r="OXR20" s="557"/>
      <c r="OXS20" s="557"/>
      <c r="OXT20" s="557"/>
      <c r="OXU20" s="557"/>
      <c r="OXV20" s="557"/>
      <c r="OXW20" s="557"/>
      <c r="OXX20" s="557"/>
      <c r="OXY20" s="557"/>
      <c r="OXZ20" s="557"/>
      <c r="OYA20" s="557"/>
      <c r="OYB20" s="557"/>
      <c r="OYC20" s="557"/>
      <c r="OYD20" s="557"/>
      <c r="OYE20" s="557"/>
      <c r="OYF20" s="557"/>
      <c r="OYG20" s="557"/>
      <c r="OYH20" s="557"/>
      <c r="OYI20" s="661"/>
      <c r="OYJ20" s="556"/>
      <c r="OYK20" s="557"/>
      <c r="OYL20" s="557"/>
      <c r="OYM20" s="557"/>
      <c r="OYN20" s="557"/>
      <c r="OYO20" s="557"/>
      <c r="OYP20" s="557"/>
      <c r="OYQ20" s="557"/>
      <c r="OYR20" s="557"/>
      <c r="OYS20" s="557"/>
      <c r="OYT20" s="557"/>
      <c r="OYU20" s="557"/>
      <c r="OYV20" s="557"/>
      <c r="OYW20" s="557"/>
      <c r="OYX20" s="557"/>
      <c r="OYY20" s="557"/>
      <c r="OYZ20" s="557"/>
      <c r="OZA20" s="557"/>
      <c r="OZB20" s="557"/>
      <c r="OZC20" s="661"/>
      <c r="OZD20" s="556"/>
      <c r="OZE20" s="557"/>
      <c r="OZF20" s="557"/>
      <c r="OZG20" s="557"/>
      <c r="OZH20" s="557"/>
      <c r="OZI20" s="557"/>
      <c r="OZJ20" s="557"/>
      <c r="OZK20" s="557"/>
      <c r="OZL20" s="557"/>
      <c r="OZM20" s="557"/>
      <c r="OZN20" s="557"/>
      <c r="OZO20" s="557"/>
      <c r="OZP20" s="557"/>
      <c r="OZQ20" s="557"/>
      <c r="OZR20" s="557"/>
      <c r="OZS20" s="557"/>
      <c r="OZT20" s="557"/>
      <c r="OZU20" s="557"/>
      <c r="OZV20" s="557"/>
      <c r="OZW20" s="661"/>
      <c r="OZX20" s="556"/>
      <c r="OZY20" s="557"/>
      <c r="OZZ20" s="557"/>
      <c r="PAA20" s="557"/>
      <c r="PAB20" s="557"/>
      <c r="PAC20" s="557"/>
      <c r="PAD20" s="557"/>
      <c r="PAE20" s="557"/>
      <c r="PAF20" s="557"/>
      <c r="PAG20" s="557"/>
      <c r="PAH20" s="557"/>
      <c r="PAI20" s="557"/>
      <c r="PAJ20" s="557"/>
      <c r="PAK20" s="557"/>
      <c r="PAL20" s="557"/>
      <c r="PAM20" s="557"/>
      <c r="PAN20" s="557"/>
      <c r="PAO20" s="557"/>
      <c r="PAP20" s="557"/>
      <c r="PAQ20" s="661"/>
      <c r="PAR20" s="556"/>
      <c r="PAS20" s="557"/>
      <c r="PAT20" s="557"/>
      <c r="PAU20" s="557"/>
      <c r="PAV20" s="557"/>
      <c r="PAW20" s="557"/>
      <c r="PAX20" s="557"/>
      <c r="PAY20" s="557"/>
      <c r="PAZ20" s="557"/>
      <c r="PBA20" s="557"/>
      <c r="PBB20" s="557"/>
      <c r="PBC20" s="557"/>
      <c r="PBD20" s="557"/>
      <c r="PBE20" s="557"/>
      <c r="PBF20" s="557"/>
      <c r="PBG20" s="557"/>
      <c r="PBH20" s="557"/>
      <c r="PBI20" s="557"/>
      <c r="PBJ20" s="557"/>
      <c r="PBK20" s="661"/>
      <c r="PBL20" s="556"/>
      <c r="PBM20" s="557"/>
      <c r="PBN20" s="557"/>
      <c r="PBO20" s="557"/>
      <c r="PBP20" s="557"/>
      <c r="PBQ20" s="557"/>
      <c r="PBR20" s="557"/>
      <c r="PBS20" s="557"/>
      <c r="PBT20" s="557"/>
      <c r="PBU20" s="557"/>
      <c r="PBV20" s="557"/>
      <c r="PBW20" s="557"/>
      <c r="PBX20" s="557"/>
      <c r="PBY20" s="557"/>
      <c r="PBZ20" s="557"/>
      <c r="PCA20" s="557"/>
      <c r="PCB20" s="557"/>
      <c r="PCC20" s="557"/>
      <c r="PCD20" s="557"/>
      <c r="PCE20" s="661"/>
      <c r="PCF20" s="556"/>
      <c r="PCG20" s="557"/>
      <c r="PCH20" s="557"/>
      <c r="PCI20" s="557"/>
      <c r="PCJ20" s="557"/>
      <c r="PCK20" s="557"/>
      <c r="PCL20" s="557"/>
      <c r="PCM20" s="557"/>
      <c r="PCN20" s="557"/>
      <c r="PCO20" s="557"/>
      <c r="PCP20" s="557"/>
      <c r="PCQ20" s="557"/>
      <c r="PCR20" s="557"/>
      <c r="PCS20" s="557"/>
      <c r="PCT20" s="557"/>
      <c r="PCU20" s="557"/>
      <c r="PCV20" s="557"/>
      <c r="PCW20" s="557"/>
      <c r="PCX20" s="557"/>
      <c r="PCY20" s="661"/>
      <c r="PCZ20" s="556"/>
      <c r="PDA20" s="557"/>
      <c r="PDB20" s="557"/>
      <c r="PDC20" s="557"/>
      <c r="PDD20" s="557"/>
      <c r="PDE20" s="557"/>
      <c r="PDF20" s="557"/>
      <c r="PDG20" s="557"/>
      <c r="PDH20" s="557"/>
      <c r="PDI20" s="557"/>
      <c r="PDJ20" s="557"/>
      <c r="PDK20" s="557"/>
      <c r="PDL20" s="557"/>
      <c r="PDM20" s="557"/>
      <c r="PDN20" s="557"/>
      <c r="PDO20" s="557"/>
      <c r="PDP20" s="557"/>
      <c r="PDQ20" s="557"/>
      <c r="PDR20" s="557"/>
      <c r="PDS20" s="661"/>
      <c r="PDT20" s="556"/>
      <c r="PDU20" s="557"/>
      <c r="PDV20" s="557"/>
      <c r="PDW20" s="557"/>
      <c r="PDX20" s="557"/>
      <c r="PDY20" s="557"/>
      <c r="PDZ20" s="557"/>
      <c r="PEA20" s="557"/>
      <c r="PEB20" s="557"/>
      <c r="PEC20" s="557"/>
      <c r="PED20" s="557"/>
      <c r="PEE20" s="557"/>
      <c r="PEF20" s="557"/>
      <c r="PEG20" s="557"/>
      <c r="PEH20" s="557"/>
      <c r="PEI20" s="557"/>
      <c r="PEJ20" s="557"/>
      <c r="PEK20" s="557"/>
      <c r="PEL20" s="557"/>
      <c r="PEM20" s="661"/>
      <c r="PEN20" s="556"/>
      <c r="PEO20" s="557"/>
      <c r="PEP20" s="557"/>
      <c r="PEQ20" s="557"/>
      <c r="PER20" s="557"/>
      <c r="PES20" s="557"/>
      <c r="PET20" s="557"/>
      <c r="PEU20" s="557"/>
      <c r="PEV20" s="557"/>
      <c r="PEW20" s="557"/>
      <c r="PEX20" s="557"/>
      <c r="PEY20" s="557"/>
      <c r="PEZ20" s="557"/>
      <c r="PFA20" s="557"/>
      <c r="PFB20" s="557"/>
      <c r="PFC20" s="557"/>
      <c r="PFD20" s="557"/>
      <c r="PFE20" s="557"/>
      <c r="PFF20" s="557"/>
      <c r="PFG20" s="661"/>
      <c r="PFH20" s="556"/>
      <c r="PFI20" s="557"/>
      <c r="PFJ20" s="557"/>
      <c r="PFK20" s="557"/>
      <c r="PFL20" s="557"/>
      <c r="PFM20" s="557"/>
      <c r="PFN20" s="557"/>
      <c r="PFO20" s="557"/>
      <c r="PFP20" s="557"/>
      <c r="PFQ20" s="557"/>
      <c r="PFR20" s="557"/>
      <c r="PFS20" s="557"/>
      <c r="PFT20" s="557"/>
      <c r="PFU20" s="557"/>
      <c r="PFV20" s="557"/>
      <c r="PFW20" s="557"/>
      <c r="PFX20" s="557"/>
      <c r="PFY20" s="557"/>
      <c r="PFZ20" s="557"/>
      <c r="PGA20" s="661"/>
      <c r="PGB20" s="556"/>
      <c r="PGC20" s="557"/>
      <c r="PGD20" s="557"/>
      <c r="PGE20" s="557"/>
      <c r="PGF20" s="557"/>
      <c r="PGG20" s="557"/>
      <c r="PGH20" s="557"/>
      <c r="PGI20" s="557"/>
      <c r="PGJ20" s="557"/>
      <c r="PGK20" s="557"/>
      <c r="PGL20" s="557"/>
      <c r="PGM20" s="557"/>
      <c r="PGN20" s="557"/>
      <c r="PGO20" s="557"/>
      <c r="PGP20" s="557"/>
      <c r="PGQ20" s="557"/>
      <c r="PGR20" s="557"/>
      <c r="PGS20" s="557"/>
      <c r="PGT20" s="557"/>
      <c r="PGU20" s="661"/>
      <c r="PGV20" s="556"/>
      <c r="PGW20" s="557"/>
      <c r="PGX20" s="557"/>
      <c r="PGY20" s="557"/>
      <c r="PGZ20" s="557"/>
      <c r="PHA20" s="557"/>
      <c r="PHB20" s="557"/>
      <c r="PHC20" s="557"/>
      <c r="PHD20" s="557"/>
      <c r="PHE20" s="557"/>
      <c r="PHF20" s="557"/>
      <c r="PHG20" s="557"/>
      <c r="PHH20" s="557"/>
      <c r="PHI20" s="557"/>
      <c r="PHJ20" s="557"/>
      <c r="PHK20" s="557"/>
      <c r="PHL20" s="557"/>
      <c r="PHM20" s="557"/>
      <c r="PHN20" s="557"/>
      <c r="PHO20" s="661"/>
      <c r="PHP20" s="556"/>
      <c r="PHQ20" s="557"/>
      <c r="PHR20" s="557"/>
      <c r="PHS20" s="557"/>
      <c r="PHT20" s="557"/>
      <c r="PHU20" s="557"/>
      <c r="PHV20" s="557"/>
      <c r="PHW20" s="557"/>
      <c r="PHX20" s="557"/>
      <c r="PHY20" s="557"/>
      <c r="PHZ20" s="557"/>
      <c r="PIA20" s="557"/>
      <c r="PIB20" s="557"/>
      <c r="PIC20" s="557"/>
      <c r="PID20" s="557"/>
      <c r="PIE20" s="557"/>
      <c r="PIF20" s="557"/>
      <c r="PIG20" s="557"/>
      <c r="PIH20" s="557"/>
      <c r="PII20" s="661"/>
      <c r="PIJ20" s="556"/>
      <c r="PIK20" s="557"/>
      <c r="PIL20" s="557"/>
      <c r="PIM20" s="557"/>
      <c r="PIN20" s="557"/>
      <c r="PIO20" s="557"/>
      <c r="PIP20" s="557"/>
      <c r="PIQ20" s="557"/>
      <c r="PIR20" s="557"/>
      <c r="PIS20" s="557"/>
      <c r="PIT20" s="557"/>
      <c r="PIU20" s="557"/>
      <c r="PIV20" s="557"/>
      <c r="PIW20" s="557"/>
      <c r="PIX20" s="557"/>
      <c r="PIY20" s="557"/>
      <c r="PIZ20" s="557"/>
      <c r="PJA20" s="557"/>
      <c r="PJB20" s="557"/>
      <c r="PJC20" s="661"/>
      <c r="PJD20" s="556"/>
      <c r="PJE20" s="557"/>
      <c r="PJF20" s="557"/>
      <c r="PJG20" s="557"/>
      <c r="PJH20" s="557"/>
      <c r="PJI20" s="557"/>
      <c r="PJJ20" s="557"/>
      <c r="PJK20" s="557"/>
      <c r="PJL20" s="557"/>
      <c r="PJM20" s="557"/>
      <c r="PJN20" s="557"/>
      <c r="PJO20" s="557"/>
      <c r="PJP20" s="557"/>
      <c r="PJQ20" s="557"/>
      <c r="PJR20" s="557"/>
      <c r="PJS20" s="557"/>
      <c r="PJT20" s="557"/>
      <c r="PJU20" s="557"/>
      <c r="PJV20" s="557"/>
      <c r="PJW20" s="661"/>
      <c r="PJX20" s="556"/>
      <c r="PJY20" s="557"/>
      <c r="PJZ20" s="557"/>
      <c r="PKA20" s="557"/>
      <c r="PKB20" s="557"/>
      <c r="PKC20" s="557"/>
      <c r="PKD20" s="557"/>
      <c r="PKE20" s="557"/>
      <c r="PKF20" s="557"/>
      <c r="PKG20" s="557"/>
      <c r="PKH20" s="557"/>
      <c r="PKI20" s="557"/>
      <c r="PKJ20" s="557"/>
      <c r="PKK20" s="557"/>
      <c r="PKL20" s="557"/>
      <c r="PKM20" s="557"/>
      <c r="PKN20" s="557"/>
      <c r="PKO20" s="557"/>
      <c r="PKP20" s="557"/>
      <c r="PKQ20" s="661"/>
      <c r="PKR20" s="556"/>
      <c r="PKS20" s="557"/>
      <c r="PKT20" s="557"/>
      <c r="PKU20" s="557"/>
      <c r="PKV20" s="557"/>
      <c r="PKW20" s="557"/>
      <c r="PKX20" s="557"/>
      <c r="PKY20" s="557"/>
      <c r="PKZ20" s="557"/>
      <c r="PLA20" s="557"/>
      <c r="PLB20" s="557"/>
      <c r="PLC20" s="557"/>
      <c r="PLD20" s="557"/>
      <c r="PLE20" s="557"/>
      <c r="PLF20" s="557"/>
      <c r="PLG20" s="557"/>
      <c r="PLH20" s="557"/>
      <c r="PLI20" s="557"/>
      <c r="PLJ20" s="557"/>
      <c r="PLK20" s="661"/>
      <c r="PLL20" s="556"/>
      <c r="PLM20" s="557"/>
      <c r="PLN20" s="557"/>
      <c r="PLO20" s="557"/>
      <c r="PLP20" s="557"/>
      <c r="PLQ20" s="557"/>
      <c r="PLR20" s="557"/>
      <c r="PLS20" s="557"/>
      <c r="PLT20" s="557"/>
      <c r="PLU20" s="557"/>
      <c r="PLV20" s="557"/>
      <c r="PLW20" s="557"/>
      <c r="PLX20" s="557"/>
      <c r="PLY20" s="557"/>
      <c r="PLZ20" s="557"/>
      <c r="PMA20" s="557"/>
      <c r="PMB20" s="557"/>
      <c r="PMC20" s="557"/>
      <c r="PMD20" s="557"/>
      <c r="PME20" s="661"/>
      <c r="PMF20" s="556"/>
      <c r="PMG20" s="557"/>
      <c r="PMH20" s="557"/>
      <c r="PMI20" s="557"/>
      <c r="PMJ20" s="557"/>
      <c r="PMK20" s="557"/>
      <c r="PML20" s="557"/>
      <c r="PMM20" s="557"/>
      <c r="PMN20" s="557"/>
      <c r="PMO20" s="557"/>
      <c r="PMP20" s="557"/>
      <c r="PMQ20" s="557"/>
      <c r="PMR20" s="557"/>
      <c r="PMS20" s="557"/>
      <c r="PMT20" s="557"/>
      <c r="PMU20" s="557"/>
      <c r="PMV20" s="557"/>
      <c r="PMW20" s="557"/>
      <c r="PMX20" s="557"/>
      <c r="PMY20" s="661"/>
      <c r="PMZ20" s="556"/>
      <c r="PNA20" s="557"/>
      <c r="PNB20" s="557"/>
      <c r="PNC20" s="557"/>
      <c r="PND20" s="557"/>
      <c r="PNE20" s="557"/>
      <c r="PNF20" s="557"/>
      <c r="PNG20" s="557"/>
      <c r="PNH20" s="557"/>
      <c r="PNI20" s="557"/>
      <c r="PNJ20" s="557"/>
      <c r="PNK20" s="557"/>
      <c r="PNL20" s="557"/>
      <c r="PNM20" s="557"/>
      <c r="PNN20" s="557"/>
      <c r="PNO20" s="557"/>
      <c r="PNP20" s="557"/>
      <c r="PNQ20" s="557"/>
      <c r="PNR20" s="557"/>
      <c r="PNS20" s="661"/>
      <c r="PNT20" s="556"/>
      <c r="PNU20" s="557"/>
      <c r="PNV20" s="557"/>
      <c r="PNW20" s="557"/>
      <c r="PNX20" s="557"/>
      <c r="PNY20" s="557"/>
      <c r="PNZ20" s="557"/>
      <c r="POA20" s="557"/>
      <c r="POB20" s="557"/>
      <c r="POC20" s="557"/>
      <c r="POD20" s="557"/>
      <c r="POE20" s="557"/>
      <c r="POF20" s="557"/>
      <c r="POG20" s="557"/>
      <c r="POH20" s="557"/>
      <c r="POI20" s="557"/>
      <c r="POJ20" s="557"/>
      <c r="POK20" s="557"/>
      <c r="POL20" s="557"/>
      <c r="POM20" s="661"/>
      <c r="PON20" s="556"/>
      <c r="POO20" s="557"/>
      <c r="POP20" s="557"/>
      <c r="POQ20" s="557"/>
      <c r="POR20" s="557"/>
      <c r="POS20" s="557"/>
      <c r="POT20" s="557"/>
      <c r="POU20" s="557"/>
      <c r="POV20" s="557"/>
      <c r="POW20" s="557"/>
      <c r="POX20" s="557"/>
      <c r="POY20" s="557"/>
      <c r="POZ20" s="557"/>
      <c r="PPA20" s="557"/>
      <c r="PPB20" s="557"/>
      <c r="PPC20" s="557"/>
      <c r="PPD20" s="557"/>
      <c r="PPE20" s="557"/>
      <c r="PPF20" s="557"/>
      <c r="PPG20" s="661"/>
      <c r="PPH20" s="556"/>
      <c r="PPI20" s="557"/>
      <c r="PPJ20" s="557"/>
      <c r="PPK20" s="557"/>
      <c r="PPL20" s="557"/>
      <c r="PPM20" s="557"/>
      <c r="PPN20" s="557"/>
      <c r="PPO20" s="557"/>
      <c r="PPP20" s="557"/>
      <c r="PPQ20" s="557"/>
      <c r="PPR20" s="557"/>
      <c r="PPS20" s="557"/>
      <c r="PPT20" s="557"/>
      <c r="PPU20" s="557"/>
      <c r="PPV20" s="557"/>
      <c r="PPW20" s="557"/>
      <c r="PPX20" s="557"/>
      <c r="PPY20" s="557"/>
      <c r="PPZ20" s="557"/>
      <c r="PQA20" s="661"/>
      <c r="PQB20" s="556"/>
      <c r="PQC20" s="557"/>
      <c r="PQD20" s="557"/>
      <c r="PQE20" s="557"/>
      <c r="PQF20" s="557"/>
      <c r="PQG20" s="557"/>
      <c r="PQH20" s="557"/>
      <c r="PQI20" s="557"/>
      <c r="PQJ20" s="557"/>
      <c r="PQK20" s="557"/>
      <c r="PQL20" s="557"/>
      <c r="PQM20" s="557"/>
      <c r="PQN20" s="557"/>
      <c r="PQO20" s="557"/>
      <c r="PQP20" s="557"/>
      <c r="PQQ20" s="557"/>
      <c r="PQR20" s="557"/>
      <c r="PQS20" s="557"/>
      <c r="PQT20" s="557"/>
      <c r="PQU20" s="661"/>
      <c r="PQV20" s="556"/>
      <c r="PQW20" s="557"/>
      <c r="PQX20" s="557"/>
      <c r="PQY20" s="557"/>
      <c r="PQZ20" s="557"/>
      <c r="PRA20" s="557"/>
      <c r="PRB20" s="557"/>
      <c r="PRC20" s="557"/>
      <c r="PRD20" s="557"/>
      <c r="PRE20" s="557"/>
      <c r="PRF20" s="557"/>
      <c r="PRG20" s="557"/>
      <c r="PRH20" s="557"/>
      <c r="PRI20" s="557"/>
      <c r="PRJ20" s="557"/>
      <c r="PRK20" s="557"/>
      <c r="PRL20" s="557"/>
      <c r="PRM20" s="557"/>
      <c r="PRN20" s="557"/>
      <c r="PRO20" s="661"/>
      <c r="PRP20" s="556"/>
      <c r="PRQ20" s="557"/>
      <c r="PRR20" s="557"/>
      <c r="PRS20" s="557"/>
      <c r="PRT20" s="557"/>
      <c r="PRU20" s="557"/>
      <c r="PRV20" s="557"/>
      <c r="PRW20" s="557"/>
      <c r="PRX20" s="557"/>
      <c r="PRY20" s="557"/>
      <c r="PRZ20" s="557"/>
      <c r="PSA20" s="557"/>
      <c r="PSB20" s="557"/>
      <c r="PSC20" s="557"/>
      <c r="PSD20" s="557"/>
      <c r="PSE20" s="557"/>
      <c r="PSF20" s="557"/>
      <c r="PSG20" s="557"/>
      <c r="PSH20" s="557"/>
      <c r="PSI20" s="661"/>
      <c r="PSJ20" s="556"/>
      <c r="PSK20" s="557"/>
      <c r="PSL20" s="557"/>
      <c r="PSM20" s="557"/>
      <c r="PSN20" s="557"/>
      <c r="PSO20" s="557"/>
      <c r="PSP20" s="557"/>
      <c r="PSQ20" s="557"/>
      <c r="PSR20" s="557"/>
      <c r="PSS20" s="557"/>
      <c r="PST20" s="557"/>
      <c r="PSU20" s="557"/>
      <c r="PSV20" s="557"/>
      <c r="PSW20" s="557"/>
      <c r="PSX20" s="557"/>
      <c r="PSY20" s="557"/>
      <c r="PSZ20" s="557"/>
      <c r="PTA20" s="557"/>
      <c r="PTB20" s="557"/>
      <c r="PTC20" s="661"/>
      <c r="PTD20" s="556"/>
      <c r="PTE20" s="557"/>
      <c r="PTF20" s="557"/>
      <c r="PTG20" s="557"/>
      <c r="PTH20" s="557"/>
      <c r="PTI20" s="557"/>
      <c r="PTJ20" s="557"/>
      <c r="PTK20" s="557"/>
      <c r="PTL20" s="557"/>
      <c r="PTM20" s="557"/>
      <c r="PTN20" s="557"/>
      <c r="PTO20" s="557"/>
      <c r="PTP20" s="557"/>
      <c r="PTQ20" s="557"/>
      <c r="PTR20" s="557"/>
      <c r="PTS20" s="557"/>
      <c r="PTT20" s="557"/>
      <c r="PTU20" s="557"/>
      <c r="PTV20" s="557"/>
      <c r="PTW20" s="661"/>
      <c r="PTX20" s="556"/>
      <c r="PTY20" s="557"/>
      <c r="PTZ20" s="557"/>
      <c r="PUA20" s="557"/>
      <c r="PUB20" s="557"/>
      <c r="PUC20" s="557"/>
      <c r="PUD20" s="557"/>
      <c r="PUE20" s="557"/>
      <c r="PUF20" s="557"/>
      <c r="PUG20" s="557"/>
      <c r="PUH20" s="557"/>
      <c r="PUI20" s="557"/>
      <c r="PUJ20" s="557"/>
      <c r="PUK20" s="557"/>
      <c r="PUL20" s="557"/>
      <c r="PUM20" s="557"/>
      <c r="PUN20" s="557"/>
      <c r="PUO20" s="557"/>
      <c r="PUP20" s="557"/>
      <c r="PUQ20" s="661"/>
      <c r="PUR20" s="556"/>
      <c r="PUS20" s="557"/>
      <c r="PUT20" s="557"/>
      <c r="PUU20" s="557"/>
      <c r="PUV20" s="557"/>
      <c r="PUW20" s="557"/>
      <c r="PUX20" s="557"/>
      <c r="PUY20" s="557"/>
      <c r="PUZ20" s="557"/>
      <c r="PVA20" s="557"/>
      <c r="PVB20" s="557"/>
      <c r="PVC20" s="557"/>
      <c r="PVD20" s="557"/>
      <c r="PVE20" s="557"/>
      <c r="PVF20" s="557"/>
      <c r="PVG20" s="557"/>
      <c r="PVH20" s="557"/>
      <c r="PVI20" s="557"/>
      <c r="PVJ20" s="557"/>
      <c r="PVK20" s="661"/>
      <c r="PVL20" s="556"/>
      <c r="PVM20" s="557"/>
      <c r="PVN20" s="557"/>
      <c r="PVO20" s="557"/>
      <c r="PVP20" s="557"/>
      <c r="PVQ20" s="557"/>
      <c r="PVR20" s="557"/>
      <c r="PVS20" s="557"/>
      <c r="PVT20" s="557"/>
      <c r="PVU20" s="557"/>
      <c r="PVV20" s="557"/>
      <c r="PVW20" s="557"/>
      <c r="PVX20" s="557"/>
      <c r="PVY20" s="557"/>
      <c r="PVZ20" s="557"/>
      <c r="PWA20" s="557"/>
      <c r="PWB20" s="557"/>
      <c r="PWC20" s="557"/>
      <c r="PWD20" s="557"/>
      <c r="PWE20" s="661"/>
      <c r="PWF20" s="556"/>
      <c r="PWG20" s="557"/>
      <c r="PWH20" s="557"/>
      <c r="PWI20" s="557"/>
      <c r="PWJ20" s="557"/>
      <c r="PWK20" s="557"/>
      <c r="PWL20" s="557"/>
      <c r="PWM20" s="557"/>
      <c r="PWN20" s="557"/>
      <c r="PWO20" s="557"/>
      <c r="PWP20" s="557"/>
      <c r="PWQ20" s="557"/>
      <c r="PWR20" s="557"/>
      <c r="PWS20" s="557"/>
      <c r="PWT20" s="557"/>
      <c r="PWU20" s="557"/>
      <c r="PWV20" s="557"/>
      <c r="PWW20" s="557"/>
      <c r="PWX20" s="557"/>
      <c r="PWY20" s="661"/>
      <c r="PWZ20" s="556"/>
      <c r="PXA20" s="557"/>
      <c r="PXB20" s="557"/>
      <c r="PXC20" s="557"/>
      <c r="PXD20" s="557"/>
      <c r="PXE20" s="557"/>
      <c r="PXF20" s="557"/>
      <c r="PXG20" s="557"/>
      <c r="PXH20" s="557"/>
      <c r="PXI20" s="557"/>
      <c r="PXJ20" s="557"/>
      <c r="PXK20" s="557"/>
      <c r="PXL20" s="557"/>
      <c r="PXM20" s="557"/>
      <c r="PXN20" s="557"/>
      <c r="PXO20" s="557"/>
      <c r="PXP20" s="557"/>
      <c r="PXQ20" s="557"/>
      <c r="PXR20" s="557"/>
      <c r="PXS20" s="661"/>
      <c r="PXT20" s="556"/>
      <c r="PXU20" s="557"/>
      <c r="PXV20" s="557"/>
      <c r="PXW20" s="557"/>
      <c r="PXX20" s="557"/>
      <c r="PXY20" s="557"/>
      <c r="PXZ20" s="557"/>
      <c r="PYA20" s="557"/>
      <c r="PYB20" s="557"/>
      <c r="PYC20" s="557"/>
      <c r="PYD20" s="557"/>
      <c r="PYE20" s="557"/>
      <c r="PYF20" s="557"/>
      <c r="PYG20" s="557"/>
      <c r="PYH20" s="557"/>
      <c r="PYI20" s="557"/>
      <c r="PYJ20" s="557"/>
      <c r="PYK20" s="557"/>
      <c r="PYL20" s="557"/>
      <c r="PYM20" s="661"/>
      <c r="PYN20" s="556"/>
      <c r="PYO20" s="557"/>
      <c r="PYP20" s="557"/>
      <c r="PYQ20" s="557"/>
      <c r="PYR20" s="557"/>
      <c r="PYS20" s="557"/>
      <c r="PYT20" s="557"/>
      <c r="PYU20" s="557"/>
      <c r="PYV20" s="557"/>
      <c r="PYW20" s="557"/>
      <c r="PYX20" s="557"/>
      <c r="PYY20" s="557"/>
      <c r="PYZ20" s="557"/>
      <c r="PZA20" s="557"/>
      <c r="PZB20" s="557"/>
      <c r="PZC20" s="557"/>
      <c r="PZD20" s="557"/>
      <c r="PZE20" s="557"/>
      <c r="PZF20" s="557"/>
      <c r="PZG20" s="661"/>
      <c r="PZH20" s="556"/>
      <c r="PZI20" s="557"/>
      <c r="PZJ20" s="557"/>
      <c r="PZK20" s="557"/>
      <c r="PZL20" s="557"/>
      <c r="PZM20" s="557"/>
      <c r="PZN20" s="557"/>
      <c r="PZO20" s="557"/>
      <c r="PZP20" s="557"/>
      <c r="PZQ20" s="557"/>
      <c r="PZR20" s="557"/>
      <c r="PZS20" s="557"/>
      <c r="PZT20" s="557"/>
      <c r="PZU20" s="557"/>
      <c r="PZV20" s="557"/>
      <c r="PZW20" s="557"/>
      <c r="PZX20" s="557"/>
      <c r="PZY20" s="557"/>
      <c r="PZZ20" s="557"/>
      <c r="QAA20" s="661"/>
      <c r="QAB20" s="556"/>
      <c r="QAC20" s="557"/>
      <c r="QAD20" s="557"/>
      <c r="QAE20" s="557"/>
      <c r="QAF20" s="557"/>
      <c r="QAG20" s="557"/>
      <c r="QAH20" s="557"/>
      <c r="QAI20" s="557"/>
      <c r="QAJ20" s="557"/>
      <c r="QAK20" s="557"/>
      <c r="QAL20" s="557"/>
      <c r="QAM20" s="557"/>
      <c r="QAN20" s="557"/>
      <c r="QAO20" s="557"/>
      <c r="QAP20" s="557"/>
      <c r="QAQ20" s="557"/>
      <c r="QAR20" s="557"/>
      <c r="QAS20" s="557"/>
      <c r="QAT20" s="557"/>
      <c r="QAU20" s="661"/>
      <c r="QAV20" s="556"/>
      <c r="QAW20" s="557"/>
      <c r="QAX20" s="557"/>
      <c r="QAY20" s="557"/>
      <c r="QAZ20" s="557"/>
      <c r="QBA20" s="557"/>
      <c r="QBB20" s="557"/>
      <c r="QBC20" s="557"/>
      <c r="QBD20" s="557"/>
      <c r="QBE20" s="557"/>
      <c r="QBF20" s="557"/>
      <c r="QBG20" s="557"/>
      <c r="QBH20" s="557"/>
      <c r="QBI20" s="557"/>
      <c r="QBJ20" s="557"/>
      <c r="QBK20" s="557"/>
      <c r="QBL20" s="557"/>
      <c r="QBM20" s="557"/>
      <c r="QBN20" s="557"/>
      <c r="QBO20" s="661"/>
      <c r="QBP20" s="556"/>
      <c r="QBQ20" s="557"/>
      <c r="QBR20" s="557"/>
      <c r="QBS20" s="557"/>
      <c r="QBT20" s="557"/>
      <c r="QBU20" s="557"/>
      <c r="QBV20" s="557"/>
      <c r="QBW20" s="557"/>
      <c r="QBX20" s="557"/>
      <c r="QBY20" s="557"/>
      <c r="QBZ20" s="557"/>
      <c r="QCA20" s="557"/>
      <c r="QCB20" s="557"/>
      <c r="QCC20" s="557"/>
      <c r="QCD20" s="557"/>
      <c r="QCE20" s="557"/>
      <c r="QCF20" s="557"/>
      <c r="QCG20" s="557"/>
      <c r="QCH20" s="557"/>
      <c r="QCI20" s="661"/>
      <c r="QCJ20" s="556"/>
      <c r="QCK20" s="557"/>
      <c r="QCL20" s="557"/>
      <c r="QCM20" s="557"/>
      <c r="QCN20" s="557"/>
      <c r="QCO20" s="557"/>
      <c r="QCP20" s="557"/>
      <c r="QCQ20" s="557"/>
      <c r="QCR20" s="557"/>
      <c r="QCS20" s="557"/>
      <c r="QCT20" s="557"/>
      <c r="QCU20" s="557"/>
      <c r="QCV20" s="557"/>
      <c r="QCW20" s="557"/>
      <c r="QCX20" s="557"/>
      <c r="QCY20" s="557"/>
      <c r="QCZ20" s="557"/>
      <c r="QDA20" s="557"/>
      <c r="QDB20" s="557"/>
      <c r="QDC20" s="661"/>
      <c r="QDD20" s="556"/>
      <c r="QDE20" s="557"/>
      <c r="QDF20" s="557"/>
      <c r="QDG20" s="557"/>
      <c r="QDH20" s="557"/>
      <c r="QDI20" s="557"/>
      <c r="QDJ20" s="557"/>
      <c r="QDK20" s="557"/>
      <c r="QDL20" s="557"/>
      <c r="QDM20" s="557"/>
      <c r="QDN20" s="557"/>
      <c r="QDO20" s="557"/>
      <c r="QDP20" s="557"/>
      <c r="QDQ20" s="557"/>
      <c r="QDR20" s="557"/>
      <c r="QDS20" s="557"/>
      <c r="QDT20" s="557"/>
      <c r="QDU20" s="557"/>
      <c r="QDV20" s="557"/>
      <c r="QDW20" s="661"/>
      <c r="QDX20" s="556"/>
      <c r="QDY20" s="557"/>
      <c r="QDZ20" s="557"/>
      <c r="QEA20" s="557"/>
      <c r="QEB20" s="557"/>
      <c r="QEC20" s="557"/>
      <c r="QED20" s="557"/>
      <c r="QEE20" s="557"/>
      <c r="QEF20" s="557"/>
      <c r="QEG20" s="557"/>
      <c r="QEH20" s="557"/>
      <c r="QEI20" s="557"/>
      <c r="QEJ20" s="557"/>
      <c r="QEK20" s="557"/>
      <c r="QEL20" s="557"/>
      <c r="QEM20" s="557"/>
      <c r="QEN20" s="557"/>
      <c r="QEO20" s="557"/>
      <c r="QEP20" s="557"/>
      <c r="QEQ20" s="661"/>
      <c r="QER20" s="556"/>
      <c r="QES20" s="557"/>
      <c r="QET20" s="557"/>
      <c r="QEU20" s="557"/>
      <c r="QEV20" s="557"/>
      <c r="QEW20" s="557"/>
      <c r="QEX20" s="557"/>
      <c r="QEY20" s="557"/>
      <c r="QEZ20" s="557"/>
      <c r="QFA20" s="557"/>
      <c r="QFB20" s="557"/>
      <c r="QFC20" s="557"/>
      <c r="QFD20" s="557"/>
      <c r="QFE20" s="557"/>
      <c r="QFF20" s="557"/>
      <c r="QFG20" s="557"/>
      <c r="QFH20" s="557"/>
      <c r="QFI20" s="557"/>
      <c r="QFJ20" s="557"/>
      <c r="QFK20" s="661"/>
      <c r="QFL20" s="556"/>
      <c r="QFM20" s="557"/>
      <c r="QFN20" s="557"/>
      <c r="QFO20" s="557"/>
      <c r="QFP20" s="557"/>
      <c r="QFQ20" s="557"/>
      <c r="QFR20" s="557"/>
      <c r="QFS20" s="557"/>
      <c r="QFT20" s="557"/>
      <c r="QFU20" s="557"/>
      <c r="QFV20" s="557"/>
      <c r="QFW20" s="557"/>
      <c r="QFX20" s="557"/>
      <c r="QFY20" s="557"/>
      <c r="QFZ20" s="557"/>
      <c r="QGA20" s="557"/>
      <c r="QGB20" s="557"/>
      <c r="QGC20" s="557"/>
      <c r="QGD20" s="557"/>
      <c r="QGE20" s="661"/>
      <c r="QGF20" s="556"/>
      <c r="QGG20" s="557"/>
      <c r="QGH20" s="557"/>
      <c r="QGI20" s="557"/>
      <c r="QGJ20" s="557"/>
      <c r="QGK20" s="557"/>
      <c r="QGL20" s="557"/>
      <c r="QGM20" s="557"/>
      <c r="QGN20" s="557"/>
      <c r="QGO20" s="557"/>
      <c r="QGP20" s="557"/>
      <c r="QGQ20" s="557"/>
      <c r="QGR20" s="557"/>
      <c r="QGS20" s="557"/>
      <c r="QGT20" s="557"/>
      <c r="QGU20" s="557"/>
      <c r="QGV20" s="557"/>
      <c r="QGW20" s="557"/>
      <c r="QGX20" s="557"/>
      <c r="QGY20" s="661"/>
      <c r="QGZ20" s="556"/>
      <c r="QHA20" s="557"/>
      <c r="QHB20" s="557"/>
      <c r="QHC20" s="557"/>
      <c r="QHD20" s="557"/>
      <c r="QHE20" s="557"/>
      <c r="QHF20" s="557"/>
      <c r="QHG20" s="557"/>
      <c r="QHH20" s="557"/>
      <c r="QHI20" s="557"/>
      <c r="QHJ20" s="557"/>
      <c r="QHK20" s="557"/>
      <c r="QHL20" s="557"/>
      <c r="QHM20" s="557"/>
      <c r="QHN20" s="557"/>
      <c r="QHO20" s="557"/>
      <c r="QHP20" s="557"/>
      <c r="QHQ20" s="557"/>
      <c r="QHR20" s="557"/>
      <c r="QHS20" s="661"/>
      <c r="QHT20" s="556"/>
      <c r="QHU20" s="557"/>
      <c r="QHV20" s="557"/>
      <c r="QHW20" s="557"/>
      <c r="QHX20" s="557"/>
      <c r="QHY20" s="557"/>
      <c r="QHZ20" s="557"/>
      <c r="QIA20" s="557"/>
      <c r="QIB20" s="557"/>
      <c r="QIC20" s="557"/>
      <c r="QID20" s="557"/>
      <c r="QIE20" s="557"/>
      <c r="QIF20" s="557"/>
      <c r="QIG20" s="557"/>
      <c r="QIH20" s="557"/>
      <c r="QII20" s="557"/>
      <c r="QIJ20" s="557"/>
      <c r="QIK20" s="557"/>
      <c r="QIL20" s="557"/>
      <c r="QIM20" s="661"/>
      <c r="QIN20" s="556"/>
      <c r="QIO20" s="557"/>
      <c r="QIP20" s="557"/>
      <c r="QIQ20" s="557"/>
      <c r="QIR20" s="557"/>
      <c r="QIS20" s="557"/>
      <c r="QIT20" s="557"/>
      <c r="QIU20" s="557"/>
      <c r="QIV20" s="557"/>
      <c r="QIW20" s="557"/>
      <c r="QIX20" s="557"/>
      <c r="QIY20" s="557"/>
      <c r="QIZ20" s="557"/>
      <c r="QJA20" s="557"/>
      <c r="QJB20" s="557"/>
      <c r="QJC20" s="557"/>
      <c r="QJD20" s="557"/>
      <c r="QJE20" s="557"/>
      <c r="QJF20" s="557"/>
      <c r="QJG20" s="661"/>
      <c r="QJH20" s="556"/>
      <c r="QJI20" s="557"/>
      <c r="QJJ20" s="557"/>
      <c r="QJK20" s="557"/>
      <c r="QJL20" s="557"/>
      <c r="QJM20" s="557"/>
      <c r="QJN20" s="557"/>
      <c r="QJO20" s="557"/>
      <c r="QJP20" s="557"/>
      <c r="QJQ20" s="557"/>
      <c r="QJR20" s="557"/>
      <c r="QJS20" s="557"/>
      <c r="QJT20" s="557"/>
      <c r="QJU20" s="557"/>
      <c r="QJV20" s="557"/>
      <c r="QJW20" s="557"/>
      <c r="QJX20" s="557"/>
      <c r="QJY20" s="557"/>
      <c r="QJZ20" s="557"/>
      <c r="QKA20" s="661"/>
      <c r="QKB20" s="556"/>
      <c r="QKC20" s="557"/>
      <c r="QKD20" s="557"/>
      <c r="QKE20" s="557"/>
      <c r="QKF20" s="557"/>
      <c r="QKG20" s="557"/>
      <c r="QKH20" s="557"/>
      <c r="QKI20" s="557"/>
      <c r="QKJ20" s="557"/>
      <c r="QKK20" s="557"/>
      <c r="QKL20" s="557"/>
      <c r="QKM20" s="557"/>
      <c r="QKN20" s="557"/>
      <c r="QKO20" s="557"/>
      <c r="QKP20" s="557"/>
      <c r="QKQ20" s="557"/>
      <c r="QKR20" s="557"/>
      <c r="QKS20" s="557"/>
      <c r="QKT20" s="557"/>
      <c r="QKU20" s="661"/>
      <c r="QKV20" s="556"/>
      <c r="QKW20" s="557"/>
      <c r="QKX20" s="557"/>
      <c r="QKY20" s="557"/>
      <c r="QKZ20" s="557"/>
      <c r="QLA20" s="557"/>
      <c r="QLB20" s="557"/>
      <c r="QLC20" s="557"/>
      <c r="QLD20" s="557"/>
      <c r="QLE20" s="557"/>
      <c r="QLF20" s="557"/>
      <c r="QLG20" s="557"/>
      <c r="QLH20" s="557"/>
      <c r="QLI20" s="557"/>
      <c r="QLJ20" s="557"/>
      <c r="QLK20" s="557"/>
      <c r="QLL20" s="557"/>
      <c r="QLM20" s="557"/>
      <c r="QLN20" s="557"/>
      <c r="QLO20" s="661"/>
      <c r="QLP20" s="556"/>
      <c r="QLQ20" s="557"/>
      <c r="QLR20" s="557"/>
      <c r="QLS20" s="557"/>
      <c r="QLT20" s="557"/>
      <c r="QLU20" s="557"/>
      <c r="QLV20" s="557"/>
      <c r="QLW20" s="557"/>
      <c r="QLX20" s="557"/>
      <c r="QLY20" s="557"/>
      <c r="QLZ20" s="557"/>
      <c r="QMA20" s="557"/>
      <c r="QMB20" s="557"/>
      <c r="QMC20" s="557"/>
      <c r="QMD20" s="557"/>
      <c r="QME20" s="557"/>
      <c r="QMF20" s="557"/>
      <c r="QMG20" s="557"/>
      <c r="QMH20" s="557"/>
      <c r="QMI20" s="661"/>
      <c r="QMJ20" s="556"/>
      <c r="QMK20" s="557"/>
      <c r="QML20" s="557"/>
      <c r="QMM20" s="557"/>
      <c r="QMN20" s="557"/>
      <c r="QMO20" s="557"/>
      <c r="QMP20" s="557"/>
      <c r="QMQ20" s="557"/>
      <c r="QMR20" s="557"/>
      <c r="QMS20" s="557"/>
      <c r="QMT20" s="557"/>
      <c r="QMU20" s="557"/>
      <c r="QMV20" s="557"/>
      <c r="QMW20" s="557"/>
      <c r="QMX20" s="557"/>
      <c r="QMY20" s="557"/>
      <c r="QMZ20" s="557"/>
      <c r="QNA20" s="557"/>
      <c r="QNB20" s="557"/>
      <c r="QNC20" s="661"/>
      <c r="QND20" s="556"/>
      <c r="QNE20" s="557"/>
      <c r="QNF20" s="557"/>
      <c r="QNG20" s="557"/>
      <c r="QNH20" s="557"/>
      <c r="QNI20" s="557"/>
      <c r="QNJ20" s="557"/>
      <c r="QNK20" s="557"/>
      <c r="QNL20" s="557"/>
      <c r="QNM20" s="557"/>
      <c r="QNN20" s="557"/>
      <c r="QNO20" s="557"/>
      <c r="QNP20" s="557"/>
      <c r="QNQ20" s="557"/>
      <c r="QNR20" s="557"/>
      <c r="QNS20" s="557"/>
      <c r="QNT20" s="557"/>
      <c r="QNU20" s="557"/>
      <c r="QNV20" s="557"/>
      <c r="QNW20" s="661"/>
      <c r="QNX20" s="556"/>
      <c r="QNY20" s="557"/>
      <c r="QNZ20" s="557"/>
      <c r="QOA20" s="557"/>
      <c r="QOB20" s="557"/>
      <c r="QOC20" s="557"/>
      <c r="QOD20" s="557"/>
      <c r="QOE20" s="557"/>
      <c r="QOF20" s="557"/>
      <c r="QOG20" s="557"/>
      <c r="QOH20" s="557"/>
      <c r="QOI20" s="557"/>
      <c r="QOJ20" s="557"/>
      <c r="QOK20" s="557"/>
      <c r="QOL20" s="557"/>
      <c r="QOM20" s="557"/>
      <c r="QON20" s="557"/>
      <c r="QOO20" s="557"/>
      <c r="QOP20" s="557"/>
      <c r="QOQ20" s="661"/>
      <c r="QOR20" s="556"/>
      <c r="QOS20" s="557"/>
      <c r="QOT20" s="557"/>
      <c r="QOU20" s="557"/>
      <c r="QOV20" s="557"/>
      <c r="QOW20" s="557"/>
      <c r="QOX20" s="557"/>
      <c r="QOY20" s="557"/>
      <c r="QOZ20" s="557"/>
      <c r="QPA20" s="557"/>
      <c r="QPB20" s="557"/>
      <c r="QPC20" s="557"/>
      <c r="QPD20" s="557"/>
      <c r="QPE20" s="557"/>
      <c r="QPF20" s="557"/>
      <c r="QPG20" s="557"/>
      <c r="QPH20" s="557"/>
      <c r="QPI20" s="557"/>
      <c r="QPJ20" s="557"/>
      <c r="QPK20" s="661"/>
      <c r="QPL20" s="556"/>
      <c r="QPM20" s="557"/>
      <c r="QPN20" s="557"/>
      <c r="QPO20" s="557"/>
      <c r="QPP20" s="557"/>
      <c r="QPQ20" s="557"/>
      <c r="QPR20" s="557"/>
      <c r="QPS20" s="557"/>
      <c r="QPT20" s="557"/>
      <c r="QPU20" s="557"/>
      <c r="QPV20" s="557"/>
      <c r="QPW20" s="557"/>
      <c r="QPX20" s="557"/>
      <c r="QPY20" s="557"/>
      <c r="QPZ20" s="557"/>
      <c r="QQA20" s="557"/>
      <c r="QQB20" s="557"/>
      <c r="QQC20" s="557"/>
      <c r="QQD20" s="557"/>
      <c r="QQE20" s="661"/>
      <c r="QQF20" s="556"/>
      <c r="QQG20" s="557"/>
      <c r="QQH20" s="557"/>
      <c r="QQI20" s="557"/>
      <c r="QQJ20" s="557"/>
      <c r="QQK20" s="557"/>
      <c r="QQL20" s="557"/>
      <c r="QQM20" s="557"/>
      <c r="QQN20" s="557"/>
      <c r="QQO20" s="557"/>
      <c r="QQP20" s="557"/>
      <c r="QQQ20" s="557"/>
      <c r="QQR20" s="557"/>
      <c r="QQS20" s="557"/>
      <c r="QQT20" s="557"/>
      <c r="QQU20" s="557"/>
      <c r="QQV20" s="557"/>
      <c r="QQW20" s="557"/>
      <c r="QQX20" s="557"/>
      <c r="QQY20" s="661"/>
      <c r="QQZ20" s="556"/>
      <c r="QRA20" s="557"/>
      <c r="QRB20" s="557"/>
      <c r="QRC20" s="557"/>
      <c r="QRD20" s="557"/>
      <c r="QRE20" s="557"/>
      <c r="QRF20" s="557"/>
      <c r="QRG20" s="557"/>
      <c r="QRH20" s="557"/>
      <c r="QRI20" s="557"/>
      <c r="QRJ20" s="557"/>
      <c r="QRK20" s="557"/>
      <c r="QRL20" s="557"/>
      <c r="QRM20" s="557"/>
      <c r="QRN20" s="557"/>
      <c r="QRO20" s="557"/>
      <c r="QRP20" s="557"/>
      <c r="QRQ20" s="557"/>
      <c r="QRR20" s="557"/>
      <c r="QRS20" s="661"/>
      <c r="QRT20" s="556"/>
      <c r="QRU20" s="557"/>
      <c r="QRV20" s="557"/>
      <c r="QRW20" s="557"/>
      <c r="QRX20" s="557"/>
      <c r="QRY20" s="557"/>
      <c r="QRZ20" s="557"/>
      <c r="QSA20" s="557"/>
      <c r="QSB20" s="557"/>
      <c r="QSC20" s="557"/>
      <c r="QSD20" s="557"/>
      <c r="QSE20" s="557"/>
      <c r="QSF20" s="557"/>
      <c r="QSG20" s="557"/>
      <c r="QSH20" s="557"/>
      <c r="QSI20" s="557"/>
      <c r="QSJ20" s="557"/>
      <c r="QSK20" s="557"/>
      <c r="QSL20" s="557"/>
      <c r="QSM20" s="661"/>
      <c r="QSN20" s="556"/>
      <c r="QSO20" s="557"/>
      <c r="QSP20" s="557"/>
      <c r="QSQ20" s="557"/>
      <c r="QSR20" s="557"/>
      <c r="QSS20" s="557"/>
      <c r="QST20" s="557"/>
      <c r="QSU20" s="557"/>
      <c r="QSV20" s="557"/>
      <c r="QSW20" s="557"/>
      <c r="QSX20" s="557"/>
      <c r="QSY20" s="557"/>
      <c r="QSZ20" s="557"/>
      <c r="QTA20" s="557"/>
      <c r="QTB20" s="557"/>
      <c r="QTC20" s="557"/>
      <c r="QTD20" s="557"/>
      <c r="QTE20" s="557"/>
      <c r="QTF20" s="557"/>
      <c r="QTG20" s="661"/>
      <c r="QTH20" s="556"/>
      <c r="QTI20" s="557"/>
      <c r="QTJ20" s="557"/>
      <c r="QTK20" s="557"/>
      <c r="QTL20" s="557"/>
      <c r="QTM20" s="557"/>
      <c r="QTN20" s="557"/>
      <c r="QTO20" s="557"/>
      <c r="QTP20" s="557"/>
      <c r="QTQ20" s="557"/>
      <c r="QTR20" s="557"/>
      <c r="QTS20" s="557"/>
      <c r="QTT20" s="557"/>
      <c r="QTU20" s="557"/>
      <c r="QTV20" s="557"/>
      <c r="QTW20" s="557"/>
      <c r="QTX20" s="557"/>
      <c r="QTY20" s="557"/>
      <c r="QTZ20" s="557"/>
      <c r="QUA20" s="661"/>
      <c r="QUB20" s="556"/>
      <c r="QUC20" s="557"/>
      <c r="QUD20" s="557"/>
      <c r="QUE20" s="557"/>
      <c r="QUF20" s="557"/>
      <c r="QUG20" s="557"/>
      <c r="QUH20" s="557"/>
      <c r="QUI20" s="557"/>
      <c r="QUJ20" s="557"/>
      <c r="QUK20" s="557"/>
      <c r="QUL20" s="557"/>
      <c r="QUM20" s="557"/>
      <c r="QUN20" s="557"/>
      <c r="QUO20" s="557"/>
      <c r="QUP20" s="557"/>
      <c r="QUQ20" s="557"/>
      <c r="QUR20" s="557"/>
      <c r="QUS20" s="557"/>
      <c r="QUT20" s="557"/>
      <c r="QUU20" s="661"/>
      <c r="QUV20" s="556"/>
      <c r="QUW20" s="557"/>
      <c r="QUX20" s="557"/>
      <c r="QUY20" s="557"/>
      <c r="QUZ20" s="557"/>
      <c r="QVA20" s="557"/>
      <c r="QVB20" s="557"/>
      <c r="QVC20" s="557"/>
      <c r="QVD20" s="557"/>
      <c r="QVE20" s="557"/>
      <c r="QVF20" s="557"/>
      <c r="QVG20" s="557"/>
      <c r="QVH20" s="557"/>
      <c r="QVI20" s="557"/>
      <c r="QVJ20" s="557"/>
      <c r="QVK20" s="557"/>
      <c r="QVL20" s="557"/>
      <c r="QVM20" s="557"/>
      <c r="QVN20" s="557"/>
      <c r="QVO20" s="661"/>
      <c r="QVP20" s="556"/>
      <c r="QVQ20" s="557"/>
      <c r="QVR20" s="557"/>
      <c r="QVS20" s="557"/>
      <c r="QVT20" s="557"/>
      <c r="QVU20" s="557"/>
      <c r="QVV20" s="557"/>
      <c r="QVW20" s="557"/>
      <c r="QVX20" s="557"/>
      <c r="QVY20" s="557"/>
      <c r="QVZ20" s="557"/>
      <c r="QWA20" s="557"/>
      <c r="QWB20" s="557"/>
      <c r="QWC20" s="557"/>
      <c r="QWD20" s="557"/>
      <c r="QWE20" s="557"/>
      <c r="QWF20" s="557"/>
      <c r="QWG20" s="557"/>
      <c r="QWH20" s="557"/>
      <c r="QWI20" s="661"/>
      <c r="QWJ20" s="556"/>
      <c r="QWK20" s="557"/>
      <c r="QWL20" s="557"/>
      <c r="QWM20" s="557"/>
      <c r="QWN20" s="557"/>
      <c r="QWO20" s="557"/>
      <c r="QWP20" s="557"/>
      <c r="QWQ20" s="557"/>
      <c r="QWR20" s="557"/>
      <c r="QWS20" s="557"/>
      <c r="QWT20" s="557"/>
      <c r="QWU20" s="557"/>
      <c r="QWV20" s="557"/>
      <c r="QWW20" s="557"/>
      <c r="QWX20" s="557"/>
      <c r="QWY20" s="557"/>
      <c r="QWZ20" s="557"/>
      <c r="QXA20" s="557"/>
      <c r="QXB20" s="557"/>
      <c r="QXC20" s="661"/>
      <c r="QXD20" s="556"/>
      <c r="QXE20" s="557"/>
      <c r="QXF20" s="557"/>
      <c r="QXG20" s="557"/>
      <c r="QXH20" s="557"/>
      <c r="QXI20" s="557"/>
      <c r="QXJ20" s="557"/>
      <c r="QXK20" s="557"/>
      <c r="QXL20" s="557"/>
      <c r="QXM20" s="557"/>
      <c r="QXN20" s="557"/>
      <c r="QXO20" s="557"/>
      <c r="QXP20" s="557"/>
      <c r="QXQ20" s="557"/>
      <c r="QXR20" s="557"/>
      <c r="QXS20" s="557"/>
      <c r="QXT20" s="557"/>
      <c r="QXU20" s="557"/>
      <c r="QXV20" s="557"/>
      <c r="QXW20" s="661"/>
      <c r="QXX20" s="556"/>
      <c r="QXY20" s="557"/>
      <c r="QXZ20" s="557"/>
      <c r="QYA20" s="557"/>
      <c r="QYB20" s="557"/>
      <c r="QYC20" s="557"/>
      <c r="QYD20" s="557"/>
      <c r="QYE20" s="557"/>
      <c r="QYF20" s="557"/>
      <c r="QYG20" s="557"/>
      <c r="QYH20" s="557"/>
      <c r="QYI20" s="557"/>
      <c r="QYJ20" s="557"/>
      <c r="QYK20" s="557"/>
      <c r="QYL20" s="557"/>
      <c r="QYM20" s="557"/>
      <c r="QYN20" s="557"/>
      <c r="QYO20" s="557"/>
      <c r="QYP20" s="557"/>
      <c r="QYQ20" s="661"/>
      <c r="QYR20" s="556"/>
      <c r="QYS20" s="557"/>
      <c r="QYT20" s="557"/>
      <c r="QYU20" s="557"/>
      <c r="QYV20" s="557"/>
      <c r="QYW20" s="557"/>
      <c r="QYX20" s="557"/>
      <c r="QYY20" s="557"/>
      <c r="QYZ20" s="557"/>
      <c r="QZA20" s="557"/>
      <c r="QZB20" s="557"/>
      <c r="QZC20" s="557"/>
      <c r="QZD20" s="557"/>
      <c r="QZE20" s="557"/>
      <c r="QZF20" s="557"/>
      <c r="QZG20" s="557"/>
      <c r="QZH20" s="557"/>
      <c r="QZI20" s="557"/>
      <c r="QZJ20" s="557"/>
      <c r="QZK20" s="661"/>
      <c r="QZL20" s="556"/>
      <c r="QZM20" s="557"/>
      <c r="QZN20" s="557"/>
      <c r="QZO20" s="557"/>
      <c r="QZP20" s="557"/>
      <c r="QZQ20" s="557"/>
      <c r="QZR20" s="557"/>
      <c r="QZS20" s="557"/>
      <c r="QZT20" s="557"/>
      <c r="QZU20" s="557"/>
      <c r="QZV20" s="557"/>
      <c r="QZW20" s="557"/>
      <c r="QZX20" s="557"/>
      <c r="QZY20" s="557"/>
      <c r="QZZ20" s="557"/>
      <c r="RAA20" s="557"/>
      <c r="RAB20" s="557"/>
      <c r="RAC20" s="557"/>
      <c r="RAD20" s="557"/>
      <c r="RAE20" s="661"/>
      <c r="RAF20" s="556"/>
      <c r="RAG20" s="557"/>
      <c r="RAH20" s="557"/>
      <c r="RAI20" s="557"/>
      <c r="RAJ20" s="557"/>
      <c r="RAK20" s="557"/>
      <c r="RAL20" s="557"/>
      <c r="RAM20" s="557"/>
      <c r="RAN20" s="557"/>
      <c r="RAO20" s="557"/>
      <c r="RAP20" s="557"/>
      <c r="RAQ20" s="557"/>
      <c r="RAR20" s="557"/>
      <c r="RAS20" s="557"/>
      <c r="RAT20" s="557"/>
      <c r="RAU20" s="557"/>
      <c r="RAV20" s="557"/>
      <c r="RAW20" s="557"/>
      <c r="RAX20" s="557"/>
      <c r="RAY20" s="661"/>
      <c r="RAZ20" s="556"/>
      <c r="RBA20" s="557"/>
      <c r="RBB20" s="557"/>
      <c r="RBC20" s="557"/>
      <c r="RBD20" s="557"/>
      <c r="RBE20" s="557"/>
      <c r="RBF20" s="557"/>
      <c r="RBG20" s="557"/>
      <c r="RBH20" s="557"/>
      <c r="RBI20" s="557"/>
      <c r="RBJ20" s="557"/>
      <c r="RBK20" s="557"/>
      <c r="RBL20" s="557"/>
      <c r="RBM20" s="557"/>
      <c r="RBN20" s="557"/>
      <c r="RBO20" s="557"/>
      <c r="RBP20" s="557"/>
      <c r="RBQ20" s="557"/>
      <c r="RBR20" s="557"/>
      <c r="RBS20" s="661"/>
      <c r="RBT20" s="556"/>
      <c r="RBU20" s="557"/>
      <c r="RBV20" s="557"/>
      <c r="RBW20" s="557"/>
      <c r="RBX20" s="557"/>
      <c r="RBY20" s="557"/>
      <c r="RBZ20" s="557"/>
      <c r="RCA20" s="557"/>
      <c r="RCB20" s="557"/>
      <c r="RCC20" s="557"/>
      <c r="RCD20" s="557"/>
      <c r="RCE20" s="557"/>
      <c r="RCF20" s="557"/>
      <c r="RCG20" s="557"/>
      <c r="RCH20" s="557"/>
      <c r="RCI20" s="557"/>
      <c r="RCJ20" s="557"/>
      <c r="RCK20" s="557"/>
      <c r="RCL20" s="557"/>
      <c r="RCM20" s="661"/>
      <c r="RCN20" s="556"/>
      <c r="RCO20" s="557"/>
      <c r="RCP20" s="557"/>
      <c r="RCQ20" s="557"/>
      <c r="RCR20" s="557"/>
      <c r="RCS20" s="557"/>
      <c r="RCT20" s="557"/>
      <c r="RCU20" s="557"/>
      <c r="RCV20" s="557"/>
      <c r="RCW20" s="557"/>
      <c r="RCX20" s="557"/>
      <c r="RCY20" s="557"/>
      <c r="RCZ20" s="557"/>
      <c r="RDA20" s="557"/>
      <c r="RDB20" s="557"/>
      <c r="RDC20" s="557"/>
      <c r="RDD20" s="557"/>
      <c r="RDE20" s="557"/>
      <c r="RDF20" s="557"/>
      <c r="RDG20" s="661"/>
      <c r="RDH20" s="556"/>
      <c r="RDI20" s="557"/>
      <c r="RDJ20" s="557"/>
      <c r="RDK20" s="557"/>
      <c r="RDL20" s="557"/>
      <c r="RDM20" s="557"/>
      <c r="RDN20" s="557"/>
      <c r="RDO20" s="557"/>
      <c r="RDP20" s="557"/>
      <c r="RDQ20" s="557"/>
      <c r="RDR20" s="557"/>
      <c r="RDS20" s="557"/>
      <c r="RDT20" s="557"/>
      <c r="RDU20" s="557"/>
      <c r="RDV20" s="557"/>
      <c r="RDW20" s="557"/>
      <c r="RDX20" s="557"/>
      <c r="RDY20" s="557"/>
      <c r="RDZ20" s="557"/>
      <c r="REA20" s="661"/>
      <c r="REB20" s="556"/>
      <c r="REC20" s="557"/>
      <c r="RED20" s="557"/>
      <c r="REE20" s="557"/>
      <c r="REF20" s="557"/>
      <c r="REG20" s="557"/>
      <c r="REH20" s="557"/>
      <c r="REI20" s="557"/>
      <c r="REJ20" s="557"/>
      <c r="REK20" s="557"/>
      <c r="REL20" s="557"/>
      <c r="REM20" s="557"/>
      <c r="REN20" s="557"/>
      <c r="REO20" s="557"/>
      <c r="REP20" s="557"/>
      <c r="REQ20" s="557"/>
      <c r="RER20" s="557"/>
      <c r="RES20" s="557"/>
      <c r="RET20" s="557"/>
      <c r="REU20" s="661"/>
      <c r="REV20" s="556"/>
      <c r="REW20" s="557"/>
      <c r="REX20" s="557"/>
      <c r="REY20" s="557"/>
      <c r="REZ20" s="557"/>
      <c r="RFA20" s="557"/>
      <c r="RFB20" s="557"/>
      <c r="RFC20" s="557"/>
      <c r="RFD20" s="557"/>
      <c r="RFE20" s="557"/>
      <c r="RFF20" s="557"/>
      <c r="RFG20" s="557"/>
      <c r="RFH20" s="557"/>
      <c r="RFI20" s="557"/>
      <c r="RFJ20" s="557"/>
      <c r="RFK20" s="557"/>
      <c r="RFL20" s="557"/>
      <c r="RFM20" s="557"/>
      <c r="RFN20" s="557"/>
      <c r="RFO20" s="661"/>
      <c r="RFP20" s="556"/>
      <c r="RFQ20" s="557"/>
      <c r="RFR20" s="557"/>
      <c r="RFS20" s="557"/>
      <c r="RFT20" s="557"/>
      <c r="RFU20" s="557"/>
      <c r="RFV20" s="557"/>
      <c r="RFW20" s="557"/>
      <c r="RFX20" s="557"/>
      <c r="RFY20" s="557"/>
      <c r="RFZ20" s="557"/>
      <c r="RGA20" s="557"/>
      <c r="RGB20" s="557"/>
      <c r="RGC20" s="557"/>
      <c r="RGD20" s="557"/>
      <c r="RGE20" s="557"/>
      <c r="RGF20" s="557"/>
      <c r="RGG20" s="557"/>
      <c r="RGH20" s="557"/>
      <c r="RGI20" s="661"/>
      <c r="RGJ20" s="556"/>
      <c r="RGK20" s="557"/>
      <c r="RGL20" s="557"/>
      <c r="RGM20" s="557"/>
      <c r="RGN20" s="557"/>
      <c r="RGO20" s="557"/>
      <c r="RGP20" s="557"/>
      <c r="RGQ20" s="557"/>
      <c r="RGR20" s="557"/>
      <c r="RGS20" s="557"/>
      <c r="RGT20" s="557"/>
      <c r="RGU20" s="557"/>
      <c r="RGV20" s="557"/>
      <c r="RGW20" s="557"/>
      <c r="RGX20" s="557"/>
      <c r="RGY20" s="557"/>
      <c r="RGZ20" s="557"/>
      <c r="RHA20" s="557"/>
      <c r="RHB20" s="557"/>
      <c r="RHC20" s="661"/>
      <c r="RHD20" s="556"/>
      <c r="RHE20" s="557"/>
      <c r="RHF20" s="557"/>
      <c r="RHG20" s="557"/>
      <c r="RHH20" s="557"/>
      <c r="RHI20" s="557"/>
      <c r="RHJ20" s="557"/>
      <c r="RHK20" s="557"/>
      <c r="RHL20" s="557"/>
      <c r="RHM20" s="557"/>
      <c r="RHN20" s="557"/>
      <c r="RHO20" s="557"/>
      <c r="RHP20" s="557"/>
      <c r="RHQ20" s="557"/>
      <c r="RHR20" s="557"/>
      <c r="RHS20" s="557"/>
      <c r="RHT20" s="557"/>
      <c r="RHU20" s="557"/>
      <c r="RHV20" s="557"/>
      <c r="RHW20" s="661"/>
      <c r="RHX20" s="556"/>
      <c r="RHY20" s="557"/>
      <c r="RHZ20" s="557"/>
      <c r="RIA20" s="557"/>
      <c r="RIB20" s="557"/>
      <c r="RIC20" s="557"/>
      <c r="RID20" s="557"/>
      <c r="RIE20" s="557"/>
      <c r="RIF20" s="557"/>
      <c r="RIG20" s="557"/>
      <c r="RIH20" s="557"/>
      <c r="RII20" s="557"/>
      <c r="RIJ20" s="557"/>
      <c r="RIK20" s="557"/>
      <c r="RIL20" s="557"/>
      <c r="RIM20" s="557"/>
      <c r="RIN20" s="557"/>
      <c r="RIO20" s="557"/>
      <c r="RIP20" s="557"/>
      <c r="RIQ20" s="661"/>
      <c r="RIR20" s="556"/>
      <c r="RIS20" s="557"/>
      <c r="RIT20" s="557"/>
      <c r="RIU20" s="557"/>
      <c r="RIV20" s="557"/>
      <c r="RIW20" s="557"/>
      <c r="RIX20" s="557"/>
      <c r="RIY20" s="557"/>
      <c r="RIZ20" s="557"/>
      <c r="RJA20" s="557"/>
      <c r="RJB20" s="557"/>
      <c r="RJC20" s="557"/>
      <c r="RJD20" s="557"/>
      <c r="RJE20" s="557"/>
      <c r="RJF20" s="557"/>
      <c r="RJG20" s="557"/>
      <c r="RJH20" s="557"/>
      <c r="RJI20" s="557"/>
      <c r="RJJ20" s="557"/>
      <c r="RJK20" s="661"/>
      <c r="RJL20" s="556"/>
      <c r="RJM20" s="557"/>
      <c r="RJN20" s="557"/>
      <c r="RJO20" s="557"/>
      <c r="RJP20" s="557"/>
      <c r="RJQ20" s="557"/>
      <c r="RJR20" s="557"/>
      <c r="RJS20" s="557"/>
      <c r="RJT20" s="557"/>
      <c r="RJU20" s="557"/>
      <c r="RJV20" s="557"/>
      <c r="RJW20" s="557"/>
      <c r="RJX20" s="557"/>
      <c r="RJY20" s="557"/>
      <c r="RJZ20" s="557"/>
      <c r="RKA20" s="557"/>
      <c r="RKB20" s="557"/>
      <c r="RKC20" s="557"/>
      <c r="RKD20" s="557"/>
      <c r="RKE20" s="661"/>
      <c r="RKF20" s="556"/>
      <c r="RKG20" s="557"/>
      <c r="RKH20" s="557"/>
      <c r="RKI20" s="557"/>
      <c r="RKJ20" s="557"/>
      <c r="RKK20" s="557"/>
      <c r="RKL20" s="557"/>
      <c r="RKM20" s="557"/>
      <c r="RKN20" s="557"/>
      <c r="RKO20" s="557"/>
      <c r="RKP20" s="557"/>
      <c r="RKQ20" s="557"/>
      <c r="RKR20" s="557"/>
      <c r="RKS20" s="557"/>
      <c r="RKT20" s="557"/>
      <c r="RKU20" s="557"/>
      <c r="RKV20" s="557"/>
      <c r="RKW20" s="557"/>
      <c r="RKX20" s="557"/>
      <c r="RKY20" s="661"/>
      <c r="RKZ20" s="556"/>
      <c r="RLA20" s="557"/>
      <c r="RLB20" s="557"/>
      <c r="RLC20" s="557"/>
      <c r="RLD20" s="557"/>
      <c r="RLE20" s="557"/>
      <c r="RLF20" s="557"/>
      <c r="RLG20" s="557"/>
      <c r="RLH20" s="557"/>
      <c r="RLI20" s="557"/>
      <c r="RLJ20" s="557"/>
      <c r="RLK20" s="557"/>
      <c r="RLL20" s="557"/>
      <c r="RLM20" s="557"/>
      <c r="RLN20" s="557"/>
      <c r="RLO20" s="557"/>
      <c r="RLP20" s="557"/>
      <c r="RLQ20" s="557"/>
      <c r="RLR20" s="557"/>
      <c r="RLS20" s="661"/>
      <c r="RLT20" s="556"/>
      <c r="RLU20" s="557"/>
      <c r="RLV20" s="557"/>
      <c r="RLW20" s="557"/>
      <c r="RLX20" s="557"/>
      <c r="RLY20" s="557"/>
      <c r="RLZ20" s="557"/>
      <c r="RMA20" s="557"/>
      <c r="RMB20" s="557"/>
      <c r="RMC20" s="557"/>
      <c r="RMD20" s="557"/>
      <c r="RME20" s="557"/>
      <c r="RMF20" s="557"/>
      <c r="RMG20" s="557"/>
      <c r="RMH20" s="557"/>
      <c r="RMI20" s="557"/>
      <c r="RMJ20" s="557"/>
      <c r="RMK20" s="557"/>
      <c r="RML20" s="557"/>
      <c r="RMM20" s="661"/>
      <c r="RMN20" s="556"/>
      <c r="RMO20" s="557"/>
      <c r="RMP20" s="557"/>
      <c r="RMQ20" s="557"/>
      <c r="RMR20" s="557"/>
      <c r="RMS20" s="557"/>
      <c r="RMT20" s="557"/>
      <c r="RMU20" s="557"/>
      <c r="RMV20" s="557"/>
      <c r="RMW20" s="557"/>
      <c r="RMX20" s="557"/>
      <c r="RMY20" s="557"/>
      <c r="RMZ20" s="557"/>
      <c r="RNA20" s="557"/>
      <c r="RNB20" s="557"/>
      <c r="RNC20" s="557"/>
      <c r="RND20" s="557"/>
      <c r="RNE20" s="557"/>
      <c r="RNF20" s="557"/>
      <c r="RNG20" s="661"/>
      <c r="RNH20" s="556"/>
      <c r="RNI20" s="557"/>
      <c r="RNJ20" s="557"/>
      <c r="RNK20" s="557"/>
      <c r="RNL20" s="557"/>
      <c r="RNM20" s="557"/>
      <c r="RNN20" s="557"/>
      <c r="RNO20" s="557"/>
      <c r="RNP20" s="557"/>
      <c r="RNQ20" s="557"/>
      <c r="RNR20" s="557"/>
      <c r="RNS20" s="557"/>
      <c r="RNT20" s="557"/>
      <c r="RNU20" s="557"/>
      <c r="RNV20" s="557"/>
      <c r="RNW20" s="557"/>
      <c r="RNX20" s="557"/>
      <c r="RNY20" s="557"/>
      <c r="RNZ20" s="557"/>
      <c r="ROA20" s="661"/>
      <c r="ROB20" s="556"/>
      <c r="ROC20" s="557"/>
      <c r="ROD20" s="557"/>
      <c r="ROE20" s="557"/>
      <c r="ROF20" s="557"/>
      <c r="ROG20" s="557"/>
      <c r="ROH20" s="557"/>
      <c r="ROI20" s="557"/>
      <c r="ROJ20" s="557"/>
      <c r="ROK20" s="557"/>
      <c r="ROL20" s="557"/>
      <c r="ROM20" s="557"/>
      <c r="RON20" s="557"/>
      <c r="ROO20" s="557"/>
      <c r="ROP20" s="557"/>
      <c r="ROQ20" s="557"/>
      <c r="ROR20" s="557"/>
      <c r="ROS20" s="557"/>
      <c r="ROT20" s="557"/>
      <c r="ROU20" s="661"/>
      <c r="ROV20" s="556"/>
      <c r="ROW20" s="557"/>
      <c r="ROX20" s="557"/>
      <c r="ROY20" s="557"/>
      <c r="ROZ20" s="557"/>
      <c r="RPA20" s="557"/>
      <c r="RPB20" s="557"/>
      <c r="RPC20" s="557"/>
      <c r="RPD20" s="557"/>
      <c r="RPE20" s="557"/>
      <c r="RPF20" s="557"/>
      <c r="RPG20" s="557"/>
      <c r="RPH20" s="557"/>
      <c r="RPI20" s="557"/>
      <c r="RPJ20" s="557"/>
      <c r="RPK20" s="557"/>
      <c r="RPL20" s="557"/>
      <c r="RPM20" s="557"/>
      <c r="RPN20" s="557"/>
      <c r="RPO20" s="661"/>
      <c r="RPP20" s="556"/>
      <c r="RPQ20" s="557"/>
      <c r="RPR20" s="557"/>
      <c r="RPS20" s="557"/>
      <c r="RPT20" s="557"/>
      <c r="RPU20" s="557"/>
      <c r="RPV20" s="557"/>
      <c r="RPW20" s="557"/>
      <c r="RPX20" s="557"/>
      <c r="RPY20" s="557"/>
      <c r="RPZ20" s="557"/>
      <c r="RQA20" s="557"/>
      <c r="RQB20" s="557"/>
      <c r="RQC20" s="557"/>
      <c r="RQD20" s="557"/>
      <c r="RQE20" s="557"/>
      <c r="RQF20" s="557"/>
      <c r="RQG20" s="557"/>
      <c r="RQH20" s="557"/>
      <c r="RQI20" s="661"/>
      <c r="RQJ20" s="556"/>
      <c r="RQK20" s="557"/>
      <c r="RQL20" s="557"/>
      <c r="RQM20" s="557"/>
      <c r="RQN20" s="557"/>
      <c r="RQO20" s="557"/>
      <c r="RQP20" s="557"/>
      <c r="RQQ20" s="557"/>
      <c r="RQR20" s="557"/>
      <c r="RQS20" s="557"/>
      <c r="RQT20" s="557"/>
      <c r="RQU20" s="557"/>
      <c r="RQV20" s="557"/>
      <c r="RQW20" s="557"/>
      <c r="RQX20" s="557"/>
      <c r="RQY20" s="557"/>
      <c r="RQZ20" s="557"/>
      <c r="RRA20" s="557"/>
      <c r="RRB20" s="557"/>
      <c r="RRC20" s="661"/>
      <c r="RRD20" s="556"/>
      <c r="RRE20" s="557"/>
      <c r="RRF20" s="557"/>
      <c r="RRG20" s="557"/>
      <c r="RRH20" s="557"/>
      <c r="RRI20" s="557"/>
      <c r="RRJ20" s="557"/>
      <c r="RRK20" s="557"/>
      <c r="RRL20" s="557"/>
      <c r="RRM20" s="557"/>
      <c r="RRN20" s="557"/>
      <c r="RRO20" s="557"/>
      <c r="RRP20" s="557"/>
      <c r="RRQ20" s="557"/>
      <c r="RRR20" s="557"/>
      <c r="RRS20" s="557"/>
      <c r="RRT20" s="557"/>
      <c r="RRU20" s="557"/>
      <c r="RRV20" s="557"/>
      <c r="RRW20" s="661"/>
      <c r="RRX20" s="556"/>
      <c r="RRY20" s="557"/>
      <c r="RRZ20" s="557"/>
      <c r="RSA20" s="557"/>
      <c r="RSB20" s="557"/>
      <c r="RSC20" s="557"/>
      <c r="RSD20" s="557"/>
      <c r="RSE20" s="557"/>
      <c r="RSF20" s="557"/>
      <c r="RSG20" s="557"/>
      <c r="RSH20" s="557"/>
      <c r="RSI20" s="557"/>
      <c r="RSJ20" s="557"/>
      <c r="RSK20" s="557"/>
      <c r="RSL20" s="557"/>
      <c r="RSM20" s="557"/>
      <c r="RSN20" s="557"/>
      <c r="RSO20" s="557"/>
      <c r="RSP20" s="557"/>
      <c r="RSQ20" s="661"/>
      <c r="RSR20" s="556"/>
      <c r="RSS20" s="557"/>
      <c r="RST20" s="557"/>
      <c r="RSU20" s="557"/>
      <c r="RSV20" s="557"/>
      <c r="RSW20" s="557"/>
      <c r="RSX20" s="557"/>
      <c r="RSY20" s="557"/>
      <c r="RSZ20" s="557"/>
      <c r="RTA20" s="557"/>
      <c r="RTB20" s="557"/>
      <c r="RTC20" s="557"/>
      <c r="RTD20" s="557"/>
      <c r="RTE20" s="557"/>
      <c r="RTF20" s="557"/>
      <c r="RTG20" s="557"/>
      <c r="RTH20" s="557"/>
      <c r="RTI20" s="557"/>
      <c r="RTJ20" s="557"/>
      <c r="RTK20" s="661"/>
      <c r="RTL20" s="556"/>
      <c r="RTM20" s="557"/>
      <c r="RTN20" s="557"/>
      <c r="RTO20" s="557"/>
      <c r="RTP20" s="557"/>
      <c r="RTQ20" s="557"/>
      <c r="RTR20" s="557"/>
      <c r="RTS20" s="557"/>
      <c r="RTT20" s="557"/>
      <c r="RTU20" s="557"/>
      <c r="RTV20" s="557"/>
      <c r="RTW20" s="557"/>
      <c r="RTX20" s="557"/>
      <c r="RTY20" s="557"/>
      <c r="RTZ20" s="557"/>
      <c r="RUA20" s="557"/>
      <c r="RUB20" s="557"/>
      <c r="RUC20" s="557"/>
      <c r="RUD20" s="557"/>
      <c r="RUE20" s="661"/>
      <c r="RUF20" s="556"/>
      <c r="RUG20" s="557"/>
      <c r="RUH20" s="557"/>
      <c r="RUI20" s="557"/>
      <c r="RUJ20" s="557"/>
      <c r="RUK20" s="557"/>
      <c r="RUL20" s="557"/>
      <c r="RUM20" s="557"/>
      <c r="RUN20" s="557"/>
      <c r="RUO20" s="557"/>
      <c r="RUP20" s="557"/>
      <c r="RUQ20" s="557"/>
      <c r="RUR20" s="557"/>
      <c r="RUS20" s="557"/>
      <c r="RUT20" s="557"/>
      <c r="RUU20" s="557"/>
      <c r="RUV20" s="557"/>
      <c r="RUW20" s="557"/>
      <c r="RUX20" s="557"/>
      <c r="RUY20" s="661"/>
      <c r="RUZ20" s="556"/>
      <c r="RVA20" s="557"/>
      <c r="RVB20" s="557"/>
      <c r="RVC20" s="557"/>
      <c r="RVD20" s="557"/>
      <c r="RVE20" s="557"/>
      <c r="RVF20" s="557"/>
      <c r="RVG20" s="557"/>
      <c r="RVH20" s="557"/>
      <c r="RVI20" s="557"/>
      <c r="RVJ20" s="557"/>
      <c r="RVK20" s="557"/>
      <c r="RVL20" s="557"/>
      <c r="RVM20" s="557"/>
      <c r="RVN20" s="557"/>
      <c r="RVO20" s="557"/>
      <c r="RVP20" s="557"/>
      <c r="RVQ20" s="557"/>
      <c r="RVR20" s="557"/>
      <c r="RVS20" s="661"/>
      <c r="RVT20" s="556"/>
      <c r="RVU20" s="557"/>
      <c r="RVV20" s="557"/>
      <c r="RVW20" s="557"/>
      <c r="RVX20" s="557"/>
      <c r="RVY20" s="557"/>
      <c r="RVZ20" s="557"/>
      <c r="RWA20" s="557"/>
      <c r="RWB20" s="557"/>
      <c r="RWC20" s="557"/>
      <c r="RWD20" s="557"/>
      <c r="RWE20" s="557"/>
      <c r="RWF20" s="557"/>
      <c r="RWG20" s="557"/>
      <c r="RWH20" s="557"/>
      <c r="RWI20" s="557"/>
      <c r="RWJ20" s="557"/>
      <c r="RWK20" s="557"/>
      <c r="RWL20" s="557"/>
      <c r="RWM20" s="661"/>
      <c r="RWN20" s="556"/>
      <c r="RWO20" s="557"/>
      <c r="RWP20" s="557"/>
      <c r="RWQ20" s="557"/>
      <c r="RWR20" s="557"/>
      <c r="RWS20" s="557"/>
      <c r="RWT20" s="557"/>
      <c r="RWU20" s="557"/>
      <c r="RWV20" s="557"/>
      <c r="RWW20" s="557"/>
      <c r="RWX20" s="557"/>
      <c r="RWY20" s="557"/>
      <c r="RWZ20" s="557"/>
      <c r="RXA20" s="557"/>
      <c r="RXB20" s="557"/>
      <c r="RXC20" s="557"/>
      <c r="RXD20" s="557"/>
      <c r="RXE20" s="557"/>
      <c r="RXF20" s="557"/>
      <c r="RXG20" s="661"/>
      <c r="RXH20" s="556"/>
      <c r="RXI20" s="557"/>
      <c r="RXJ20" s="557"/>
      <c r="RXK20" s="557"/>
      <c r="RXL20" s="557"/>
      <c r="RXM20" s="557"/>
      <c r="RXN20" s="557"/>
      <c r="RXO20" s="557"/>
      <c r="RXP20" s="557"/>
      <c r="RXQ20" s="557"/>
      <c r="RXR20" s="557"/>
      <c r="RXS20" s="557"/>
      <c r="RXT20" s="557"/>
      <c r="RXU20" s="557"/>
      <c r="RXV20" s="557"/>
      <c r="RXW20" s="557"/>
      <c r="RXX20" s="557"/>
      <c r="RXY20" s="557"/>
      <c r="RXZ20" s="557"/>
      <c r="RYA20" s="661"/>
      <c r="RYB20" s="556"/>
      <c r="RYC20" s="557"/>
      <c r="RYD20" s="557"/>
      <c r="RYE20" s="557"/>
      <c r="RYF20" s="557"/>
      <c r="RYG20" s="557"/>
      <c r="RYH20" s="557"/>
      <c r="RYI20" s="557"/>
      <c r="RYJ20" s="557"/>
      <c r="RYK20" s="557"/>
      <c r="RYL20" s="557"/>
      <c r="RYM20" s="557"/>
      <c r="RYN20" s="557"/>
      <c r="RYO20" s="557"/>
      <c r="RYP20" s="557"/>
      <c r="RYQ20" s="557"/>
      <c r="RYR20" s="557"/>
      <c r="RYS20" s="557"/>
      <c r="RYT20" s="557"/>
      <c r="RYU20" s="661"/>
      <c r="RYV20" s="556"/>
      <c r="RYW20" s="557"/>
      <c r="RYX20" s="557"/>
      <c r="RYY20" s="557"/>
      <c r="RYZ20" s="557"/>
      <c r="RZA20" s="557"/>
      <c r="RZB20" s="557"/>
      <c r="RZC20" s="557"/>
      <c r="RZD20" s="557"/>
      <c r="RZE20" s="557"/>
      <c r="RZF20" s="557"/>
      <c r="RZG20" s="557"/>
      <c r="RZH20" s="557"/>
      <c r="RZI20" s="557"/>
      <c r="RZJ20" s="557"/>
      <c r="RZK20" s="557"/>
      <c r="RZL20" s="557"/>
      <c r="RZM20" s="557"/>
      <c r="RZN20" s="557"/>
      <c r="RZO20" s="661"/>
      <c r="RZP20" s="556"/>
      <c r="RZQ20" s="557"/>
      <c r="RZR20" s="557"/>
      <c r="RZS20" s="557"/>
      <c r="RZT20" s="557"/>
      <c r="RZU20" s="557"/>
      <c r="RZV20" s="557"/>
      <c r="RZW20" s="557"/>
      <c r="RZX20" s="557"/>
      <c r="RZY20" s="557"/>
      <c r="RZZ20" s="557"/>
      <c r="SAA20" s="557"/>
      <c r="SAB20" s="557"/>
      <c r="SAC20" s="557"/>
      <c r="SAD20" s="557"/>
      <c r="SAE20" s="557"/>
      <c r="SAF20" s="557"/>
      <c r="SAG20" s="557"/>
      <c r="SAH20" s="557"/>
      <c r="SAI20" s="661"/>
      <c r="SAJ20" s="556"/>
      <c r="SAK20" s="557"/>
      <c r="SAL20" s="557"/>
      <c r="SAM20" s="557"/>
      <c r="SAN20" s="557"/>
      <c r="SAO20" s="557"/>
      <c r="SAP20" s="557"/>
      <c r="SAQ20" s="557"/>
      <c r="SAR20" s="557"/>
      <c r="SAS20" s="557"/>
      <c r="SAT20" s="557"/>
      <c r="SAU20" s="557"/>
      <c r="SAV20" s="557"/>
      <c r="SAW20" s="557"/>
      <c r="SAX20" s="557"/>
      <c r="SAY20" s="557"/>
      <c r="SAZ20" s="557"/>
      <c r="SBA20" s="557"/>
      <c r="SBB20" s="557"/>
      <c r="SBC20" s="661"/>
      <c r="SBD20" s="556"/>
      <c r="SBE20" s="557"/>
      <c r="SBF20" s="557"/>
      <c r="SBG20" s="557"/>
      <c r="SBH20" s="557"/>
      <c r="SBI20" s="557"/>
      <c r="SBJ20" s="557"/>
      <c r="SBK20" s="557"/>
      <c r="SBL20" s="557"/>
      <c r="SBM20" s="557"/>
      <c r="SBN20" s="557"/>
      <c r="SBO20" s="557"/>
      <c r="SBP20" s="557"/>
      <c r="SBQ20" s="557"/>
      <c r="SBR20" s="557"/>
      <c r="SBS20" s="557"/>
      <c r="SBT20" s="557"/>
      <c r="SBU20" s="557"/>
      <c r="SBV20" s="557"/>
      <c r="SBW20" s="661"/>
      <c r="SBX20" s="556"/>
      <c r="SBY20" s="557"/>
      <c r="SBZ20" s="557"/>
      <c r="SCA20" s="557"/>
      <c r="SCB20" s="557"/>
      <c r="SCC20" s="557"/>
      <c r="SCD20" s="557"/>
      <c r="SCE20" s="557"/>
      <c r="SCF20" s="557"/>
      <c r="SCG20" s="557"/>
      <c r="SCH20" s="557"/>
      <c r="SCI20" s="557"/>
      <c r="SCJ20" s="557"/>
      <c r="SCK20" s="557"/>
      <c r="SCL20" s="557"/>
      <c r="SCM20" s="557"/>
      <c r="SCN20" s="557"/>
      <c r="SCO20" s="557"/>
      <c r="SCP20" s="557"/>
      <c r="SCQ20" s="661"/>
      <c r="SCR20" s="556"/>
      <c r="SCS20" s="557"/>
      <c r="SCT20" s="557"/>
      <c r="SCU20" s="557"/>
      <c r="SCV20" s="557"/>
      <c r="SCW20" s="557"/>
      <c r="SCX20" s="557"/>
      <c r="SCY20" s="557"/>
      <c r="SCZ20" s="557"/>
      <c r="SDA20" s="557"/>
      <c r="SDB20" s="557"/>
      <c r="SDC20" s="557"/>
      <c r="SDD20" s="557"/>
      <c r="SDE20" s="557"/>
      <c r="SDF20" s="557"/>
      <c r="SDG20" s="557"/>
      <c r="SDH20" s="557"/>
      <c r="SDI20" s="557"/>
      <c r="SDJ20" s="557"/>
      <c r="SDK20" s="661"/>
      <c r="SDL20" s="556"/>
      <c r="SDM20" s="557"/>
      <c r="SDN20" s="557"/>
      <c r="SDO20" s="557"/>
      <c r="SDP20" s="557"/>
      <c r="SDQ20" s="557"/>
      <c r="SDR20" s="557"/>
      <c r="SDS20" s="557"/>
      <c r="SDT20" s="557"/>
      <c r="SDU20" s="557"/>
      <c r="SDV20" s="557"/>
      <c r="SDW20" s="557"/>
      <c r="SDX20" s="557"/>
      <c r="SDY20" s="557"/>
      <c r="SDZ20" s="557"/>
      <c r="SEA20" s="557"/>
      <c r="SEB20" s="557"/>
      <c r="SEC20" s="557"/>
      <c r="SED20" s="557"/>
      <c r="SEE20" s="661"/>
      <c r="SEF20" s="556"/>
      <c r="SEG20" s="557"/>
      <c r="SEH20" s="557"/>
      <c r="SEI20" s="557"/>
      <c r="SEJ20" s="557"/>
      <c r="SEK20" s="557"/>
      <c r="SEL20" s="557"/>
      <c r="SEM20" s="557"/>
      <c r="SEN20" s="557"/>
      <c r="SEO20" s="557"/>
      <c r="SEP20" s="557"/>
      <c r="SEQ20" s="557"/>
      <c r="SER20" s="557"/>
      <c r="SES20" s="557"/>
      <c r="SET20" s="557"/>
      <c r="SEU20" s="557"/>
      <c r="SEV20" s="557"/>
      <c r="SEW20" s="557"/>
      <c r="SEX20" s="557"/>
      <c r="SEY20" s="661"/>
      <c r="SEZ20" s="556"/>
      <c r="SFA20" s="557"/>
      <c r="SFB20" s="557"/>
      <c r="SFC20" s="557"/>
      <c r="SFD20" s="557"/>
      <c r="SFE20" s="557"/>
      <c r="SFF20" s="557"/>
      <c r="SFG20" s="557"/>
      <c r="SFH20" s="557"/>
      <c r="SFI20" s="557"/>
      <c r="SFJ20" s="557"/>
      <c r="SFK20" s="557"/>
      <c r="SFL20" s="557"/>
      <c r="SFM20" s="557"/>
      <c r="SFN20" s="557"/>
      <c r="SFO20" s="557"/>
      <c r="SFP20" s="557"/>
      <c r="SFQ20" s="557"/>
      <c r="SFR20" s="557"/>
      <c r="SFS20" s="661"/>
      <c r="SFT20" s="556"/>
      <c r="SFU20" s="557"/>
      <c r="SFV20" s="557"/>
      <c r="SFW20" s="557"/>
      <c r="SFX20" s="557"/>
      <c r="SFY20" s="557"/>
      <c r="SFZ20" s="557"/>
      <c r="SGA20" s="557"/>
      <c r="SGB20" s="557"/>
      <c r="SGC20" s="557"/>
      <c r="SGD20" s="557"/>
      <c r="SGE20" s="557"/>
      <c r="SGF20" s="557"/>
      <c r="SGG20" s="557"/>
      <c r="SGH20" s="557"/>
      <c r="SGI20" s="557"/>
      <c r="SGJ20" s="557"/>
      <c r="SGK20" s="557"/>
      <c r="SGL20" s="557"/>
      <c r="SGM20" s="661"/>
      <c r="SGN20" s="556"/>
      <c r="SGO20" s="557"/>
      <c r="SGP20" s="557"/>
      <c r="SGQ20" s="557"/>
      <c r="SGR20" s="557"/>
      <c r="SGS20" s="557"/>
      <c r="SGT20" s="557"/>
      <c r="SGU20" s="557"/>
      <c r="SGV20" s="557"/>
      <c r="SGW20" s="557"/>
      <c r="SGX20" s="557"/>
      <c r="SGY20" s="557"/>
      <c r="SGZ20" s="557"/>
      <c r="SHA20" s="557"/>
      <c r="SHB20" s="557"/>
      <c r="SHC20" s="557"/>
      <c r="SHD20" s="557"/>
      <c r="SHE20" s="557"/>
      <c r="SHF20" s="557"/>
      <c r="SHG20" s="661"/>
      <c r="SHH20" s="556"/>
      <c r="SHI20" s="557"/>
      <c r="SHJ20" s="557"/>
      <c r="SHK20" s="557"/>
      <c r="SHL20" s="557"/>
      <c r="SHM20" s="557"/>
      <c r="SHN20" s="557"/>
      <c r="SHO20" s="557"/>
      <c r="SHP20" s="557"/>
      <c r="SHQ20" s="557"/>
      <c r="SHR20" s="557"/>
      <c r="SHS20" s="557"/>
      <c r="SHT20" s="557"/>
      <c r="SHU20" s="557"/>
      <c r="SHV20" s="557"/>
      <c r="SHW20" s="557"/>
      <c r="SHX20" s="557"/>
      <c r="SHY20" s="557"/>
      <c r="SHZ20" s="557"/>
      <c r="SIA20" s="661"/>
      <c r="SIB20" s="556"/>
      <c r="SIC20" s="557"/>
      <c r="SID20" s="557"/>
      <c r="SIE20" s="557"/>
      <c r="SIF20" s="557"/>
      <c r="SIG20" s="557"/>
      <c r="SIH20" s="557"/>
      <c r="SII20" s="557"/>
      <c r="SIJ20" s="557"/>
      <c r="SIK20" s="557"/>
      <c r="SIL20" s="557"/>
      <c r="SIM20" s="557"/>
      <c r="SIN20" s="557"/>
      <c r="SIO20" s="557"/>
      <c r="SIP20" s="557"/>
      <c r="SIQ20" s="557"/>
      <c r="SIR20" s="557"/>
      <c r="SIS20" s="557"/>
      <c r="SIT20" s="557"/>
      <c r="SIU20" s="661"/>
      <c r="SIV20" s="556"/>
      <c r="SIW20" s="557"/>
      <c r="SIX20" s="557"/>
      <c r="SIY20" s="557"/>
      <c r="SIZ20" s="557"/>
      <c r="SJA20" s="557"/>
      <c r="SJB20" s="557"/>
      <c r="SJC20" s="557"/>
      <c r="SJD20" s="557"/>
      <c r="SJE20" s="557"/>
      <c r="SJF20" s="557"/>
      <c r="SJG20" s="557"/>
      <c r="SJH20" s="557"/>
      <c r="SJI20" s="557"/>
      <c r="SJJ20" s="557"/>
      <c r="SJK20" s="557"/>
      <c r="SJL20" s="557"/>
      <c r="SJM20" s="557"/>
      <c r="SJN20" s="557"/>
      <c r="SJO20" s="661"/>
      <c r="SJP20" s="556"/>
      <c r="SJQ20" s="557"/>
      <c r="SJR20" s="557"/>
      <c r="SJS20" s="557"/>
      <c r="SJT20" s="557"/>
      <c r="SJU20" s="557"/>
      <c r="SJV20" s="557"/>
      <c r="SJW20" s="557"/>
      <c r="SJX20" s="557"/>
      <c r="SJY20" s="557"/>
      <c r="SJZ20" s="557"/>
      <c r="SKA20" s="557"/>
      <c r="SKB20" s="557"/>
      <c r="SKC20" s="557"/>
      <c r="SKD20" s="557"/>
      <c r="SKE20" s="557"/>
      <c r="SKF20" s="557"/>
      <c r="SKG20" s="557"/>
      <c r="SKH20" s="557"/>
      <c r="SKI20" s="661"/>
      <c r="SKJ20" s="556"/>
      <c r="SKK20" s="557"/>
      <c r="SKL20" s="557"/>
      <c r="SKM20" s="557"/>
      <c r="SKN20" s="557"/>
      <c r="SKO20" s="557"/>
      <c r="SKP20" s="557"/>
      <c r="SKQ20" s="557"/>
      <c r="SKR20" s="557"/>
      <c r="SKS20" s="557"/>
      <c r="SKT20" s="557"/>
      <c r="SKU20" s="557"/>
      <c r="SKV20" s="557"/>
      <c r="SKW20" s="557"/>
      <c r="SKX20" s="557"/>
      <c r="SKY20" s="557"/>
      <c r="SKZ20" s="557"/>
      <c r="SLA20" s="557"/>
      <c r="SLB20" s="557"/>
      <c r="SLC20" s="661"/>
      <c r="SLD20" s="556"/>
      <c r="SLE20" s="557"/>
      <c r="SLF20" s="557"/>
      <c r="SLG20" s="557"/>
      <c r="SLH20" s="557"/>
      <c r="SLI20" s="557"/>
      <c r="SLJ20" s="557"/>
      <c r="SLK20" s="557"/>
      <c r="SLL20" s="557"/>
      <c r="SLM20" s="557"/>
      <c r="SLN20" s="557"/>
      <c r="SLO20" s="557"/>
      <c r="SLP20" s="557"/>
      <c r="SLQ20" s="557"/>
      <c r="SLR20" s="557"/>
      <c r="SLS20" s="557"/>
      <c r="SLT20" s="557"/>
      <c r="SLU20" s="557"/>
      <c r="SLV20" s="557"/>
      <c r="SLW20" s="661"/>
      <c r="SLX20" s="556"/>
      <c r="SLY20" s="557"/>
      <c r="SLZ20" s="557"/>
      <c r="SMA20" s="557"/>
      <c r="SMB20" s="557"/>
      <c r="SMC20" s="557"/>
      <c r="SMD20" s="557"/>
      <c r="SME20" s="557"/>
      <c r="SMF20" s="557"/>
      <c r="SMG20" s="557"/>
      <c r="SMH20" s="557"/>
      <c r="SMI20" s="557"/>
      <c r="SMJ20" s="557"/>
      <c r="SMK20" s="557"/>
      <c r="SML20" s="557"/>
      <c r="SMM20" s="557"/>
      <c r="SMN20" s="557"/>
      <c r="SMO20" s="557"/>
      <c r="SMP20" s="557"/>
      <c r="SMQ20" s="661"/>
      <c r="SMR20" s="556"/>
      <c r="SMS20" s="557"/>
      <c r="SMT20" s="557"/>
      <c r="SMU20" s="557"/>
      <c r="SMV20" s="557"/>
      <c r="SMW20" s="557"/>
      <c r="SMX20" s="557"/>
      <c r="SMY20" s="557"/>
      <c r="SMZ20" s="557"/>
      <c r="SNA20" s="557"/>
      <c r="SNB20" s="557"/>
      <c r="SNC20" s="557"/>
      <c r="SND20" s="557"/>
      <c r="SNE20" s="557"/>
      <c r="SNF20" s="557"/>
      <c r="SNG20" s="557"/>
      <c r="SNH20" s="557"/>
      <c r="SNI20" s="557"/>
      <c r="SNJ20" s="557"/>
      <c r="SNK20" s="661"/>
      <c r="SNL20" s="556"/>
      <c r="SNM20" s="557"/>
      <c r="SNN20" s="557"/>
      <c r="SNO20" s="557"/>
      <c r="SNP20" s="557"/>
      <c r="SNQ20" s="557"/>
      <c r="SNR20" s="557"/>
      <c r="SNS20" s="557"/>
      <c r="SNT20" s="557"/>
      <c r="SNU20" s="557"/>
      <c r="SNV20" s="557"/>
      <c r="SNW20" s="557"/>
      <c r="SNX20" s="557"/>
      <c r="SNY20" s="557"/>
      <c r="SNZ20" s="557"/>
      <c r="SOA20" s="557"/>
      <c r="SOB20" s="557"/>
      <c r="SOC20" s="557"/>
      <c r="SOD20" s="557"/>
      <c r="SOE20" s="661"/>
      <c r="SOF20" s="556"/>
      <c r="SOG20" s="557"/>
      <c r="SOH20" s="557"/>
      <c r="SOI20" s="557"/>
      <c r="SOJ20" s="557"/>
      <c r="SOK20" s="557"/>
      <c r="SOL20" s="557"/>
      <c r="SOM20" s="557"/>
      <c r="SON20" s="557"/>
      <c r="SOO20" s="557"/>
      <c r="SOP20" s="557"/>
      <c r="SOQ20" s="557"/>
      <c r="SOR20" s="557"/>
      <c r="SOS20" s="557"/>
      <c r="SOT20" s="557"/>
      <c r="SOU20" s="557"/>
      <c r="SOV20" s="557"/>
      <c r="SOW20" s="557"/>
      <c r="SOX20" s="557"/>
      <c r="SOY20" s="661"/>
      <c r="SOZ20" s="556"/>
      <c r="SPA20" s="557"/>
      <c r="SPB20" s="557"/>
      <c r="SPC20" s="557"/>
      <c r="SPD20" s="557"/>
      <c r="SPE20" s="557"/>
      <c r="SPF20" s="557"/>
      <c r="SPG20" s="557"/>
      <c r="SPH20" s="557"/>
      <c r="SPI20" s="557"/>
      <c r="SPJ20" s="557"/>
      <c r="SPK20" s="557"/>
      <c r="SPL20" s="557"/>
      <c r="SPM20" s="557"/>
      <c r="SPN20" s="557"/>
      <c r="SPO20" s="557"/>
      <c r="SPP20" s="557"/>
      <c r="SPQ20" s="557"/>
      <c r="SPR20" s="557"/>
      <c r="SPS20" s="661"/>
      <c r="SPT20" s="556"/>
      <c r="SPU20" s="557"/>
      <c r="SPV20" s="557"/>
      <c r="SPW20" s="557"/>
      <c r="SPX20" s="557"/>
      <c r="SPY20" s="557"/>
      <c r="SPZ20" s="557"/>
      <c r="SQA20" s="557"/>
      <c r="SQB20" s="557"/>
      <c r="SQC20" s="557"/>
      <c r="SQD20" s="557"/>
      <c r="SQE20" s="557"/>
      <c r="SQF20" s="557"/>
      <c r="SQG20" s="557"/>
      <c r="SQH20" s="557"/>
      <c r="SQI20" s="557"/>
      <c r="SQJ20" s="557"/>
      <c r="SQK20" s="557"/>
      <c r="SQL20" s="557"/>
      <c r="SQM20" s="661"/>
      <c r="SQN20" s="556"/>
      <c r="SQO20" s="557"/>
      <c r="SQP20" s="557"/>
      <c r="SQQ20" s="557"/>
      <c r="SQR20" s="557"/>
      <c r="SQS20" s="557"/>
      <c r="SQT20" s="557"/>
      <c r="SQU20" s="557"/>
      <c r="SQV20" s="557"/>
      <c r="SQW20" s="557"/>
      <c r="SQX20" s="557"/>
      <c r="SQY20" s="557"/>
      <c r="SQZ20" s="557"/>
      <c r="SRA20" s="557"/>
      <c r="SRB20" s="557"/>
      <c r="SRC20" s="557"/>
      <c r="SRD20" s="557"/>
      <c r="SRE20" s="557"/>
      <c r="SRF20" s="557"/>
      <c r="SRG20" s="661"/>
      <c r="SRH20" s="556"/>
      <c r="SRI20" s="557"/>
      <c r="SRJ20" s="557"/>
      <c r="SRK20" s="557"/>
      <c r="SRL20" s="557"/>
      <c r="SRM20" s="557"/>
      <c r="SRN20" s="557"/>
      <c r="SRO20" s="557"/>
      <c r="SRP20" s="557"/>
      <c r="SRQ20" s="557"/>
      <c r="SRR20" s="557"/>
      <c r="SRS20" s="557"/>
      <c r="SRT20" s="557"/>
      <c r="SRU20" s="557"/>
      <c r="SRV20" s="557"/>
      <c r="SRW20" s="557"/>
      <c r="SRX20" s="557"/>
      <c r="SRY20" s="557"/>
      <c r="SRZ20" s="557"/>
      <c r="SSA20" s="661"/>
      <c r="SSB20" s="556"/>
      <c r="SSC20" s="557"/>
      <c r="SSD20" s="557"/>
      <c r="SSE20" s="557"/>
      <c r="SSF20" s="557"/>
      <c r="SSG20" s="557"/>
      <c r="SSH20" s="557"/>
      <c r="SSI20" s="557"/>
      <c r="SSJ20" s="557"/>
      <c r="SSK20" s="557"/>
      <c r="SSL20" s="557"/>
      <c r="SSM20" s="557"/>
      <c r="SSN20" s="557"/>
      <c r="SSO20" s="557"/>
      <c r="SSP20" s="557"/>
      <c r="SSQ20" s="557"/>
      <c r="SSR20" s="557"/>
      <c r="SSS20" s="557"/>
      <c r="SST20" s="557"/>
      <c r="SSU20" s="661"/>
      <c r="SSV20" s="556"/>
      <c r="SSW20" s="557"/>
      <c r="SSX20" s="557"/>
      <c r="SSY20" s="557"/>
      <c r="SSZ20" s="557"/>
      <c r="STA20" s="557"/>
      <c r="STB20" s="557"/>
      <c r="STC20" s="557"/>
      <c r="STD20" s="557"/>
      <c r="STE20" s="557"/>
      <c r="STF20" s="557"/>
      <c r="STG20" s="557"/>
      <c r="STH20" s="557"/>
      <c r="STI20" s="557"/>
      <c r="STJ20" s="557"/>
      <c r="STK20" s="557"/>
      <c r="STL20" s="557"/>
      <c r="STM20" s="557"/>
      <c r="STN20" s="557"/>
      <c r="STO20" s="661"/>
      <c r="STP20" s="556"/>
      <c r="STQ20" s="557"/>
      <c r="STR20" s="557"/>
      <c r="STS20" s="557"/>
      <c r="STT20" s="557"/>
      <c r="STU20" s="557"/>
      <c r="STV20" s="557"/>
      <c r="STW20" s="557"/>
      <c r="STX20" s="557"/>
      <c r="STY20" s="557"/>
      <c r="STZ20" s="557"/>
      <c r="SUA20" s="557"/>
      <c r="SUB20" s="557"/>
      <c r="SUC20" s="557"/>
      <c r="SUD20" s="557"/>
      <c r="SUE20" s="557"/>
      <c r="SUF20" s="557"/>
      <c r="SUG20" s="557"/>
      <c r="SUH20" s="557"/>
      <c r="SUI20" s="661"/>
      <c r="SUJ20" s="556"/>
      <c r="SUK20" s="557"/>
      <c r="SUL20" s="557"/>
      <c r="SUM20" s="557"/>
      <c r="SUN20" s="557"/>
      <c r="SUO20" s="557"/>
      <c r="SUP20" s="557"/>
      <c r="SUQ20" s="557"/>
      <c r="SUR20" s="557"/>
      <c r="SUS20" s="557"/>
      <c r="SUT20" s="557"/>
      <c r="SUU20" s="557"/>
      <c r="SUV20" s="557"/>
      <c r="SUW20" s="557"/>
      <c r="SUX20" s="557"/>
      <c r="SUY20" s="557"/>
      <c r="SUZ20" s="557"/>
      <c r="SVA20" s="557"/>
      <c r="SVB20" s="557"/>
      <c r="SVC20" s="661"/>
      <c r="SVD20" s="556"/>
      <c r="SVE20" s="557"/>
      <c r="SVF20" s="557"/>
      <c r="SVG20" s="557"/>
      <c r="SVH20" s="557"/>
      <c r="SVI20" s="557"/>
      <c r="SVJ20" s="557"/>
      <c r="SVK20" s="557"/>
      <c r="SVL20" s="557"/>
      <c r="SVM20" s="557"/>
      <c r="SVN20" s="557"/>
      <c r="SVO20" s="557"/>
      <c r="SVP20" s="557"/>
      <c r="SVQ20" s="557"/>
      <c r="SVR20" s="557"/>
      <c r="SVS20" s="557"/>
      <c r="SVT20" s="557"/>
      <c r="SVU20" s="557"/>
      <c r="SVV20" s="557"/>
      <c r="SVW20" s="661"/>
      <c r="SVX20" s="556"/>
      <c r="SVY20" s="557"/>
      <c r="SVZ20" s="557"/>
      <c r="SWA20" s="557"/>
      <c r="SWB20" s="557"/>
      <c r="SWC20" s="557"/>
      <c r="SWD20" s="557"/>
      <c r="SWE20" s="557"/>
      <c r="SWF20" s="557"/>
      <c r="SWG20" s="557"/>
      <c r="SWH20" s="557"/>
      <c r="SWI20" s="557"/>
      <c r="SWJ20" s="557"/>
      <c r="SWK20" s="557"/>
      <c r="SWL20" s="557"/>
      <c r="SWM20" s="557"/>
      <c r="SWN20" s="557"/>
      <c r="SWO20" s="557"/>
      <c r="SWP20" s="557"/>
      <c r="SWQ20" s="661"/>
      <c r="SWR20" s="556"/>
      <c r="SWS20" s="557"/>
      <c r="SWT20" s="557"/>
      <c r="SWU20" s="557"/>
      <c r="SWV20" s="557"/>
      <c r="SWW20" s="557"/>
      <c r="SWX20" s="557"/>
      <c r="SWY20" s="557"/>
      <c r="SWZ20" s="557"/>
      <c r="SXA20" s="557"/>
      <c r="SXB20" s="557"/>
      <c r="SXC20" s="557"/>
      <c r="SXD20" s="557"/>
      <c r="SXE20" s="557"/>
      <c r="SXF20" s="557"/>
      <c r="SXG20" s="557"/>
      <c r="SXH20" s="557"/>
      <c r="SXI20" s="557"/>
      <c r="SXJ20" s="557"/>
      <c r="SXK20" s="661"/>
      <c r="SXL20" s="556"/>
      <c r="SXM20" s="557"/>
      <c r="SXN20" s="557"/>
      <c r="SXO20" s="557"/>
      <c r="SXP20" s="557"/>
      <c r="SXQ20" s="557"/>
      <c r="SXR20" s="557"/>
      <c r="SXS20" s="557"/>
      <c r="SXT20" s="557"/>
      <c r="SXU20" s="557"/>
      <c r="SXV20" s="557"/>
      <c r="SXW20" s="557"/>
      <c r="SXX20" s="557"/>
      <c r="SXY20" s="557"/>
      <c r="SXZ20" s="557"/>
      <c r="SYA20" s="557"/>
      <c r="SYB20" s="557"/>
      <c r="SYC20" s="557"/>
      <c r="SYD20" s="557"/>
      <c r="SYE20" s="661"/>
      <c r="SYF20" s="556"/>
      <c r="SYG20" s="557"/>
      <c r="SYH20" s="557"/>
      <c r="SYI20" s="557"/>
      <c r="SYJ20" s="557"/>
      <c r="SYK20" s="557"/>
      <c r="SYL20" s="557"/>
      <c r="SYM20" s="557"/>
      <c r="SYN20" s="557"/>
      <c r="SYO20" s="557"/>
      <c r="SYP20" s="557"/>
      <c r="SYQ20" s="557"/>
      <c r="SYR20" s="557"/>
      <c r="SYS20" s="557"/>
      <c r="SYT20" s="557"/>
      <c r="SYU20" s="557"/>
      <c r="SYV20" s="557"/>
      <c r="SYW20" s="557"/>
      <c r="SYX20" s="557"/>
      <c r="SYY20" s="661"/>
      <c r="SYZ20" s="556"/>
      <c r="SZA20" s="557"/>
      <c r="SZB20" s="557"/>
      <c r="SZC20" s="557"/>
      <c r="SZD20" s="557"/>
      <c r="SZE20" s="557"/>
      <c r="SZF20" s="557"/>
      <c r="SZG20" s="557"/>
      <c r="SZH20" s="557"/>
      <c r="SZI20" s="557"/>
      <c r="SZJ20" s="557"/>
      <c r="SZK20" s="557"/>
      <c r="SZL20" s="557"/>
      <c r="SZM20" s="557"/>
      <c r="SZN20" s="557"/>
      <c r="SZO20" s="557"/>
      <c r="SZP20" s="557"/>
      <c r="SZQ20" s="557"/>
      <c r="SZR20" s="557"/>
      <c r="SZS20" s="661"/>
      <c r="SZT20" s="556"/>
      <c r="SZU20" s="557"/>
      <c r="SZV20" s="557"/>
      <c r="SZW20" s="557"/>
      <c r="SZX20" s="557"/>
      <c r="SZY20" s="557"/>
      <c r="SZZ20" s="557"/>
      <c r="TAA20" s="557"/>
      <c r="TAB20" s="557"/>
      <c r="TAC20" s="557"/>
      <c r="TAD20" s="557"/>
      <c r="TAE20" s="557"/>
      <c r="TAF20" s="557"/>
      <c r="TAG20" s="557"/>
      <c r="TAH20" s="557"/>
      <c r="TAI20" s="557"/>
      <c r="TAJ20" s="557"/>
      <c r="TAK20" s="557"/>
      <c r="TAL20" s="557"/>
      <c r="TAM20" s="661"/>
      <c r="TAN20" s="556"/>
      <c r="TAO20" s="557"/>
      <c r="TAP20" s="557"/>
      <c r="TAQ20" s="557"/>
      <c r="TAR20" s="557"/>
      <c r="TAS20" s="557"/>
      <c r="TAT20" s="557"/>
      <c r="TAU20" s="557"/>
      <c r="TAV20" s="557"/>
      <c r="TAW20" s="557"/>
      <c r="TAX20" s="557"/>
      <c r="TAY20" s="557"/>
      <c r="TAZ20" s="557"/>
      <c r="TBA20" s="557"/>
      <c r="TBB20" s="557"/>
      <c r="TBC20" s="557"/>
      <c r="TBD20" s="557"/>
      <c r="TBE20" s="557"/>
      <c r="TBF20" s="557"/>
      <c r="TBG20" s="661"/>
      <c r="TBH20" s="556"/>
      <c r="TBI20" s="557"/>
      <c r="TBJ20" s="557"/>
      <c r="TBK20" s="557"/>
      <c r="TBL20" s="557"/>
      <c r="TBM20" s="557"/>
      <c r="TBN20" s="557"/>
      <c r="TBO20" s="557"/>
      <c r="TBP20" s="557"/>
      <c r="TBQ20" s="557"/>
      <c r="TBR20" s="557"/>
      <c r="TBS20" s="557"/>
      <c r="TBT20" s="557"/>
      <c r="TBU20" s="557"/>
      <c r="TBV20" s="557"/>
      <c r="TBW20" s="557"/>
      <c r="TBX20" s="557"/>
      <c r="TBY20" s="557"/>
      <c r="TBZ20" s="557"/>
      <c r="TCA20" s="661"/>
      <c r="TCB20" s="556"/>
      <c r="TCC20" s="557"/>
      <c r="TCD20" s="557"/>
      <c r="TCE20" s="557"/>
      <c r="TCF20" s="557"/>
      <c r="TCG20" s="557"/>
      <c r="TCH20" s="557"/>
      <c r="TCI20" s="557"/>
      <c r="TCJ20" s="557"/>
      <c r="TCK20" s="557"/>
      <c r="TCL20" s="557"/>
      <c r="TCM20" s="557"/>
      <c r="TCN20" s="557"/>
      <c r="TCO20" s="557"/>
      <c r="TCP20" s="557"/>
      <c r="TCQ20" s="557"/>
      <c r="TCR20" s="557"/>
      <c r="TCS20" s="557"/>
      <c r="TCT20" s="557"/>
      <c r="TCU20" s="661"/>
      <c r="TCV20" s="556"/>
      <c r="TCW20" s="557"/>
      <c r="TCX20" s="557"/>
      <c r="TCY20" s="557"/>
      <c r="TCZ20" s="557"/>
      <c r="TDA20" s="557"/>
      <c r="TDB20" s="557"/>
      <c r="TDC20" s="557"/>
      <c r="TDD20" s="557"/>
      <c r="TDE20" s="557"/>
      <c r="TDF20" s="557"/>
      <c r="TDG20" s="557"/>
      <c r="TDH20" s="557"/>
      <c r="TDI20" s="557"/>
      <c r="TDJ20" s="557"/>
      <c r="TDK20" s="557"/>
      <c r="TDL20" s="557"/>
      <c r="TDM20" s="557"/>
      <c r="TDN20" s="557"/>
      <c r="TDO20" s="661"/>
      <c r="TDP20" s="556"/>
      <c r="TDQ20" s="557"/>
      <c r="TDR20" s="557"/>
      <c r="TDS20" s="557"/>
      <c r="TDT20" s="557"/>
      <c r="TDU20" s="557"/>
      <c r="TDV20" s="557"/>
      <c r="TDW20" s="557"/>
      <c r="TDX20" s="557"/>
      <c r="TDY20" s="557"/>
      <c r="TDZ20" s="557"/>
      <c r="TEA20" s="557"/>
      <c r="TEB20" s="557"/>
      <c r="TEC20" s="557"/>
      <c r="TED20" s="557"/>
      <c r="TEE20" s="557"/>
      <c r="TEF20" s="557"/>
      <c r="TEG20" s="557"/>
      <c r="TEH20" s="557"/>
      <c r="TEI20" s="661"/>
      <c r="TEJ20" s="556"/>
      <c r="TEK20" s="557"/>
      <c r="TEL20" s="557"/>
      <c r="TEM20" s="557"/>
      <c r="TEN20" s="557"/>
      <c r="TEO20" s="557"/>
      <c r="TEP20" s="557"/>
      <c r="TEQ20" s="557"/>
      <c r="TER20" s="557"/>
      <c r="TES20" s="557"/>
      <c r="TET20" s="557"/>
      <c r="TEU20" s="557"/>
      <c r="TEV20" s="557"/>
      <c r="TEW20" s="557"/>
      <c r="TEX20" s="557"/>
      <c r="TEY20" s="557"/>
      <c r="TEZ20" s="557"/>
      <c r="TFA20" s="557"/>
      <c r="TFB20" s="557"/>
      <c r="TFC20" s="661"/>
      <c r="TFD20" s="556"/>
      <c r="TFE20" s="557"/>
      <c r="TFF20" s="557"/>
      <c r="TFG20" s="557"/>
      <c r="TFH20" s="557"/>
      <c r="TFI20" s="557"/>
      <c r="TFJ20" s="557"/>
      <c r="TFK20" s="557"/>
      <c r="TFL20" s="557"/>
      <c r="TFM20" s="557"/>
      <c r="TFN20" s="557"/>
      <c r="TFO20" s="557"/>
      <c r="TFP20" s="557"/>
      <c r="TFQ20" s="557"/>
      <c r="TFR20" s="557"/>
      <c r="TFS20" s="557"/>
      <c r="TFT20" s="557"/>
      <c r="TFU20" s="557"/>
      <c r="TFV20" s="557"/>
      <c r="TFW20" s="661"/>
      <c r="TFX20" s="556"/>
      <c r="TFY20" s="557"/>
      <c r="TFZ20" s="557"/>
      <c r="TGA20" s="557"/>
      <c r="TGB20" s="557"/>
      <c r="TGC20" s="557"/>
      <c r="TGD20" s="557"/>
      <c r="TGE20" s="557"/>
      <c r="TGF20" s="557"/>
      <c r="TGG20" s="557"/>
      <c r="TGH20" s="557"/>
      <c r="TGI20" s="557"/>
      <c r="TGJ20" s="557"/>
      <c r="TGK20" s="557"/>
      <c r="TGL20" s="557"/>
      <c r="TGM20" s="557"/>
      <c r="TGN20" s="557"/>
      <c r="TGO20" s="557"/>
      <c r="TGP20" s="557"/>
      <c r="TGQ20" s="661"/>
      <c r="TGR20" s="556"/>
      <c r="TGS20" s="557"/>
      <c r="TGT20" s="557"/>
      <c r="TGU20" s="557"/>
      <c r="TGV20" s="557"/>
      <c r="TGW20" s="557"/>
      <c r="TGX20" s="557"/>
      <c r="TGY20" s="557"/>
      <c r="TGZ20" s="557"/>
      <c r="THA20" s="557"/>
      <c r="THB20" s="557"/>
      <c r="THC20" s="557"/>
      <c r="THD20" s="557"/>
      <c r="THE20" s="557"/>
      <c r="THF20" s="557"/>
      <c r="THG20" s="557"/>
      <c r="THH20" s="557"/>
      <c r="THI20" s="557"/>
      <c r="THJ20" s="557"/>
      <c r="THK20" s="661"/>
      <c r="THL20" s="556"/>
      <c r="THM20" s="557"/>
      <c r="THN20" s="557"/>
      <c r="THO20" s="557"/>
      <c r="THP20" s="557"/>
      <c r="THQ20" s="557"/>
      <c r="THR20" s="557"/>
      <c r="THS20" s="557"/>
      <c r="THT20" s="557"/>
      <c r="THU20" s="557"/>
      <c r="THV20" s="557"/>
      <c r="THW20" s="557"/>
      <c r="THX20" s="557"/>
      <c r="THY20" s="557"/>
      <c r="THZ20" s="557"/>
      <c r="TIA20" s="557"/>
      <c r="TIB20" s="557"/>
      <c r="TIC20" s="557"/>
      <c r="TID20" s="557"/>
      <c r="TIE20" s="661"/>
      <c r="TIF20" s="556"/>
      <c r="TIG20" s="557"/>
      <c r="TIH20" s="557"/>
      <c r="TII20" s="557"/>
      <c r="TIJ20" s="557"/>
      <c r="TIK20" s="557"/>
      <c r="TIL20" s="557"/>
      <c r="TIM20" s="557"/>
      <c r="TIN20" s="557"/>
      <c r="TIO20" s="557"/>
      <c r="TIP20" s="557"/>
      <c r="TIQ20" s="557"/>
      <c r="TIR20" s="557"/>
      <c r="TIS20" s="557"/>
      <c r="TIT20" s="557"/>
      <c r="TIU20" s="557"/>
      <c r="TIV20" s="557"/>
      <c r="TIW20" s="557"/>
      <c r="TIX20" s="557"/>
      <c r="TIY20" s="661"/>
      <c r="TIZ20" s="556"/>
      <c r="TJA20" s="557"/>
      <c r="TJB20" s="557"/>
      <c r="TJC20" s="557"/>
      <c r="TJD20" s="557"/>
      <c r="TJE20" s="557"/>
      <c r="TJF20" s="557"/>
      <c r="TJG20" s="557"/>
      <c r="TJH20" s="557"/>
      <c r="TJI20" s="557"/>
      <c r="TJJ20" s="557"/>
      <c r="TJK20" s="557"/>
      <c r="TJL20" s="557"/>
      <c r="TJM20" s="557"/>
      <c r="TJN20" s="557"/>
      <c r="TJO20" s="557"/>
      <c r="TJP20" s="557"/>
      <c r="TJQ20" s="557"/>
      <c r="TJR20" s="557"/>
      <c r="TJS20" s="661"/>
      <c r="TJT20" s="556"/>
      <c r="TJU20" s="557"/>
      <c r="TJV20" s="557"/>
      <c r="TJW20" s="557"/>
      <c r="TJX20" s="557"/>
      <c r="TJY20" s="557"/>
      <c r="TJZ20" s="557"/>
      <c r="TKA20" s="557"/>
      <c r="TKB20" s="557"/>
      <c r="TKC20" s="557"/>
      <c r="TKD20" s="557"/>
      <c r="TKE20" s="557"/>
      <c r="TKF20" s="557"/>
      <c r="TKG20" s="557"/>
      <c r="TKH20" s="557"/>
      <c r="TKI20" s="557"/>
      <c r="TKJ20" s="557"/>
      <c r="TKK20" s="557"/>
      <c r="TKL20" s="557"/>
      <c r="TKM20" s="661"/>
      <c r="TKN20" s="556"/>
      <c r="TKO20" s="557"/>
      <c r="TKP20" s="557"/>
      <c r="TKQ20" s="557"/>
      <c r="TKR20" s="557"/>
      <c r="TKS20" s="557"/>
      <c r="TKT20" s="557"/>
      <c r="TKU20" s="557"/>
      <c r="TKV20" s="557"/>
      <c r="TKW20" s="557"/>
      <c r="TKX20" s="557"/>
      <c r="TKY20" s="557"/>
      <c r="TKZ20" s="557"/>
      <c r="TLA20" s="557"/>
      <c r="TLB20" s="557"/>
      <c r="TLC20" s="557"/>
      <c r="TLD20" s="557"/>
      <c r="TLE20" s="557"/>
      <c r="TLF20" s="557"/>
      <c r="TLG20" s="661"/>
      <c r="TLH20" s="556"/>
      <c r="TLI20" s="557"/>
      <c r="TLJ20" s="557"/>
      <c r="TLK20" s="557"/>
      <c r="TLL20" s="557"/>
      <c r="TLM20" s="557"/>
      <c r="TLN20" s="557"/>
      <c r="TLO20" s="557"/>
      <c r="TLP20" s="557"/>
      <c r="TLQ20" s="557"/>
      <c r="TLR20" s="557"/>
      <c r="TLS20" s="557"/>
      <c r="TLT20" s="557"/>
      <c r="TLU20" s="557"/>
      <c r="TLV20" s="557"/>
      <c r="TLW20" s="557"/>
      <c r="TLX20" s="557"/>
      <c r="TLY20" s="557"/>
      <c r="TLZ20" s="557"/>
      <c r="TMA20" s="661"/>
      <c r="TMB20" s="556"/>
      <c r="TMC20" s="557"/>
      <c r="TMD20" s="557"/>
      <c r="TME20" s="557"/>
      <c r="TMF20" s="557"/>
      <c r="TMG20" s="557"/>
      <c r="TMH20" s="557"/>
      <c r="TMI20" s="557"/>
      <c r="TMJ20" s="557"/>
      <c r="TMK20" s="557"/>
      <c r="TML20" s="557"/>
      <c r="TMM20" s="557"/>
      <c r="TMN20" s="557"/>
      <c r="TMO20" s="557"/>
      <c r="TMP20" s="557"/>
      <c r="TMQ20" s="557"/>
      <c r="TMR20" s="557"/>
      <c r="TMS20" s="557"/>
      <c r="TMT20" s="557"/>
      <c r="TMU20" s="661"/>
      <c r="TMV20" s="556"/>
      <c r="TMW20" s="557"/>
      <c r="TMX20" s="557"/>
      <c r="TMY20" s="557"/>
      <c r="TMZ20" s="557"/>
      <c r="TNA20" s="557"/>
      <c r="TNB20" s="557"/>
      <c r="TNC20" s="557"/>
      <c r="TND20" s="557"/>
      <c r="TNE20" s="557"/>
      <c r="TNF20" s="557"/>
      <c r="TNG20" s="557"/>
      <c r="TNH20" s="557"/>
      <c r="TNI20" s="557"/>
      <c r="TNJ20" s="557"/>
      <c r="TNK20" s="557"/>
      <c r="TNL20" s="557"/>
      <c r="TNM20" s="557"/>
      <c r="TNN20" s="557"/>
      <c r="TNO20" s="661"/>
      <c r="TNP20" s="556"/>
      <c r="TNQ20" s="557"/>
      <c r="TNR20" s="557"/>
      <c r="TNS20" s="557"/>
      <c r="TNT20" s="557"/>
      <c r="TNU20" s="557"/>
      <c r="TNV20" s="557"/>
      <c r="TNW20" s="557"/>
      <c r="TNX20" s="557"/>
      <c r="TNY20" s="557"/>
      <c r="TNZ20" s="557"/>
      <c r="TOA20" s="557"/>
      <c r="TOB20" s="557"/>
      <c r="TOC20" s="557"/>
      <c r="TOD20" s="557"/>
      <c r="TOE20" s="557"/>
      <c r="TOF20" s="557"/>
      <c r="TOG20" s="557"/>
      <c r="TOH20" s="557"/>
      <c r="TOI20" s="661"/>
      <c r="TOJ20" s="556"/>
      <c r="TOK20" s="557"/>
      <c r="TOL20" s="557"/>
      <c r="TOM20" s="557"/>
      <c r="TON20" s="557"/>
      <c r="TOO20" s="557"/>
      <c r="TOP20" s="557"/>
      <c r="TOQ20" s="557"/>
      <c r="TOR20" s="557"/>
      <c r="TOS20" s="557"/>
      <c r="TOT20" s="557"/>
      <c r="TOU20" s="557"/>
      <c r="TOV20" s="557"/>
      <c r="TOW20" s="557"/>
      <c r="TOX20" s="557"/>
      <c r="TOY20" s="557"/>
      <c r="TOZ20" s="557"/>
      <c r="TPA20" s="557"/>
      <c r="TPB20" s="557"/>
      <c r="TPC20" s="661"/>
      <c r="TPD20" s="556"/>
      <c r="TPE20" s="557"/>
      <c r="TPF20" s="557"/>
      <c r="TPG20" s="557"/>
      <c r="TPH20" s="557"/>
      <c r="TPI20" s="557"/>
      <c r="TPJ20" s="557"/>
      <c r="TPK20" s="557"/>
      <c r="TPL20" s="557"/>
      <c r="TPM20" s="557"/>
      <c r="TPN20" s="557"/>
      <c r="TPO20" s="557"/>
      <c r="TPP20" s="557"/>
      <c r="TPQ20" s="557"/>
      <c r="TPR20" s="557"/>
      <c r="TPS20" s="557"/>
      <c r="TPT20" s="557"/>
      <c r="TPU20" s="557"/>
      <c r="TPV20" s="557"/>
      <c r="TPW20" s="661"/>
      <c r="TPX20" s="556"/>
      <c r="TPY20" s="557"/>
      <c r="TPZ20" s="557"/>
      <c r="TQA20" s="557"/>
      <c r="TQB20" s="557"/>
      <c r="TQC20" s="557"/>
      <c r="TQD20" s="557"/>
      <c r="TQE20" s="557"/>
      <c r="TQF20" s="557"/>
      <c r="TQG20" s="557"/>
      <c r="TQH20" s="557"/>
      <c r="TQI20" s="557"/>
      <c r="TQJ20" s="557"/>
      <c r="TQK20" s="557"/>
      <c r="TQL20" s="557"/>
      <c r="TQM20" s="557"/>
      <c r="TQN20" s="557"/>
      <c r="TQO20" s="557"/>
      <c r="TQP20" s="557"/>
      <c r="TQQ20" s="661"/>
      <c r="TQR20" s="556"/>
      <c r="TQS20" s="557"/>
      <c r="TQT20" s="557"/>
      <c r="TQU20" s="557"/>
      <c r="TQV20" s="557"/>
      <c r="TQW20" s="557"/>
      <c r="TQX20" s="557"/>
      <c r="TQY20" s="557"/>
      <c r="TQZ20" s="557"/>
      <c r="TRA20" s="557"/>
      <c r="TRB20" s="557"/>
      <c r="TRC20" s="557"/>
      <c r="TRD20" s="557"/>
      <c r="TRE20" s="557"/>
      <c r="TRF20" s="557"/>
      <c r="TRG20" s="557"/>
      <c r="TRH20" s="557"/>
      <c r="TRI20" s="557"/>
      <c r="TRJ20" s="557"/>
      <c r="TRK20" s="661"/>
      <c r="TRL20" s="556"/>
      <c r="TRM20" s="557"/>
      <c r="TRN20" s="557"/>
      <c r="TRO20" s="557"/>
      <c r="TRP20" s="557"/>
      <c r="TRQ20" s="557"/>
      <c r="TRR20" s="557"/>
      <c r="TRS20" s="557"/>
      <c r="TRT20" s="557"/>
      <c r="TRU20" s="557"/>
      <c r="TRV20" s="557"/>
      <c r="TRW20" s="557"/>
      <c r="TRX20" s="557"/>
      <c r="TRY20" s="557"/>
      <c r="TRZ20" s="557"/>
      <c r="TSA20" s="557"/>
      <c r="TSB20" s="557"/>
      <c r="TSC20" s="557"/>
      <c r="TSD20" s="557"/>
      <c r="TSE20" s="661"/>
      <c r="TSF20" s="556"/>
      <c r="TSG20" s="557"/>
      <c r="TSH20" s="557"/>
      <c r="TSI20" s="557"/>
      <c r="TSJ20" s="557"/>
      <c r="TSK20" s="557"/>
      <c r="TSL20" s="557"/>
      <c r="TSM20" s="557"/>
      <c r="TSN20" s="557"/>
      <c r="TSO20" s="557"/>
      <c r="TSP20" s="557"/>
      <c r="TSQ20" s="557"/>
      <c r="TSR20" s="557"/>
      <c r="TSS20" s="557"/>
      <c r="TST20" s="557"/>
      <c r="TSU20" s="557"/>
      <c r="TSV20" s="557"/>
      <c r="TSW20" s="557"/>
      <c r="TSX20" s="557"/>
      <c r="TSY20" s="661"/>
      <c r="TSZ20" s="556"/>
      <c r="TTA20" s="557"/>
      <c r="TTB20" s="557"/>
      <c r="TTC20" s="557"/>
      <c r="TTD20" s="557"/>
      <c r="TTE20" s="557"/>
      <c r="TTF20" s="557"/>
      <c r="TTG20" s="557"/>
      <c r="TTH20" s="557"/>
      <c r="TTI20" s="557"/>
      <c r="TTJ20" s="557"/>
      <c r="TTK20" s="557"/>
      <c r="TTL20" s="557"/>
      <c r="TTM20" s="557"/>
      <c r="TTN20" s="557"/>
      <c r="TTO20" s="557"/>
      <c r="TTP20" s="557"/>
      <c r="TTQ20" s="557"/>
      <c r="TTR20" s="557"/>
      <c r="TTS20" s="661"/>
      <c r="TTT20" s="556"/>
      <c r="TTU20" s="557"/>
      <c r="TTV20" s="557"/>
      <c r="TTW20" s="557"/>
      <c r="TTX20" s="557"/>
      <c r="TTY20" s="557"/>
      <c r="TTZ20" s="557"/>
      <c r="TUA20" s="557"/>
      <c r="TUB20" s="557"/>
      <c r="TUC20" s="557"/>
      <c r="TUD20" s="557"/>
      <c r="TUE20" s="557"/>
      <c r="TUF20" s="557"/>
      <c r="TUG20" s="557"/>
      <c r="TUH20" s="557"/>
      <c r="TUI20" s="557"/>
      <c r="TUJ20" s="557"/>
      <c r="TUK20" s="557"/>
      <c r="TUL20" s="557"/>
      <c r="TUM20" s="661"/>
      <c r="TUN20" s="556"/>
      <c r="TUO20" s="557"/>
      <c r="TUP20" s="557"/>
      <c r="TUQ20" s="557"/>
      <c r="TUR20" s="557"/>
      <c r="TUS20" s="557"/>
      <c r="TUT20" s="557"/>
      <c r="TUU20" s="557"/>
      <c r="TUV20" s="557"/>
      <c r="TUW20" s="557"/>
      <c r="TUX20" s="557"/>
      <c r="TUY20" s="557"/>
      <c r="TUZ20" s="557"/>
      <c r="TVA20" s="557"/>
      <c r="TVB20" s="557"/>
      <c r="TVC20" s="557"/>
      <c r="TVD20" s="557"/>
      <c r="TVE20" s="557"/>
      <c r="TVF20" s="557"/>
      <c r="TVG20" s="661"/>
      <c r="TVH20" s="556"/>
      <c r="TVI20" s="557"/>
      <c r="TVJ20" s="557"/>
      <c r="TVK20" s="557"/>
      <c r="TVL20" s="557"/>
      <c r="TVM20" s="557"/>
      <c r="TVN20" s="557"/>
      <c r="TVO20" s="557"/>
      <c r="TVP20" s="557"/>
      <c r="TVQ20" s="557"/>
      <c r="TVR20" s="557"/>
      <c r="TVS20" s="557"/>
      <c r="TVT20" s="557"/>
      <c r="TVU20" s="557"/>
      <c r="TVV20" s="557"/>
      <c r="TVW20" s="557"/>
      <c r="TVX20" s="557"/>
      <c r="TVY20" s="557"/>
      <c r="TVZ20" s="557"/>
      <c r="TWA20" s="661"/>
      <c r="TWB20" s="556"/>
      <c r="TWC20" s="557"/>
      <c r="TWD20" s="557"/>
      <c r="TWE20" s="557"/>
      <c r="TWF20" s="557"/>
      <c r="TWG20" s="557"/>
      <c r="TWH20" s="557"/>
      <c r="TWI20" s="557"/>
      <c r="TWJ20" s="557"/>
      <c r="TWK20" s="557"/>
      <c r="TWL20" s="557"/>
      <c r="TWM20" s="557"/>
      <c r="TWN20" s="557"/>
      <c r="TWO20" s="557"/>
      <c r="TWP20" s="557"/>
      <c r="TWQ20" s="557"/>
      <c r="TWR20" s="557"/>
      <c r="TWS20" s="557"/>
      <c r="TWT20" s="557"/>
      <c r="TWU20" s="661"/>
      <c r="TWV20" s="556"/>
      <c r="TWW20" s="557"/>
      <c r="TWX20" s="557"/>
      <c r="TWY20" s="557"/>
      <c r="TWZ20" s="557"/>
      <c r="TXA20" s="557"/>
      <c r="TXB20" s="557"/>
      <c r="TXC20" s="557"/>
      <c r="TXD20" s="557"/>
      <c r="TXE20" s="557"/>
      <c r="TXF20" s="557"/>
      <c r="TXG20" s="557"/>
      <c r="TXH20" s="557"/>
      <c r="TXI20" s="557"/>
      <c r="TXJ20" s="557"/>
      <c r="TXK20" s="557"/>
      <c r="TXL20" s="557"/>
      <c r="TXM20" s="557"/>
      <c r="TXN20" s="557"/>
      <c r="TXO20" s="661"/>
      <c r="TXP20" s="556"/>
      <c r="TXQ20" s="557"/>
      <c r="TXR20" s="557"/>
      <c r="TXS20" s="557"/>
      <c r="TXT20" s="557"/>
      <c r="TXU20" s="557"/>
      <c r="TXV20" s="557"/>
      <c r="TXW20" s="557"/>
      <c r="TXX20" s="557"/>
      <c r="TXY20" s="557"/>
      <c r="TXZ20" s="557"/>
      <c r="TYA20" s="557"/>
      <c r="TYB20" s="557"/>
      <c r="TYC20" s="557"/>
      <c r="TYD20" s="557"/>
      <c r="TYE20" s="557"/>
      <c r="TYF20" s="557"/>
      <c r="TYG20" s="557"/>
      <c r="TYH20" s="557"/>
      <c r="TYI20" s="661"/>
      <c r="TYJ20" s="556"/>
      <c r="TYK20" s="557"/>
      <c r="TYL20" s="557"/>
      <c r="TYM20" s="557"/>
      <c r="TYN20" s="557"/>
      <c r="TYO20" s="557"/>
      <c r="TYP20" s="557"/>
      <c r="TYQ20" s="557"/>
      <c r="TYR20" s="557"/>
      <c r="TYS20" s="557"/>
      <c r="TYT20" s="557"/>
      <c r="TYU20" s="557"/>
      <c r="TYV20" s="557"/>
      <c r="TYW20" s="557"/>
      <c r="TYX20" s="557"/>
      <c r="TYY20" s="557"/>
      <c r="TYZ20" s="557"/>
      <c r="TZA20" s="557"/>
      <c r="TZB20" s="557"/>
      <c r="TZC20" s="661"/>
      <c r="TZD20" s="556"/>
      <c r="TZE20" s="557"/>
      <c r="TZF20" s="557"/>
      <c r="TZG20" s="557"/>
      <c r="TZH20" s="557"/>
      <c r="TZI20" s="557"/>
      <c r="TZJ20" s="557"/>
      <c r="TZK20" s="557"/>
      <c r="TZL20" s="557"/>
      <c r="TZM20" s="557"/>
      <c r="TZN20" s="557"/>
      <c r="TZO20" s="557"/>
      <c r="TZP20" s="557"/>
      <c r="TZQ20" s="557"/>
      <c r="TZR20" s="557"/>
      <c r="TZS20" s="557"/>
      <c r="TZT20" s="557"/>
      <c r="TZU20" s="557"/>
      <c r="TZV20" s="557"/>
      <c r="TZW20" s="661"/>
      <c r="TZX20" s="556"/>
      <c r="TZY20" s="557"/>
      <c r="TZZ20" s="557"/>
      <c r="UAA20" s="557"/>
      <c r="UAB20" s="557"/>
      <c r="UAC20" s="557"/>
      <c r="UAD20" s="557"/>
      <c r="UAE20" s="557"/>
      <c r="UAF20" s="557"/>
      <c r="UAG20" s="557"/>
      <c r="UAH20" s="557"/>
      <c r="UAI20" s="557"/>
      <c r="UAJ20" s="557"/>
      <c r="UAK20" s="557"/>
      <c r="UAL20" s="557"/>
      <c r="UAM20" s="557"/>
      <c r="UAN20" s="557"/>
      <c r="UAO20" s="557"/>
      <c r="UAP20" s="557"/>
      <c r="UAQ20" s="661"/>
      <c r="UAR20" s="556"/>
      <c r="UAS20" s="557"/>
      <c r="UAT20" s="557"/>
      <c r="UAU20" s="557"/>
      <c r="UAV20" s="557"/>
      <c r="UAW20" s="557"/>
      <c r="UAX20" s="557"/>
      <c r="UAY20" s="557"/>
      <c r="UAZ20" s="557"/>
      <c r="UBA20" s="557"/>
      <c r="UBB20" s="557"/>
      <c r="UBC20" s="557"/>
      <c r="UBD20" s="557"/>
      <c r="UBE20" s="557"/>
      <c r="UBF20" s="557"/>
      <c r="UBG20" s="557"/>
      <c r="UBH20" s="557"/>
      <c r="UBI20" s="557"/>
      <c r="UBJ20" s="557"/>
      <c r="UBK20" s="661"/>
      <c r="UBL20" s="556"/>
      <c r="UBM20" s="557"/>
      <c r="UBN20" s="557"/>
      <c r="UBO20" s="557"/>
      <c r="UBP20" s="557"/>
      <c r="UBQ20" s="557"/>
      <c r="UBR20" s="557"/>
      <c r="UBS20" s="557"/>
      <c r="UBT20" s="557"/>
      <c r="UBU20" s="557"/>
      <c r="UBV20" s="557"/>
      <c r="UBW20" s="557"/>
      <c r="UBX20" s="557"/>
      <c r="UBY20" s="557"/>
      <c r="UBZ20" s="557"/>
      <c r="UCA20" s="557"/>
      <c r="UCB20" s="557"/>
      <c r="UCC20" s="557"/>
      <c r="UCD20" s="557"/>
      <c r="UCE20" s="661"/>
      <c r="UCF20" s="556"/>
      <c r="UCG20" s="557"/>
      <c r="UCH20" s="557"/>
      <c r="UCI20" s="557"/>
      <c r="UCJ20" s="557"/>
      <c r="UCK20" s="557"/>
      <c r="UCL20" s="557"/>
      <c r="UCM20" s="557"/>
      <c r="UCN20" s="557"/>
      <c r="UCO20" s="557"/>
      <c r="UCP20" s="557"/>
      <c r="UCQ20" s="557"/>
      <c r="UCR20" s="557"/>
      <c r="UCS20" s="557"/>
      <c r="UCT20" s="557"/>
      <c r="UCU20" s="557"/>
      <c r="UCV20" s="557"/>
      <c r="UCW20" s="557"/>
      <c r="UCX20" s="557"/>
      <c r="UCY20" s="661"/>
      <c r="UCZ20" s="556"/>
      <c r="UDA20" s="557"/>
      <c r="UDB20" s="557"/>
      <c r="UDC20" s="557"/>
      <c r="UDD20" s="557"/>
      <c r="UDE20" s="557"/>
      <c r="UDF20" s="557"/>
      <c r="UDG20" s="557"/>
      <c r="UDH20" s="557"/>
      <c r="UDI20" s="557"/>
      <c r="UDJ20" s="557"/>
      <c r="UDK20" s="557"/>
      <c r="UDL20" s="557"/>
      <c r="UDM20" s="557"/>
      <c r="UDN20" s="557"/>
      <c r="UDO20" s="557"/>
      <c r="UDP20" s="557"/>
      <c r="UDQ20" s="557"/>
      <c r="UDR20" s="557"/>
      <c r="UDS20" s="661"/>
      <c r="UDT20" s="556"/>
      <c r="UDU20" s="557"/>
      <c r="UDV20" s="557"/>
      <c r="UDW20" s="557"/>
      <c r="UDX20" s="557"/>
      <c r="UDY20" s="557"/>
      <c r="UDZ20" s="557"/>
      <c r="UEA20" s="557"/>
      <c r="UEB20" s="557"/>
      <c r="UEC20" s="557"/>
      <c r="UED20" s="557"/>
      <c r="UEE20" s="557"/>
      <c r="UEF20" s="557"/>
      <c r="UEG20" s="557"/>
      <c r="UEH20" s="557"/>
      <c r="UEI20" s="557"/>
      <c r="UEJ20" s="557"/>
      <c r="UEK20" s="557"/>
      <c r="UEL20" s="557"/>
      <c r="UEM20" s="661"/>
      <c r="UEN20" s="556"/>
      <c r="UEO20" s="557"/>
      <c r="UEP20" s="557"/>
      <c r="UEQ20" s="557"/>
      <c r="UER20" s="557"/>
      <c r="UES20" s="557"/>
      <c r="UET20" s="557"/>
      <c r="UEU20" s="557"/>
      <c r="UEV20" s="557"/>
      <c r="UEW20" s="557"/>
      <c r="UEX20" s="557"/>
      <c r="UEY20" s="557"/>
      <c r="UEZ20" s="557"/>
      <c r="UFA20" s="557"/>
      <c r="UFB20" s="557"/>
      <c r="UFC20" s="557"/>
      <c r="UFD20" s="557"/>
      <c r="UFE20" s="557"/>
      <c r="UFF20" s="557"/>
      <c r="UFG20" s="661"/>
      <c r="UFH20" s="556"/>
      <c r="UFI20" s="557"/>
      <c r="UFJ20" s="557"/>
      <c r="UFK20" s="557"/>
      <c r="UFL20" s="557"/>
      <c r="UFM20" s="557"/>
      <c r="UFN20" s="557"/>
      <c r="UFO20" s="557"/>
      <c r="UFP20" s="557"/>
      <c r="UFQ20" s="557"/>
      <c r="UFR20" s="557"/>
      <c r="UFS20" s="557"/>
      <c r="UFT20" s="557"/>
      <c r="UFU20" s="557"/>
      <c r="UFV20" s="557"/>
      <c r="UFW20" s="557"/>
      <c r="UFX20" s="557"/>
      <c r="UFY20" s="557"/>
      <c r="UFZ20" s="557"/>
      <c r="UGA20" s="661"/>
      <c r="UGB20" s="556"/>
      <c r="UGC20" s="557"/>
      <c r="UGD20" s="557"/>
      <c r="UGE20" s="557"/>
      <c r="UGF20" s="557"/>
      <c r="UGG20" s="557"/>
      <c r="UGH20" s="557"/>
      <c r="UGI20" s="557"/>
      <c r="UGJ20" s="557"/>
      <c r="UGK20" s="557"/>
      <c r="UGL20" s="557"/>
      <c r="UGM20" s="557"/>
      <c r="UGN20" s="557"/>
      <c r="UGO20" s="557"/>
      <c r="UGP20" s="557"/>
      <c r="UGQ20" s="557"/>
      <c r="UGR20" s="557"/>
      <c r="UGS20" s="557"/>
      <c r="UGT20" s="557"/>
      <c r="UGU20" s="661"/>
      <c r="UGV20" s="556"/>
      <c r="UGW20" s="557"/>
      <c r="UGX20" s="557"/>
      <c r="UGY20" s="557"/>
      <c r="UGZ20" s="557"/>
      <c r="UHA20" s="557"/>
      <c r="UHB20" s="557"/>
      <c r="UHC20" s="557"/>
      <c r="UHD20" s="557"/>
      <c r="UHE20" s="557"/>
      <c r="UHF20" s="557"/>
      <c r="UHG20" s="557"/>
      <c r="UHH20" s="557"/>
      <c r="UHI20" s="557"/>
      <c r="UHJ20" s="557"/>
      <c r="UHK20" s="557"/>
      <c r="UHL20" s="557"/>
      <c r="UHM20" s="557"/>
      <c r="UHN20" s="557"/>
      <c r="UHO20" s="661"/>
      <c r="UHP20" s="556"/>
      <c r="UHQ20" s="557"/>
      <c r="UHR20" s="557"/>
      <c r="UHS20" s="557"/>
      <c r="UHT20" s="557"/>
      <c r="UHU20" s="557"/>
      <c r="UHV20" s="557"/>
      <c r="UHW20" s="557"/>
      <c r="UHX20" s="557"/>
      <c r="UHY20" s="557"/>
      <c r="UHZ20" s="557"/>
      <c r="UIA20" s="557"/>
      <c r="UIB20" s="557"/>
      <c r="UIC20" s="557"/>
      <c r="UID20" s="557"/>
      <c r="UIE20" s="557"/>
      <c r="UIF20" s="557"/>
      <c r="UIG20" s="557"/>
      <c r="UIH20" s="557"/>
      <c r="UII20" s="661"/>
      <c r="UIJ20" s="556"/>
      <c r="UIK20" s="557"/>
      <c r="UIL20" s="557"/>
      <c r="UIM20" s="557"/>
      <c r="UIN20" s="557"/>
      <c r="UIO20" s="557"/>
      <c r="UIP20" s="557"/>
      <c r="UIQ20" s="557"/>
      <c r="UIR20" s="557"/>
      <c r="UIS20" s="557"/>
      <c r="UIT20" s="557"/>
      <c r="UIU20" s="557"/>
      <c r="UIV20" s="557"/>
      <c r="UIW20" s="557"/>
      <c r="UIX20" s="557"/>
      <c r="UIY20" s="557"/>
      <c r="UIZ20" s="557"/>
      <c r="UJA20" s="557"/>
      <c r="UJB20" s="557"/>
      <c r="UJC20" s="661"/>
      <c r="UJD20" s="556"/>
      <c r="UJE20" s="557"/>
      <c r="UJF20" s="557"/>
      <c r="UJG20" s="557"/>
      <c r="UJH20" s="557"/>
      <c r="UJI20" s="557"/>
      <c r="UJJ20" s="557"/>
      <c r="UJK20" s="557"/>
      <c r="UJL20" s="557"/>
      <c r="UJM20" s="557"/>
      <c r="UJN20" s="557"/>
      <c r="UJO20" s="557"/>
      <c r="UJP20" s="557"/>
      <c r="UJQ20" s="557"/>
      <c r="UJR20" s="557"/>
      <c r="UJS20" s="557"/>
      <c r="UJT20" s="557"/>
      <c r="UJU20" s="557"/>
      <c r="UJV20" s="557"/>
      <c r="UJW20" s="661"/>
      <c r="UJX20" s="556"/>
      <c r="UJY20" s="557"/>
      <c r="UJZ20" s="557"/>
      <c r="UKA20" s="557"/>
      <c r="UKB20" s="557"/>
      <c r="UKC20" s="557"/>
      <c r="UKD20" s="557"/>
      <c r="UKE20" s="557"/>
      <c r="UKF20" s="557"/>
      <c r="UKG20" s="557"/>
      <c r="UKH20" s="557"/>
      <c r="UKI20" s="557"/>
      <c r="UKJ20" s="557"/>
      <c r="UKK20" s="557"/>
      <c r="UKL20" s="557"/>
      <c r="UKM20" s="557"/>
      <c r="UKN20" s="557"/>
      <c r="UKO20" s="557"/>
      <c r="UKP20" s="557"/>
      <c r="UKQ20" s="661"/>
      <c r="UKR20" s="556"/>
      <c r="UKS20" s="557"/>
      <c r="UKT20" s="557"/>
      <c r="UKU20" s="557"/>
      <c r="UKV20" s="557"/>
      <c r="UKW20" s="557"/>
      <c r="UKX20" s="557"/>
      <c r="UKY20" s="557"/>
      <c r="UKZ20" s="557"/>
      <c r="ULA20" s="557"/>
      <c r="ULB20" s="557"/>
      <c r="ULC20" s="557"/>
      <c r="ULD20" s="557"/>
      <c r="ULE20" s="557"/>
      <c r="ULF20" s="557"/>
      <c r="ULG20" s="557"/>
      <c r="ULH20" s="557"/>
      <c r="ULI20" s="557"/>
      <c r="ULJ20" s="557"/>
      <c r="ULK20" s="661"/>
      <c r="ULL20" s="556"/>
      <c r="ULM20" s="557"/>
      <c r="ULN20" s="557"/>
      <c r="ULO20" s="557"/>
      <c r="ULP20" s="557"/>
      <c r="ULQ20" s="557"/>
      <c r="ULR20" s="557"/>
      <c r="ULS20" s="557"/>
      <c r="ULT20" s="557"/>
      <c r="ULU20" s="557"/>
      <c r="ULV20" s="557"/>
      <c r="ULW20" s="557"/>
      <c r="ULX20" s="557"/>
      <c r="ULY20" s="557"/>
      <c r="ULZ20" s="557"/>
      <c r="UMA20" s="557"/>
      <c r="UMB20" s="557"/>
      <c r="UMC20" s="557"/>
      <c r="UMD20" s="557"/>
      <c r="UME20" s="661"/>
      <c r="UMF20" s="556"/>
      <c r="UMG20" s="557"/>
      <c r="UMH20" s="557"/>
      <c r="UMI20" s="557"/>
      <c r="UMJ20" s="557"/>
      <c r="UMK20" s="557"/>
      <c r="UML20" s="557"/>
      <c r="UMM20" s="557"/>
      <c r="UMN20" s="557"/>
      <c r="UMO20" s="557"/>
      <c r="UMP20" s="557"/>
      <c r="UMQ20" s="557"/>
      <c r="UMR20" s="557"/>
      <c r="UMS20" s="557"/>
      <c r="UMT20" s="557"/>
      <c r="UMU20" s="557"/>
      <c r="UMV20" s="557"/>
      <c r="UMW20" s="557"/>
      <c r="UMX20" s="557"/>
      <c r="UMY20" s="661"/>
      <c r="UMZ20" s="556"/>
      <c r="UNA20" s="557"/>
      <c r="UNB20" s="557"/>
      <c r="UNC20" s="557"/>
      <c r="UND20" s="557"/>
      <c r="UNE20" s="557"/>
      <c r="UNF20" s="557"/>
      <c r="UNG20" s="557"/>
      <c r="UNH20" s="557"/>
      <c r="UNI20" s="557"/>
      <c r="UNJ20" s="557"/>
      <c r="UNK20" s="557"/>
      <c r="UNL20" s="557"/>
      <c r="UNM20" s="557"/>
      <c r="UNN20" s="557"/>
      <c r="UNO20" s="557"/>
      <c r="UNP20" s="557"/>
      <c r="UNQ20" s="557"/>
      <c r="UNR20" s="557"/>
      <c r="UNS20" s="661"/>
      <c r="UNT20" s="556"/>
      <c r="UNU20" s="557"/>
      <c r="UNV20" s="557"/>
      <c r="UNW20" s="557"/>
      <c r="UNX20" s="557"/>
      <c r="UNY20" s="557"/>
      <c r="UNZ20" s="557"/>
      <c r="UOA20" s="557"/>
      <c r="UOB20" s="557"/>
      <c r="UOC20" s="557"/>
      <c r="UOD20" s="557"/>
      <c r="UOE20" s="557"/>
      <c r="UOF20" s="557"/>
      <c r="UOG20" s="557"/>
      <c r="UOH20" s="557"/>
      <c r="UOI20" s="557"/>
      <c r="UOJ20" s="557"/>
      <c r="UOK20" s="557"/>
      <c r="UOL20" s="557"/>
      <c r="UOM20" s="661"/>
      <c r="UON20" s="556"/>
      <c r="UOO20" s="557"/>
      <c r="UOP20" s="557"/>
      <c r="UOQ20" s="557"/>
      <c r="UOR20" s="557"/>
      <c r="UOS20" s="557"/>
      <c r="UOT20" s="557"/>
      <c r="UOU20" s="557"/>
      <c r="UOV20" s="557"/>
      <c r="UOW20" s="557"/>
      <c r="UOX20" s="557"/>
      <c r="UOY20" s="557"/>
      <c r="UOZ20" s="557"/>
      <c r="UPA20" s="557"/>
      <c r="UPB20" s="557"/>
      <c r="UPC20" s="557"/>
      <c r="UPD20" s="557"/>
      <c r="UPE20" s="557"/>
      <c r="UPF20" s="557"/>
      <c r="UPG20" s="661"/>
      <c r="UPH20" s="556"/>
      <c r="UPI20" s="557"/>
      <c r="UPJ20" s="557"/>
      <c r="UPK20" s="557"/>
      <c r="UPL20" s="557"/>
      <c r="UPM20" s="557"/>
      <c r="UPN20" s="557"/>
      <c r="UPO20" s="557"/>
      <c r="UPP20" s="557"/>
      <c r="UPQ20" s="557"/>
      <c r="UPR20" s="557"/>
      <c r="UPS20" s="557"/>
      <c r="UPT20" s="557"/>
      <c r="UPU20" s="557"/>
      <c r="UPV20" s="557"/>
      <c r="UPW20" s="557"/>
      <c r="UPX20" s="557"/>
      <c r="UPY20" s="557"/>
      <c r="UPZ20" s="557"/>
      <c r="UQA20" s="661"/>
      <c r="UQB20" s="556"/>
      <c r="UQC20" s="557"/>
      <c r="UQD20" s="557"/>
      <c r="UQE20" s="557"/>
      <c r="UQF20" s="557"/>
      <c r="UQG20" s="557"/>
      <c r="UQH20" s="557"/>
      <c r="UQI20" s="557"/>
      <c r="UQJ20" s="557"/>
      <c r="UQK20" s="557"/>
      <c r="UQL20" s="557"/>
      <c r="UQM20" s="557"/>
      <c r="UQN20" s="557"/>
      <c r="UQO20" s="557"/>
      <c r="UQP20" s="557"/>
      <c r="UQQ20" s="557"/>
      <c r="UQR20" s="557"/>
      <c r="UQS20" s="557"/>
      <c r="UQT20" s="557"/>
      <c r="UQU20" s="661"/>
      <c r="UQV20" s="556"/>
      <c r="UQW20" s="557"/>
      <c r="UQX20" s="557"/>
      <c r="UQY20" s="557"/>
      <c r="UQZ20" s="557"/>
      <c r="URA20" s="557"/>
      <c r="URB20" s="557"/>
      <c r="URC20" s="557"/>
      <c r="URD20" s="557"/>
      <c r="URE20" s="557"/>
      <c r="URF20" s="557"/>
      <c r="URG20" s="557"/>
      <c r="URH20" s="557"/>
      <c r="URI20" s="557"/>
      <c r="URJ20" s="557"/>
      <c r="URK20" s="557"/>
      <c r="URL20" s="557"/>
      <c r="URM20" s="557"/>
      <c r="URN20" s="557"/>
      <c r="URO20" s="661"/>
      <c r="URP20" s="556"/>
      <c r="URQ20" s="557"/>
      <c r="URR20" s="557"/>
      <c r="URS20" s="557"/>
      <c r="URT20" s="557"/>
      <c r="URU20" s="557"/>
      <c r="URV20" s="557"/>
      <c r="URW20" s="557"/>
      <c r="URX20" s="557"/>
      <c r="URY20" s="557"/>
      <c r="URZ20" s="557"/>
      <c r="USA20" s="557"/>
      <c r="USB20" s="557"/>
      <c r="USC20" s="557"/>
      <c r="USD20" s="557"/>
      <c r="USE20" s="557"/>
      <c r="USF20" s="557"/>
      <c r="USG20" s="557"/>
      <c r="USH20" s="557"/>
      <c r="USI20" s="661"/>
      <c r="USJ20" s="556"/>
      <c r="USK20" s="557"/>
      <c r="USL20" s="557"/>
      <c r="USM20" s="557"/>
      <c r="USN20" s="557"/>
      <c r="USO20" s="557"/>
      <c r="USP20" s="557"/>
      <c r="USQ20" s="557"/>
      <c r="USR20" s="557"/>
      <c r="USS20" s="557"/>
      <c r="UST20" s="557"/>
      <c r="USU20" s="557"/>
      <c r="USV20" s="557"/>
      <c r="USW20" s="557"/>
      <c r="USX20" s="557"/>
      <c r="USY20" s="557"/>
      <c r="USZ20" s="557"/>
      <c r="UTA20" s="557"/>
      <c r="UTB20" s="557"/>
      <c r="UTC20" s="661"/>
      <c r="UTD20" s="556"/>
      <c r="UTE20" s="557"/>
      <c r="UTF20" s="557"/>
      <c r="UTG20" s="557"/>
      <c r="UTH20" s="557"/>
      <c r="UTI20" s="557"/>
      <c r="UTJ20" s="557"/>
      <c r="UTK20" s="557"/>
      <c r="UTL20" s="557"/>
      <c r="UTM20" s="557"/>
      <c r="UTN20" s="557"/>
      <c r="UTO20" s="557"/>
      <c r="UTP20" s="557"/>
      <c r="UTQ20" s="557"/>
      <c r="UTR20" s="557"/>
      <c r="UTS20" s="557"/>
      <c r="UTT20" s="557"/>
      <c r="UTU20" s="557"/>
      <c r="UTV20" s="557"/>
      <c r="UTW20" s="661"/>
      <c r="UTX20" s="556"/>
      <c r="UTY20" s="557"/>
      <c r="UTZ20" s="557"/>
      <c r="UUA20" s="557"/>
      <c r="UUB20" s="557"/>
      <c r="UUC20" s="557"/>
      <c r="UUD20" s="557"/>
      <c r="UUE20" s="557"/>
      <c r="UUF20" s="557"/>
      <c r="UUG20" s="557"/>
      <c r="UUH20" s="557"/>
      <c r="UUI20" s="557"/>
      <c r="UUJ20" s="557"/>
      <c r="UUK20" s="557"/>
      <c r="UUL20" s="557"/>
      <c r="UUM20" s="557"/>
      <c r="UUN20" s="557"/>
      <c r="UUO20" s="557"/>
      <c r="UUP20" s="557"/>
      <c r="UUQ20" s="661"/>
      <c r="UUR20" s="556"/>
      <c r="UUS20" s="557"/>
      <c r="UUT20" s="557"/>
      <c r="UUU20" s="557"/>
      <c r="UUV20" s="557"/>
      <c r="UUW20" s="557"/>
      <c r="UUX20" s="557"/>
      <c r="UUY20" s="557"/>
      <c r="UUZ20" s="557"/>
      <c r="UVA20" s="557"/>
      <c r="UVB20" s="557"/>
      <c r="UVC20" s="557"/>
      <c r="UVD20" s="557"/>
      <c r="UVE20" s="557"/>
      <c r="UVF20" s="557"/>
      <c r="UVG20" s="557"/>
      <c r="UVH20" s="557"/>
      <c r="UVI20" s="557"/>
      <c r="UVJ20" s="557"/>
      <c r="UVK20" s="661"/>
      <c r="UVL20" s="556"/>
      <c r="UVM20" s="557"/>
      <c r="UVN20" s="557"/>
      <c r="UVO20" s="557"/>
      <c r="UVP20" s="557"/>
      <c r="UVQ20" s="557"/>
      <c r="UVR20" s="557"/>
      <c r="UVS20" s="557"/>
      <c r="UVT20" s="557"/>
      <c r="UVU20" s="557"/>
      <c r="UVV20" s="557"/>
      <c r="UVW20" s="557"/>
      <c r="UVX20" s="557"/>
      <c r="UVY20" s="557"/>
      <c r="UVZ20" s="557"/>
      <c r="UWA20" s="557"/>
      <c r="UWB20" s="557"/>
      <c r="UWC20" s="557"/>
      <c r="UWD20" s="557"/>
      <c r="UWE20" s="661"/>
      <c r="UWF20" s="556"/>
      <c r="UWG20" s="557"/>
      <c r="UWH20" s="557"/>
      <c r="UWI20" s="557"/>
      <c r="UWJ20" s="557"/>
      <c r="UWK20" s="557"/>
      <c r="UWL20" s="557"/>
      <c r="UWM20" s="557"/>
      <c r="UWN20" s="557"/>
      <c r="UWO20" s="557"/>
      <c r="UWP20" s="557"/>
      <c r="UWQ20" s="557"/>
      <c r="UWR20" s="557"/>
      <c r="UWS20" s="557"/>
      <c r="UWT20" s="557"/>
      <c r="UWU20" s="557"/>
      <c r="UWV20" s="557"/>
      <c r="UWW20" s="557"/>
      <c r="UWX20" s="557"/>
      <c r="UWY20" s="661"/>
      <c r="UWZ20" s="556"/>
      <c r="UXA20" s="557"/>
      <c r="UXB20" s="557"/>
      <c r="UXC20" s="557"/>
      <c r="UXD20" s="557"/>
      <c r="UXE20" s="557"/>
      <c r="UXF20" s="557"/>
      <c r="UXG20" s="557"/>
      <c r="UXH20" s="557"/>
      <c r="UXI20" s="557"/>
      <c r="UXJ20" s="557"/>
      <c r="UXK20" s="557"/>
      <c r="UXL20" s="557"/>
      <c r="UXM20" s="557"/>
      <c r="UXN20" s="557"/>
      <c r="UXO20" s="557"/>
      <c r="UXP20" s="557"/>
      <c r="UXQ20" s="557"/>
      <c r="UXR20" s="557"/>
      <c r="UXS20" s="661"/>
      <c r="UXT20" s="556"/>
      <c r="UXU20" s="557"/>
      <c r="UXV20" s="557"/>
      <c r="UXW20" s="557"/>
      <c r="UXX20" s="557"/>
      <c r="UXY20" s="557"/>
      <c r="UXZ20" s="557"/>
      <c r="UYA20" s="557"/>
      <c r="UYB20" s="557"/>
      <c r="UYC20" s="557"/>
      <c r="UYD20" s="557"/>
      <c r="UYE20" s="557"/>
      <c r="UYF20" s="557"/>
      <c r="UYG20" s="557"/>
      <c r="UYH20" s="557"/>
      <c r="UYI20" s="557"/>
      <c r="UYJ20" s="557"/>
      <c r="UYK20" s="557"/>
      <c r="UYL20" s="557"/>
      <c r="UYM20" s="661"/>
      <c r="UYN20" s="556"/>
      <c r="UYO20" s="557"/>
      <c r="UYP20" s="557"/>
      <c r="UYQ20" s="557"/>
      <c r="UYR20" s="557"/>
      <c r="UYS20" s="557"/>
      <c r="UYT20" s="557"/>
      <c r="UYU20" s="557"/>
      <c r="UYV20" s="557"/>
      <c r="UYW20" s="557"/>
      <c r="UYX20" s="557"/>
      <c r="UYY20" s="557"/>
      <c r="UYZ20" s="557"/>
      <c r="UZA20" s="557"/>
      <c r="UZB20" s="557"/>
      <c r="UZC20" s="557"/>
      <c r="UZD20" s="557"/>
      <c r="UZE20" s="557"/>
      <c r="UZF20" s="557"/>
      <c r="UZG20" s="661"/>
      <c r="UZH20" s="556"/>
      <c r="UZI20" s="557"/>
      <c r="UZJ20" s="557"/>
      <c r="UZK20" s="557"/>
      <c r="UZL20" s="557"/>
      <c r="UZM20" s="557"/>
      <c r="UZN20" s="557"/>
      <c r="UZO20" s="557"/>
      <c r="UZP20" s="557"/>
      <c r="UZQ20" s="557"/>
      <c r="UZR20" s="557"/>
      <c r="UZS20" s="557"/>
      <c r="UZT20" s="557"/>
      <c r="UZU20" s="557"/>
      <c r="UZV20" s="557"/>
      <c r="UZW20" s="557"/>
      <c r="UZX20" s="557"/>
      <c r="UZY20" s="557"/>
      <c r="UZZ20" s="557"/>
      <c r="VAA20" s="661"/>
      <c r="VAB20" s="556"/>
      <c r="VAC20" s="557"/>
      <c r="VAD20" s="557"/>
      <c r="VAE20" s="557"/>
      <c r="VAF20" s="557"/>
      <c r="VAG20" s="557"/>
      <c r="VAH20" s="557"/>
      <c r="VAI20" s="557"/>
      <c r="VAJ20" s="557"/>
      <c r="VAK20" s="557"/>
      <c r="VAL20" s="557"/>
      <c r="VAM20" s="557"/>
      <c r="VAN20" s="557"/>
      <c r="VAO20" s="557"/>
      <c r="VAP20" s="557"/>
      <c r="VAQ20" s="557"/>
      <c r="VAR20" s="557"/>
      <c r="VAS20" s="557"/>
      <c r="VAT20" s="557"/>
      <c r="VAU20" s="661"/>
      <c r="VAV20" s="556"/>
      <c r="VAW20" s="557"/>
      <c r="VAX20" s="557"/>
      <c r="VAY20" s="557"/>
      <c r="VAZ20" s="557"/>
      <c r="VBA20" s="557"/>
      <c r="VBB20" s="557"/>
      <c r="VBC20" s="557"/>
      <c r="VBD20" s="557"/>
      <c r="VBE20" s="557"/>
      <c r="VBF20" s="557"/>
      <c r="VBG20" s="557"/>
      <c r="VBH20" s="557"/>
      <c r="VBI20" s="557"/>
      <c r="VBJ20" s="557"/>
      <c r="VBK20" s="557"/>
      <c r="VBL20" s="557"/>
      <c r="VBM20" s="557"/>
      <c r="VBN20" s="557"/>
      <c r="VBO20" s="661"/>
      <c r="VBP20" s="556"/>
      <c r="VBQ20" s="557"/>
      <c r="VBR20" s="557"/>
      <c r="VBS20" s="557"/>
      <c r="VBT20" s="557"/>
      <c r="VBU20" s="557"/>
      <c r="VBV20" s="557"/>
      <c r="VBW20" s="557"/>
      <c r="VBX20" s="557"/>
      <c r="VBY20" s="557"/>
      <c r="VBZ20" s="557"/>
      <c r="VCA20" s="557"/>
      <c r="VCB20" s="557"/>
      <c r="VCC20" s="557"/>
      <c r="VCD20" s="557"/>
      <c r="VCE20" s="557"/>
      <c r="VCF20" s="557"/>
      <c r="VCG20" s="557"/>
      <c r="VCH20" s="557"/>
      <c r="VCI20" s="661"/>
      <c r="VCJ20" s="556"/>
      <c r="VCK20" s="557"/>
      <c r="VCL20" s="557"/>
      <c r="VCM20" s="557"/>
      <c r="VCN20" s="557"/>
      <c r="VCO20" s="557"/>
      <c r="VCP20" s="557"/>
      <c r="VCQ20" s="557"/>
      <c r="VCR20" s="557"/>
      <c r="VCS20" s="557"/>
      <c r="VCT20" s="557"/>
      <c r="VCU20" s="557"/>
      <c r="VCV20" s="557"/>
      <c r="VCW20" s="557"/>
      <c r="VCX20" s="557"/>
      <c r="VCY20" s="557"/>
      <c r="VCZ20" s="557"/>
      <c r="VDA20" s="557"/>
      <c r="VDB20" s="557"/>
      <c r="VDC20" s="661"/>
      <c r="VDD20" s="556"/>
      <c r="VDE20" s="557"/>
      <c r="VDF20" s="557"/>
      <c r="VDG20" s="557"/>
      <c r="VDH20" s="557"/>
      <c r="VDI20" s="557"/>
      <c r="VDJ20" s="557"/>
      <c r="VDK20" s="557"/>
      <c r="VDL20" s="557"/>
      <c r="VDM20" s="557"/>
      <c r="VDN20" s="557"/>
      <c r="VDO20" s="557"/>
      <c r="VDP20" s="557"/>
      <c r="VDQ20" s="557"/>
      <c r="VDR20" s="557"/>
      <c r="VDS20" s="557"/>
      <c r="VDT20" s="557"/>
      <c r="VDU20" s="557"/>
      <c r="VDV20" s="557"/>
      <c r="VDW20" s="661"/>
      <c r="VDX20" s="556"/>
      <c r="VDY20" s="557"/>
      <c r="VDZ20" s="557"/>
      <c r="VEA20" s="557"/>
      <c r="VEB20" s="557"/>
      <c r="VEC20" s="557"/>
      <c r="VED20" s="557"/>
      <c r="VEE20" s="557"/>
      <c r="VEF20" s="557"/>
      <c r="VEG20" s="557"/>
      <c r="VEH20" s="557"/>
      <c r="VEI20" s="557"/>
      <c r="VEJ20" s="557"/>
      <c r="VEK20" s="557"/>
      <c r="VEL20" s="557"/>
      <c r="VEM20" s="557"/>
      <c r="VEN20" s="557"/>
      <c r="VEO20" s="557"/>
      <c r="VEP20" s="557"/>
      <c r="VEQ20" s="661"/>
      <c r="VER20" s="556"/>
      <c r="VES20" s="557"/>
      <c r="VET20" s="557"/>
      <c r="VEU20" s="557"/>
      <c r="VEV20" s="557"/>
      <c r="VEW20" s="557"/>
      <c r="VEX20" s="557"/>
      <c r="VEY20" s="557"/>
      <c r="VEZ20" s="557"/>
      <c r="VFA20" s="557"/>
      <c r="VFB20" s="557"/>
      <c r="VFC20" s="557"/>
      <c r="VFD20" s="557"/>
      <c r="VFE20" s="557"/>
      <c r="VFF20" s="557"/>
      <c r="VFG20" s="557"/>
      <c r="VFH20" s="557"/>
      <c r="VFI20" s="557"/>
      <c r="VFJ20" s="557"/>
      <c r="VFK20" s="661"/>
      <c r="VFL20" s="556"/>
      <c r="VFM20" s="557"/>
      <c r="VFN20" s="557"/>
      <c r="VFO20" s="557"/>
      <c r="VFP20" s="557"/>
      <c r="VFQ20" s="557"/>
      <c r="VFR20" s="557"/>
      <c r="VFS20" s="557"/>
      <c r="VFT20" s="557"/>
      <c r="VFU20" s="557"/>
      <c r="VFV20" s="557"/>
      <c r="VFW20" s="557"/>
      <c r="VFX20" s="557"/>
      <c r="VFY20" s="557"/>
      <c r="VFZ20" s="557"/>
      <c r="VGA20" s="557"/>
      <c r="VGB20" s="557"/>
      <c r="VGC20" s="557"/>
      <c r="VGD20" s="557"/>
      <c r="VGE20" s="661"/>
      <c r="VGF20" s="556"/>
      <c r="VGG20" s="557"/>
      <c r="VGH20" s="557"/>
      <c r="VGI20" s="557"/>
      <c r="VGJ20" s="557"/>
      <c r="VGK20" s="557"/>
      <c r="VGL20" s="557"/>
      <c r="VGM20" s="557"/>
      <c r="VGN20" s="557"/>
      <c r="VGO20" s="557"/>
      <c r="VGP20" s="557"/>
      <c r="VGQ20" s="557"/>
      <c r="VGR20" s="557"/>
      <c r="VGS20" s="557"/>
      <c r="VGT20" s="557"/>
      <c r="VGU20" s="557"/>
      <c r="VGV20" s="557"/>
      <c r="VGW20" s="557"/>
      <c r="VGX20" s="557"/>
      <c r="VGY20" s="661"/>
      <c r="VGZ20" s="556"/>
      <c r="VHA20" s="557"/>
      <c r="VHB20" s="557"/>
      <c r="VHC20" s="557"/>
      <c r="VHD20" s="557"/>
      <c r="VHE20" s="557"/>
      <c r="VHF20" s="557"/>
      <c r="VHG20" s="557"/>
      <c r="VHH20" s="557"/>
      <c r="VHI20" s="557"/>
      <c r="VHJ20" s="557"/>
      <c r="VHK20" s="557"/>
      <c r="VHL20" s="557"/>
      <c r="VHM20" s="557"/>
      <c r="VHN20" s="557"/>
      <c r="VHO20" s="557"/>
      <c r="VHP20" s="557"/>
      <c r="VHQ20" s="557"/>
      <c r="VHR20" s="557"/>
      <c r="VHS20" s="661"/>
      <c r="VHT20" s="556"/>
      <c r="VHU20" s="557"/>
      <c r="VHV20" s="557"/>
      <c r="VHW20" s="557"/>
      <c r="VHX20" s="557"/>
      <c r="VHY20" s="557"/>
      <c r="VHZ20" s="557"/>
      <c r="VIA20" s="557"/>
      <c r="VIB20" s="557"/>
      <c r="VIC20" s="557"/>
      <c r="VID20" s="557"/>
      <c r="VIE20" s="557"/>
      <c r="VIF20" s="557"/>
      <c r="VIG20" s="557"/>
      <c r="VIH20" s="557"/>
      <c r="VII20" s="557"/>
      <c r="VIJ20" s="557"/>
      <c r="VIK20" s="557"/>
      <c r="VIL20" s="557"/>
      <c r="VIM20" s="661"/>
      <c r="VIN20" s="556"/>
      <c r="VIO20" s="557"/>
      <c r="VIP20" s="557"/>
      <c r="VIQ20" s="557"/>
      <c r="VIR20" s="557"/>
      <c r="VIS20" s="557"/>
      <c r="VIT20" s="557"/>
      <c r="VIU20" s="557"/>
      <c r="VIV20" s="557"/>
      <c r="VIW20" s="557"/>
      <c r="VIX20" s="557"/>
      <c r="VIY20" s="557"/>
      <c r="VIZ20" s="557"/>
      <c r="VJA20" s="557"/>
      <c r="VJB20" s="557"/>
      <c r="VJC20" s="557"/>
      <c r="VJD20" s="557"/>
      <c r="VJE20" s="557"/>
      <c r="VJF20" s="557"/>
      <c r="VJG20" s="661"/>
      <c r="VJH20" s="556"/>
      <c r="VJI20" s="557"/>
      <c r="VJJ20" s="557"/>
      <c r="VJK20" s="557"/>
      <c r="VJL20" s="557"/>
      <c r="VJM20" s="557"/>
      <c r="VJN20" s="557"/>
      <c r="VJO20" s="557"/>
      <c r="VJP20" s="557"/>
      <c r="VJQ20" s="557"/>
      <c r="VJR20" s="557"/>
      <c r="VJS20" s="557"/>
      <c r="VJT20" s="557"/>
      <c r="VJU20" s="557"/>
      <c r="VJV20" s="557"/>
      <c r="VJW20" s="557"/>
      <c r="VJX20" s="557"/>
      <c r="VJY20" s="557"/>
      <c r="VJZ20" s="557"/>
      <c r="VKA20" s="661"/>
      <c r="VKB20" s="556"/>
      <c r="VKC20" s="557"/>
      <c r="VKD20" s="557"/>
      <c r="VKE20" s="557"/>
      <c r="VKF20" s="557"/>
      <c r="VKG20" s="557"/>
      <c r="VKH20" s="557"/>
      <c r="VKI20" s="557"/>
      <c r="VKJ20" s="557"/>
      <c r="VKK20" s="557"/>
      <c r="VKL20" s="557"/>
      <c r="VKM20" s="557"/>
      <c r="VKN20" s="557"/>
      <c r="VKO20" s="557"/>
      <c r="VKP20" s="557"/>
      <c r="VKQ20" s="557"/>
      <c r="VKR20" s="557"/>
      <c r="VKS20" s="557"/>
      <c r="VKT20" s="557"/>
      <c r="VKU20" s="661"/>
      <c r="VKV20" s="556"/>
      <c r="VKW20" s="557"/>
      <c r="VKX20" s="557"/>
      <c r="VKY20" s="557"/>
      <c r="VKZ20" s="557"/>
      <c r="VLA20" s="557"/>
      <c r="VLB20" s="557"/>
      <c r="VLC20" s="557"/>
      <c r="VLD20" s="557"/>
      <c r="VLE20" s="557"/>
      <c r="VLF20" s="557"/>
      <c r="VLG20" s="557"/>
      <c r="VLH20" s="557"/>
      <c r="VLI20" s="557"/>
      <c r="VLJ20" s="557"/>
      <c r="VLK20" s="557"/>
      <c r="VLL20" s="557"/>
      <c r="VLM20" s="557"/>
      <c r="VLN20" s="557"/>
      <c r="VLO20" s="661"/>
      <c r="VLP20" s="556"/>
      <c r="VLQ20" s="557"/>
      <c r="VLR20" s="557"/>
      <c r="VLS20" s="557"/>
      <c r="VLT20" s="557"/>
      <c r="VLU20" s="557"/>
      <c r="VLV20" s="557"/>
      <c r="VLW20" s="557"/>
      <c r="VLX20" s="557"/>
      <c r="VLY20" s="557"/>
      <c r="VLZ20" s="557"/>
      <c r="VMA20" s="557"/>
      <c r="VMB20" s="557"/>
      <c r="VMC20" s="557"/>
      <c r="VMD20" s="557"/>
      <c r="VME20" s="557"/>
      <c r="VMF20" s="557"/>
      <c r="VMG20" s="557"/>
      <c r="VMH20" s="557"/>
      <c r="VMI20" s="661"/>
      <c r="VMJ20" s="556"/>
      <c r="VMK20" s="557"/>
      <c r="VML20" s="557"/>
      <c r="VMM20" s="557"/>
      <c r="VMN20" s="557"/>
      <c r="VMO20" s="557"/>
      <c r="VMP20" s="557"/>
      <c r="VMQ20" s="557"/>
      <c r="VMR20" s="557"/>
      <c r="VMS20" s="557"/>
      <c r="VMT20" s="557"/>
      <c r="VMU20" s="557"/>
      <c r="VMV20" s="557"/>
      <c r="VMW20" s="557"/>
      <c r="VMX20" s="557"/>
      <c r="VMY20" s="557"/>
      <c r="VMZ20" s="557"/>
      <c r="VNA20" s="557"/>
      <c r="VNB20" s="557"/>
      <c r="VNC20" s="661"/>
      <c r="VND20" s="556"/>
      <c r="VNE20" s="557"/>
      <c r="VNF20" s="557"/>
      <c r="VNG20" s="557"/>
      <c r="VNH20" s="557"/>
      <c r="VNI20" s="557"/>
      <c r="VNJ20" s="557"/>
      <c r="VNK20" s="557"/>
      <c r="VNL20" s="557"/>
      <c r="VNM20" s="557"/>
      <c r="VNN20" s="557"/>
      <c r="VNO20" s="557"/>
      <c r="VNP20" s="557"/>
      <c r="VNQ20" s="557"/>
      <c r="VNR20" s="557"/>
      <c r="VNS20" s="557"/>
      <c r="VNT20" s="557"/>
      <c r="VNU20" s="557"/>
      <c r="VNV20" s="557"/>
      <c r="VNW20" s="661"/>
      <c r="VNX20" s="556"/>
      <c r="VNY20" s="557"/>
      <c r="VNZ20" s="557"/>
      <c r="VOA20" s="557"/>
      <c r="VOB20" s="557"/>
      <c r="VOC20" s="557"/>
      <c r="VOD20" s="557"/>
      <c r="VOE20" s="557"/>
      <c r="VOF20" s="557"/>
      <c r="VOG20" s="557"/>
      <c r="VOH20" s="557"/>
      <c r="VOI20" s="557"/>
      <c r="VOJ20" s="557"/>
      <c r="VOK20" s="557"/>
      <c r="VOL20" s="557"/>
      <c r="VOM20" s="557"/>
      <c r="VON20" s="557"/>
      <c r="VOO20" s="557"/>
      <c r="VOP20" s="557"/>
      <c r="VOQ20" s="661"/>
      <c r="VOR20" s="556"/>
      <c r="VOS20" s="557"/>
      <c r="VOT20" s="557"/>
      <c r="VOU20" s="557"/>
      <c r="VOV20" s="557"/>
      <c r="VOW20" s="557"/>
      <c r="VOX20" s="557"/>
      <c r="VOY20" s="557"/>
      <c r="VOZ20" s="557"/>
      <c r="VPA20" s="557"/>
      <c r="VPB20" s="557"/>
      <c r="VPC20" s="557"/>
      <c r="VPD20" s="557"/>
      <c r="VPE20" s="557"/>
      <c r="VPF20" s="557"/>
      <c r="VPG20" s="557"/>
      <c r="VPH20" s="557"/>
      <c r="VPI20" s="557"/>
      <c r="VPJ20" s="557"/>
      <c r="VPK20" s="661"/>
      <c r="VPL20" s="556"/>
      <c r="VPM20" s="557"/>
      <c r="VPN20" s="557"/>
      <c r="VPO20" s="557"/>
      <c r="VPP20" s="557"/>
      <c r="VPQ20" s="557"/>
      <c r="VPR20" s="557"/>
      <c r="VPS20" s="557"/>
      <c r="VPT20" s="557"/>
      <c r="VPU20" s="557"/>
      <c r="VPV20" s="557"/>
      <c r="VPW20" s="557"/>
      <c r="VPX20" s="557"/>
      <c r="VPY20" s="557"/>
      <c r="VPZ20" s="557"/>
      <c r="VQA20" s="557"/>
      <c r="VQB20" s="557"/>
      <c r="VQC20" s="557"/>
      <c r="VQD20" s="557"/>
      <c r="VQE20" s="661"/>
      <c r="VQF20" s="556"/>
      <c r="VQG20" s="557"/>
      <c r="VQH20" s="557"/>
      <c r="VQI20" s="557"/>
      <c r="VQJ20" s="557"/>
      <c r="VQK20" s="557"/>
      <c r="VQL20" s="557"/>
      <c r="VQM20" s="557"/>
      <c r="VQN20" s="557"/>
      <c r="VQO20" s="557"/>
      <c r="VQP20" s="557"/>
      <c r="VQQ20" s="557"/>
      <c r="VQR20" s="557"/>
      <c r="VQS20" s="557"/>
      <c r="VQT20" s="557"/>
      <c r="VQU20" s="557"/>
      <c r="VQV20" s="557"/>
      <c r="VQW20" s="557"/>
      <c r="VQX20" s="557"/>
      <c r="VQY20" s="661"/>
      <c r="VQZ20" s="556"/>
      <c r="VRA20" s="557"/>
      <c r="VRB20" s="557"/>
      <c r="VRC20" s="557"/>
      <c r="VRD20" s="557"/>
      <c r="VRE20" s="557"/>
      <c r="VRF20" s="557"/>
      <c r="VRG20" s="557"/>
      <c r="VRH20" s="557"/>
      <c r="VRI20" s="557"/>
      <c r="VRJ20" s="557"/>
      <c r="VRK20" s="557"/>
      <c r="VRL20" s="557"/>
      <c r="VRM20" s="557"/>
      <c r="VRN20" s="557"/>
      <c r="VRO20" s="557"/>
      <c r="VRP20" s="557"/>
      <c r="VRQ20" s="557"/>
      <c r="VRR20" s="557"/>
      <c r="VRS20" s="661"/>
      <c r="VRT20" s="556"/>
      <c r="VRU20" s="557"/>
      <c r="VRV20" s="557"/>
      <c r="VRW20" s="557"/>
      <c r="VRX20" s="557"/>
      <c r="VRY20" s="557"/>
      <c r="VRZ20" s="557"/>
      <c r="VSA20" s="557"/>
      <c r="VSB20" s="557"/>
      <c r="VSC20" s="557"/>
      <c r="VSD20" s="557"/>
      <c r="VSE20" s="557"/>
      <c r="VSF20" s="557"/>
      <c r="VSG20" s="557"/>
      <c r="VSH20" s="557"/>
      <c r="VSI20" s="557"/>
      <c r="VSJ20" s="557"/>
      <c r="VSK20" s="557"/>
      <c r="VSL20" s="557"/>
      <c r="VSM20" s="661"/>
      <c r="VSN20" s="556"/>
      <c r="VSO20" s="557"/>
      <c r="VSP20" s="557"/>
      <c r="VSQ20" s="557"/>
      <c r="VSR20" s="557"/>
      <c r="VSS20" s="557"/>
      <c r="VST20" s="557"/>
      <c r="VSU20" s="557"/>
      <c r="VSV20" s="557"/>
      <c r="VSW20" s="557"/>
      <c r="VSX20" s="557"/>
      <c r="VSY20" s="557"/>
      <c r="VSZ20" s="557"/>
      <c r="VTA20" s="557"/>
      <c r="VTB20" s="557"/>
      <c r="VTC20" s="557"/>
      <c r="VTD20" s="557"/>
      <c r="VTE20" s="557"/>
      <c r="VTF20" s="557"/>
      <c r="VTG20" s="661"/>
      <c r="VTH20" s="556"/>
      <c r="VTI20" s="557"/>
      <c r="VTJ20" s="557"/>
      <c r="VTK20" s="557"/>
      <c r="VTL20" s="557"/>
      <c r="VTM20" s="557"/>
      <c r="VTN20" s="557"/>
      <c r="VTO20" s="557"/>
      <c r="VTP20" s="557"/>
      <c r="VTQ20" s="557"/>
      <c r="VTR20" s="557"/>
      <c r="VTS20" s="557"/>
      <c r="VTT20" s="557"/>
      <c r="VTU20" s="557"/>
      <c r="VTV20" s="557"/>
      <c r="VTW20" s="557"/>
      <c r="VTX20" s="557"/>
      <c r="VTY20" s="557"/>
      <c r="VTZ20" s="557"/>
      <c r="VUA20" s="661"/>
      <c r="VUB20" s="556"/>
      <c r="VUC20" s="557"/>
      <c r="VUD20" s="557"/>
      <c r="VUE20" s="557"/>
      <c r="VUF20" s="557"/>
      <c r="VUG20" s="557"/>
      <c r="VUH20" s="557"/>
      <c r="VUI20" s="557"/>
      <c r="VUJ20" s="557"/>
      <c r="VUK20" s="557"/>
      <c r="VUL20" s="557"/>
      <c r="VUM20" s="557"/>
      <c r="VUN20" s="557"/>
      <c r="VUO20" s="557"/>
      <c r="VUP20" s="557"/>
      <c r="VUQ20" s="557"/>
      <c r="VUR20" s="557"/>
      <c r="VUS20" s="557"/>
      <c r="VUT20" s="557"/>
      <c r="VUU20" s="661"/>
      <c r="VUV20" s="556"/>
      <c r="VUW20" s="557"/>
      <c r="VUX20" s="557"/>
      <c r="VUY20" s="557"/>
      <c r="VUZ20" s="557"/>
      <c r="VVA20" s="557"/>
      <c r="VVB20" s="557"/>
      <c r="VVC20" s="557"/>
      <c r="VVD20" s="557"/>
      <c r="VVE20" s="557"/>
      <c r="VVF20" s="557"/>
      <c r="VVG20" s="557"/>
      <c r="VVH20" s="557"/>
      <c r="VVI20" s="557"/>
      <c r="VVJ20" s="557"/>
      <c r="VVK20" s="557"/>
      <c r="VVL20" s="557"/>
      <c r="VVM20" s="557"/>
      <c r="VVN20" s="557"/>
      <c r="VVO20" s="661"/>
      <c r="VVP20" s="556"/>
      <c r="VVQ20" s="557"/>
      <c r="VVR20" s="557"/>
      <c r="VVS20" s="557"/>
      <c r="VVT20" s="557"/>
      <c r="VVU20" s="557"/>
      <c r="VVV20" s="557"/>
      <c r="VVW20" s="557"/>
      <c r="VVX20" s="557"/>
      <c r="VVY20" s="557"/>
      <c r="VVZ20" s="557"/>
      <c r="VWA20" s="557"/>
      <c r="VWB20" s="557"/>
      <c r="VWC20" s="557"/>
      <c r="VWD20" s="557"/>
      <c r="VWE20" s="557"/>
      <c r="VWF20" s="557"/>
      <c r="VWG20" s="557"/>
      <c r="VWH20" s="557"/>
      <c r="VWI20" s="661"/>
      <c r="VWJ20" s="556"/>
      <c r="VWK20" s="557"/>
      <c r="VWL20" s="557"/>
      <c r="VWM20" s="557"/>
      <c r="VWN20" s="557"/>
      <c r="VWO20" s="557"/>
      <c r="VWP20" s="557"/>
      <c r="VWQ20" s="557"/>
      <c r="VWR20" s="557"/>
      <c r="VWS20" s="557"/>
      <c r="VWT20" s="557"/>
      <c r="VWU20" s="557"/>
      <c r="VWV20" s="557"/>
      <c r="VWW20" s="557"/>
      <c r="VWX20" s="557"/>
      <c r="VWY20" s="557"/>
      <c r="VWZ20" s="557"/>
      <c r="VXA20" s="557"/>
      <c r="VXB20" s="557"/>
      <c r="VXC20" s="661"/>
      <c r="VXD20" s="556"/>
      <c r="VXE20" s="557"/>
      <c r="VXF20" s="557"/>
      <c r="VXG20" s="557"/>
      <c r="VXH20" s="557"/>
      <c r="VXI20" s="557"/>
      <c r="VXJ20" s="557"/>
      <c r="VXK20" s="557"/>
      <c r="VXL20" s="557"/>
      <c r="VXM20" s="557"/>
      <c r="VXN20" s="557"/>
      <c r="VXO20" s="557"/>
      <c r="VXP20" s="557"/>
      <c r="VXQ20" s="557"/>
      <c r="VXR20" s="557"/>
      <c r="VXS20" s="557"/>
      <c r="VXT20" s="557"/>
      <c r="VXU20" s="557"/>
      <c r="VXV20" s="557"/>
      <c r="VXW20" s="661"/>
      <c r="VXX20" s="556"/>
      <c r="VXY20" s="557"/>
      <c r="VXZ20" s="557"/>
      <c r="VYA20" s="557"/>
      <c r="VYB20" s="557"/>
      <c r="VYC20" s="557"/>
      <c r="VYD20" s="557"/>
      <c r="VYE20" s="557"/>
      <c r="VYF20" s="557"/>
      <c r="VYG20" s="557"/>
      <c r="VYH20" s="557"/>
      <c r="VYI20" s="557"/>
      <c r="VYJ20" s="557"/>
      <c r="VYK20" s="557"/>
      <c r="VYL20" s="557"/>
      <c r="VYM20" s="557"/>
      <c r="VYN20" s="557"/>
      <c r="VYO20" s="557"/>
      <c r="VYP20" s="557"/>
      <c r="VYQ20" s="661"/>
      <c r="VYR20" s="556"/>
      <c r="VYS20" s="557"/>
      <c r="VYT20" s="557"/>
      <c r="VYU20" s="557"/>
      <c r="VYV20" s="557"/>
      <c r="VYW20" s="557"/>
      <c r="VYX20" s="557"/>
      <c r="VYY20" s="557"/>
      <c r="VYZ20" s="557"/>
      <c r="VZA20" s="557"/>
      <c r="VZB20" s="557"/>
      <c r="VZC20" s="557"/>
      <c r="VZD20" s="557"/>
      <c r="VZE20" s="557"/>
      <c r="VZF20" s="557"/>
      <c r="VZG20" s="557"/>
      <c r="VZH20" s="557"/>
      <c r="VZI20" s="557"/>
      <c r="VZJ20" s="557"/>
      <c r="VZK20" s="661"/>
      <c r="VZL20" s="556"/>
      <c r="VZM20" s="557"/>
      <c r="VZN20" s="557"/>
      <c r="VZO20" s="557"/>
      <c r="VZP20" s="557"/>
      <c r="VZQ20" s="557"/>
      <c r="VZR20" s="557"/>
      <c r="VZS20" s="557"/>
      <c r="VZT20" s="557"/>
      <c r="VZU20" s="557"/>
      <c r="VZV20" s="557"/>
      <c r="VZW20" s="557"/>
      <c r="VZX20" s="557"/>
      <c r="VZY20" s="557"/>
      <c r="VZZ20" s="557"/>
      <c r="WAA20" s="557"/>
      <c r="WAB20" s="557"/>
      <c r="WAC20" s="557"/>
      <c r="WAD20" s="557"/>
      <c r="WAE20" s="661"/>
      <c r="WAF20" s="556"/>
      <c r="WAG20" s="557"/>
      <c r="WAH20" s="557"/>
      <c r="WAI20" s="557"/>
      <c r="WAJ20" s="557"/>
      <c r="WAK20" s="557"/>
      <c r="WAL20" s="557"/>
      <c r="WAM20" s="557"/>
      <c r="WAN20" s="557"/>
      <c r="WAO20" s="557"/>
      <c r="WAP20" s="557"/>
      <c r="WAQ20" s="557"/>
      <c r="WAR20" s="557"/>
      <c r="WAS20" s="557"/>
      <c r="WAT20" s="557"/>
      <c r="WAU20" s="557"/>
      <c r="WAV20" s="557"/>
      <c r="WAW20" s="557"/>
      <c r="WAX20" s="557"/>
      <c r="WAY20" s="661"/>
      <c r="WAZ20" s="556"/>
      <c r="WBA20" s="557"/>
      <c r="WBB20" s="557"/>
      <c r="WBC20" s="557"/>
      <c r="WBD20" s="557"/>
      <c r="WBE20" s="557"/>
      <c r="WBF20" s="557"/>
      <c r="WBG20" s="557"/>
      <c r="WBH20" s="557"/>
      <c r="WBI20" s="557"/>
      <c r="WBJ20" s="557"/>
      <c r="WBK20" s="557"/>
      <c r="WBL20" s="557"/>
      <c r="WBM20" s="557"/>
      <c r="WBN20" s="557"/>
      <c r="WBO20" s="557"/>
      <c r="WBP20" s="557"/>
      <c r="WBQ20" s="557"/>
      <c r="WBR20" s="557"/>
      <c r="WBS20" s="661"/>
      <c r="WBT20" s="556"/>
      <c r="WBU20" s="557"/>
      <c r="WBV20" s="557"/>
      <c r="WBW20" s="557"/>
      <c r="WBX20" s="557"/>
      <c r="WBY20" s="557"/>
      <c r="WBZ20" s="557"/>
      <c r="WCA20" s="557"/>
      <c r="WCB20" s="557"/>
      <c r="WCC20" s="557"/>
      <c r="WCD20" s="557"/>
      <c r="WCE20" s="557"/>
      <c r="WCF20" s="557"/>
      <c r="WCG20" s="557"/>
      <c r="WCH20" s="557"/>
      <c r="WCI20" s="557"/>
      <c r="WCJ20" s="557"/>
      <c r="WCK20" s="557"/>
      <c r="WCL20" s="557"/>
      <c r="WCM20" s="661"/>
      <c r="WCN20" s="556"/>
      <c r="WCO20" s="557"/>
      <c r="WCP20" s="557"/>
      <c r="WCQ20" s="557"/>
      <c r="WCR20" s="557"/>
      <c r="WCS20" s="557"/>
      <c r="WCT20" s="557"/>
      <c r="WCU20" s="557"/>
      <c r="WCV20" s="557"/>
      <c r="WCW20" s="557"/>
      <c r="WCX20" s="557"/>
      <c r="WCY20" s="557"/>
      <c r="WCZ20" s="557"/>
      <c r="WDA20" s="557"/>
      <c r="WDB20" s="557"/>
      <c r="WDC20" s="557"/>
      <c r="WDD20" s="557"/>
      <c r="WDE20" s="557"/>
      <c r="WDF20" s="557"/>
      <c r="WDG20" s="661"/>
      <c r="WDH20" s="556"/>
      <c r="WDI20" s="557"/>
      <c r="WDJ20" s="557"/>
      <c r="WDK20" s="557"/>
      <c r="WDL20" s="557"/>
      <c r="WDM20" s="557"/>
      <c r="WDN20" s="557"/>
      <c r="WDO20" s="557"/>
      <c r="WDP20" s="557"/>
      <c r="WDQ20" s="557"/>
      <c r="WDR20" s="557"/>
      <c r="WDS20" s="557"/>
      <c r="WDT20" s="557"/>
      <c r="WDU20" s="557"/>
      <c r="WDV20" s="557"/>
      <c r="WDW20" s="557"/>
      <c r="WDX20" s="557"/>
      <c r="WDY20" s="557"/>
      <c r="WDZ20" s="557"/>
      <c r="WEA20" s="661"/>
      <c r="WEB20" s="556"/>
      <c r="WEC20" s="557"/>
      <c r="WED20" s="557"/>
      <c r="WEE20" s="557"/>
      <c r="WEF20" s="557"/>
      <c r="WEG20" s="557"/>
      <c r="WEH20" s="557"/>
      <c r="WEI20" s="557"/>
      <c r="WEJ20" s="557"/>
      <c r="WEK20" s="557"/>
      <c r="WEL20" s="557"/>
      <c r="WEM20" s="557"/>
      <c r="WEN20" s="557"/>
      <c r="WEO20" s="557"/>
      <c r="WEP20" s="557"/>
      <c r="WEQ20" s="557"/>
      <c r="WER20" s="557"/>
      <c r="WES20" s="557"/>
      <c r="WET20" s="557"/>
      <c r="WEU20" s="661"/>
      <c r="WEV20" s="556"/>
      <c r="WEW20" s="557"/>
      <c r="WEX20" s="557"/>
      <c r="WEY20" s="557"/>
      <c r="WEZ20" s="557"/>
      <c r="WFA20" s="557"/>
      <c r="WFB20" s="557"/>
      <c r="WFC20" s="557"/>
      <c r="WFD20" s="557"/>
      <c r="WFE20" s="557"/>
      <c r="WFF20" s="557"/>
      <c r="WFG20" s="557"/>
      <c r="WFH20" s="557"/>
      <c r="WFI20" s="557"/>
      <c r="WFJ20" s="557"/>
      <c r="WFK20" s="557"/>
      <c r="WFL20" s="557"/>
      <c r="WFM20" s="557"/>
      <c r="WFN20" s="557"/>
      <c r="WFO20" s="661"/>
      <c r="WFP20" s="556"/>
      <c r="WFQ20" s="557"/>
      <c r="WFR20" s="557"/>
      <c r="WFS20" s="557"/>
      <c r="WFT20" s="557"/>
      <c r="WFU20" s="557"/>
      <c r="WFV20" s="557"/>
      <c r="WFW20" s="557"/>
      <c r="WFX20" s="557"/>
      <c r="WFY20" s="557"/>
      <c r="WFZ20" s="557"/>
      <c r="WGA20" s="557"/>
      <c r="WGB20" s="557"/>
      <c r="WGC20" s="557"/>
      <c r="WGD20" s="557"/>
      <c r="WGE20" s="557"/>
      <c r="WGF20" s="557"/>
      <c r="WGG20" s="557"/>
      <c r="WGH20" s="557"/>
      <c r="WGI20" s="661"/>
      <c r="WGJ20" s="556"/>
      <c r="WGK20" s="557"/>
      <c r="WGL20" s="557"/>
      <c r="WGM20" s="557"/>
      <c r="WGN20" s="557"/>
      <c r="WGO20" s="557"/>
      <c r="WGP20" s="557"/>
      <c r="WGQ20" s="557"/>
      <c r="WGR20" s="557"/>
      <c r="WGS20" s="557"/>
      <c r="WGT20" s="557"/>
      <c r="WGU20" s="557"/>
      <c r="WGV20" s="557"/>
      <c r="WGW20" s="557"/>
      <c r="WGX20" s="557"/>
      <c r="WGY20" s="557"/>
      <c r="WGZ20" s="557"/>
      <c r="WHA20" s="557"/>
      <c r="WHB20" s="557"/>
      <c r="WHC20" s="661"/>
      <c r="WHD20" s="556"/>
      <c r="WHE20" s="557"/>
      <c r="WHF20" s="557"/>
      <c r="WHG20" s="557"/>
      <c r="WHH20" s="557"/>
      <c r="WHI20" s="557"/>
      <c r="WHJ20" s="557"/>
      <c r="WHK20" s="557"/>
      <c r="WHL20" s="557"/>
      <c r="WHM20" s="557"/>
      <c r="WHN20" s="557"/>
      <c r="WHO20" s="557"/>
      <c r="WHP20" s="557"/>
      <c r="WHQ20" s="557"/>
      <c r="WHR20" s="557"/>
      <c r="WHS20" s="557"/>
      <c r="WHT20" s="557"/>
      <c r="WHU20" s="557"/>
      <c r="WHV20" s="557"/>
      <c r="WHW20" s="661"/>
      <c r="WHX20" s="556"/>
      <c r="WHY20" s="557"/>
      <c r="WHZ20" s="557"/>
      <c r="WIA20" s="557"/>
      <c r="WIB20" s="557"/>
      <c r="WIC20" s="557"/>
      <c r="WID20" s="557"/>
      <c r="WIE20" s="557"/>
      <c r="WIF20" s="557"/>
      <c r="WIG20" s="557"/>
      <c r="WIH20" s="557"/>
      <c r="WII20" s="557"/>
      <c r="WIJ20" s="557"/>
      <c r="WIK20" s="557"/>
      <c r="WIL20" s="557"/>
      <c r="WIM20" s="557"/>
      <c r="WIN20" s="557"/>
      <c r="WIO20" s="557"/>
      <c r="WIP20" s="557"/>
      <c r="WIQ20" s="661"/>
      <c r="WIR20" s="556"/>
      <c r="WIS20" s="557"/>
      <c r="WIT20" s="557"/>
      <c r="WIU20" s="557"/>
      <c r="WIV20" s="557"/>
      <c r="WIW20" s="557"/>
      <c r="WIX20" s="557"/>
      <c r="WIY20" s="557"/>
      <c r="WIZ20" s="557"/>
      <c r="WJA20" s="557"/>
      <c r="WJB20" s="557"/>
      <c r="WJC20" s="557"/>
      <c r="WJD20" s="557"/>
      <c r="WJE20" s="557"/>
      <c r="WJF20" s="557"/>
      <c r="WJG20" s="557"/>
      <c r="WJH20" s="557"/>
      <c r="WJI20" s="557"/>
      <c r="WJJ20" s="557"/>
      <c r="WJK20" s="661"/>
      <c r="WJL20" s="556"/>
      <c r="WJM20" s="557"/>
      <c r="WJN20" s="557"/>
      <c r="WJO20" s="557"/>
      <c r="WJP20" s="557"/>
      <c r="WJQ20" s="557"/>
      <c r="WJR20" s="557"/>
      <c r="WJS20" s="557"/>
      <c r="WJT20" s="557"/>
      <c r="WJU20" s="557"/>
      <c r="WJV20" s="557"/>
      <c r="WJW20" s="557"/>
      <c r="WJX20" s="557"/>
      <c r="WJY20" s="557"/>
      <c r="WJZ20" s="557"/>
      <c r="WKA20" s="557"/>
      <c r="WKB20" s="557"/>
      <c r="WKC20" s="557"/>
      <c r="WKD20" s="557"/>
      <c r="WKE20" s="661"/>
      <c r="WKF20" s="556"/>
      <c r="WKG20" s="557"/>
      <c r="WKH20" s="557"/>
      <c r="WKI20" s="557"/>
      <c r="WKJ20" s="557"/>
      <c r="WKK20" s="557"/>
      <c r="WKL20" s="557"/>
      <c r="WKM20" s="557"/>
      <c r="WKN20" s="557"/>
      <c r="WKO20" s="557"/>
      <c r="WKP20" s="557"/>
      <c r="WKQ20" s="557"/>
      <c r="WKR20" s="557"/>
      <c r="WKS20" s="557"/>
      <c r="WKT20" s="557"/>
      <c r="WKU20" s="557"/>
      <c r="WKV20" s="557"/>
      <c r="WKW20" s="557"/>
      <c r="WKX20" s="557"/>
      <c r="WKY20" s="661"/>
      <c r="WKZ20" s="556"/>
      <c r="WLA20" s="557"/>
      <c r="WLB20" s="557"/>
      <c r="WLC20" s="557"/>
      <c r="WLD20" s="557"/>
      <c r="WLE20" s="557"/>
      <c r="WLF20" s="557"/>
      <c r="WLG20" s="557"/>
      <c r="WLH20" s="557"/>
      <c r="WLI20" s="557"/>
      <c r="WLJ20" s="557"/>
      <c r="WLK20" s="557"/>
      <c r="WLL20" s="557"/>
      <c r="WLM20" s="557"/>
      <c r="WLN20" s="557"/>
      <c r="WLO20" s="557"/>
      <c r="WLP20" s="557"/>
      <c r="WLQ20" s="557"/>
      <c r="WLR20" s="557"/>
      <c r="WLS20" s="661"/>
      <c r="WLT20" s="556"/>
      <c r="WLU20" s="557"/>
      <c r="WLV20" s="557"/>
      <c r="WLW20" s="557"/>
      <c r="WLX20" s="557"/>
      <c r="WLY20" s="557"/>
      <c r="WLZ20" s="557"/>
      <c r="WMA20" s="557"/>
      <c r="WMB20" s="557"/>
      <c r="WMC20" s="557"/>
      <c r="WMD20" s="557"/>
      <c r="WME20" s="557"/>
      <c r="WMF20" s="557"/>
      <c r="WMG20" s="557"/>
      <c r="WMH20" s="557"/>
      <c r="WMI20" s="557"/>
      <c r="WMJ20" s="557"/>
      <c r="WMK20" s="557"/>
      <c r="WML20" s="557"/>
      <c r="WMM20" s="661"/>
      <c r="WMN20" s="556"/>
      <c r="WMO20" s="557"/>
      <c r="WMP20" s="557"/>
      <c r="WMQ20" s="557"/>
      <c r="WMR20" s="557"/>
      <c r="WMS20" s="557"/>
      <c r="WMT20" s="557"/>
      <c r="WMU20" s="557"/>
      <c r="WMV20" s="557"/>
      <c r="WMW20" s="557"/>
      <c r="WMX20" s="557"/>
      <c r="WMY20" s="557"/>
      <c r="WMZ20" s="557"/>
      <c r="WNA20" s="557"/>
      <c r="WNB20" s="557"/>
      <c r="WNC20" s="557"/>
      <c r="WND20" s="557"/>
      <c r="WNE20" s="557"/>
      <c r="WNF20" s="557"/>
      <c r="WNG20" s="661"/>
      <c r="WNH20" s="556"/>
      <c r="WNI20" s="557"/>
      <c r="WNJ20" s="557"/>
      <c r="WNK20" s="557"/>
      <c r="WNL20" s="557"/>
      <c r="WNM20" s="557"/>
      <c r="WNN20" s="557"/>
      <c r="WNO20" s="557"/>
      <c r="WNP20" s="557"/>
      <c r="WNQ20" s="557"/>
      <c r="WNR20" s="557"/>
      <c r="WNS20" s="557"/>
      <c r="WNT20" s="557"/>
      <c r="WNU20" s="557"/>
      <c r="WNV20" s="557"/>
      <c r="WNW20" s="557"/>
      <c r="WNX20" s="557"/>
      <c r="WNY20" s="557"/>
      <c r="WNZ20" s="557"/>
      <c r="WOA20" s="661"/>
      <c r="WOB20" s="556"/>
      <c r="WOC20" s="557"/>
      <c r="WOD20" s="557"/>
      <c r="WOE20" s="557"/>
      <c r="WOF20" s="557"/>
      <c r="WOG20" s="557"/>
      <c r="WOH20" s="557"/>
      <c r="WOI20" s="557"/>
      <c r="WOJ20" s="557"/>
      <c r="WOK20" s="557"/>
      <c r="WOL20" s="557"/>
      <c r="WOM20" s="557"/>
      <c r="WON20" s="557"/>
      <c r="WOO20" s="557"/>
      <c r="WOP20" s="557"/>
      <c r="WOQ20" s="557"/>
      <c r="WOR20" s="557"/>
      <c r="WOS20" s="557"/>
      <c r="WOT20" s="557"/>
      <c r="WOU20" s="661"/>
      <c r="WOV20" s="556"/>
      <c r="WOW20" s="557"/>
      <c r="WOX20" s="557"/>
      <c r="WOY20" s="557"/>
      <c r="WOZ20" s="557"/>
      <c r="WPA20" s="557"/>
      <c r="WPB20" s="557"/>
      <c r="WPC20" s="557"/>
      <c r="WPD20" s="557"/>
      <c r="WPE20" s="557"/>
      <c r="WPF20" s="557"/>
      <c r="WPG20" s="557"/>
      <c r="WPH20" s="557"/>
      <c r="WPI20" s="557"/>
      <c r="WPJ20" s="557"/>
      <c r="WPK20" s="557"/>
      <c r="WPL20" s="557"/>
      <c r="WPM20" s="557"/>
      <c r="WPN20" s="557"/>
      <c r="WPO20" s="661"/>
      <c r="WPP20" s="556"/>
      <c r="WPQ20" s="557"/>
      <c r="WPR20" s="557"/>
      <c r="WPS20" s="557"/>
      <c r="WPT20" s="557"/>
      <c r="WPU20" s="557"/>
      <c r="WPV20" s="557"/>
      <c r="WPW20" s="557"/>
      <c r="WPX20" s="557"/>
      <c r="WPY20" s="557"/>
      <c r="WPZ20" s="557"/>
      <c r="WQA20" s="557"/>
      <c r="WQB20" s="557"/>
      <c r="WQC20" s="557"/>
      <c r="WQD20" s="557"/>
      <c r="WQE20" s="557"/>
      <c r="WQF20" s="557"/>
      <c r="WQG20" s="557"/>
      <c r="WQH20" s="557"/>
      <c r="WQI20" s="661"/>
      <c r="WQJ20" s="556"/>
      <c r="WQK20" s="557"/>
      <c r="WQL20" s="557"/>
      <c r="WQM20" s="557"/>
      <c r="WQN20" s="557"/>
      <c r="WQO20" s="557"/>
      <c r="WQP20" s="557"/>
      <c r="WQQ20" s="557"/>
      <c r="WQR20" s="557"/>
      <c r="WQS20" s="557"/>
      <c r="WQT20" s="557"/>
      <c r="WQU20" s="557"/>
      <c r="WQV20" s="557"/>
      <c r="WQW20" s="557"/>
      <c r="WQX20" s="557"/>
      <c r="WQY20" s="557"/>
      <c r="WQZ20" s="557"/>
      <c r="WRA20" s="557"/>
      <c r="WRB20" s="557"/>
      <c r="WRC20" s="661"/>
      <c r="WRD20" s="556"/>
      <c r="WRE20" s="557"/>
      <c r="WRF20" s="557"/>
      <c r="WRG20" s="557"/>
      <c r="WRH20" s="557"/>
      <c r="WRI20" s="557"/>
      <c r="WRJ20" s="557"/>
      <c r="WRK20" s="557"/>
      <c r="WRL20" s="557"/>
      <c r="WRM20" s="557"/>
      <c r="WRN20" s="557"/>
      <c r="WRO20" s="557"/>
      <c r="WRP20" s="557"/>
      <c r="WRQ20" s="557"/>
      <c r="WRR20" s="557"/>
      <c r="WRS20" s="557"/>
      <c r="WRT20" s="557"/>
      <c r="WRU20" s="557"/>
      <c r="WRV20" s="557"/>
      <c r="WRW20" s="661"/>
      <c r="WRX20" s="556"/>
      <c r="WRY20" s="557"/>
      <c r="WRZ20" s="557"/>
      <c r="WSA20" s="557"/>
      <c r="WSB20" s="557"/>
      <c r="WSC20" s="557"/>
      <c r="WSD20" s="557"/>
      <c r="WSE20" s="557"/>
      <c r="WSF20" s="557"/>
      <c r="WSG20" s="557"/>
      <c r="WSH20" s="557"/>
      <c r="WSI20" s="557"/>
      <c r="WSJ20" s="557"/>
      <c r="WSK20" s="557"/>
      <c r="WSL20" s="557"/>
      <c r="WSM20" s="557"/>
      <c r="WSN20" s="557"/>
      <c r="WSO20" s="557"/>
      <c r="WSP20" s="557"/>
      <c r="WSQ20" s="661"/>
      <c r="WSR20" s="556"/>
      <c r="WSS20" s="557"/>
      <c r="WST20" s="557"/>
      <c r="WSU20" s="557"/>
      <c r="WSV20" s="557"/>
      <c r="WSW20" s="557"/>
      <c r="WSX20" s="557"/>
      <c r="WSY20" s="557"/>
      <c r="WSZ20" s="557"/>
      <c r="WTA20" s="557"/>
      <c r="WTB20" s="557"/>
      <c r="WTC20" s="557"/>
      <c r="WTD20" s="557"/>
      <c r="WTE20" s="557"/>
      <c r="WTF20" s="557"/>
      <c r="WTG20" s="557"/>
      <c r="WTH20" s="557"/>
      <c r="WTI20" s="557"/>
      <c r="WTJ20" s="557"/>
      <c r="WTK20" s="661"/>
      <c r="WTL20" s="556"/>
      <c r="WTM20" s="557"/>
      <c r="WTN20" s="557"/>
      <c r="WTO20" s="557"/>
      <c r="WTP20" s="557"/>
      <c r="WTQ20" s="557"/>
      <c r="WTR20" s="557"/>
      <c r="WTS20" s="557"/>
      <c r="WTT20" s="557"/>
      <c r="WTU20" s="557"/>
      <c r="WTV20" s="557"/>
      <c r="WTW20" s="557"/>
      <c r="WTX20" s="557"/>
      <c r="WTY20" s="557"/>
      <c r="WTZ20" s="557"/>
      <c r="WUA20" s="557"/>
      <c r="WUB20" s="557"/>
      <c r="WUC20" s="557"/>
      <c r="WUD20" s="557"/>
      <c r="WUE20" s="661"/>
      <c r="WUF20" s="556"/>
      <c r="WUG20" s="557"/>
      <c r="WUH20" s="557"/>
      <c r="WUI20" s="557"/>
      <c r="WUJ20" s="557"/>
      <c r="WUK20" s="557"/>
      <c r="WUL20" s="557"/>
      <c r="WUM20" s="557"/>
      <c r="WUN20" s="557"/>
      <c r="WUO20" s="557"/>
      <c r="WUP20" s="557"/>
      <c r="WUQ20" s="557"/>
      <c r="WUR20" s="557"/>
      <c r="WUS20" s="557"/>
      <c r="WUT20" s="557"/>
      <c r="WUU20" s="557"/>
      <c r="WUV20" s="557"/>
      <c r="WUW20" s="557"/>
      <c r="WUX20" s="557"/>
      <c r="WUY20" s="661"/>
      <c r="WUZ20" s="556"/>
      <c r="WVA20" s="557"/>
      <c r="WVB20" s="557"/>
      <c r="WVC20" s="557"/>
      <c r="WVD20" s="557"/>
      <c r="WVE20" s="557"/>
      <c r="WVF20" s="557"/>
      <c r="WVG20" s="557"/>
      <c r="WVH20" s="557"/>
      <c r="WVI20" s="557"/>
      <c r="WVJ20" s="557"/>
      <c r="WVK20" s="557"/>
      <c r="WVL20" s="557"/>
      <c r="WVM20" s="557"/>
      <c r="WVN20" s="557"/>
      <c r="WVO20" s="557"/>
      <c r="WVP20" s="557"/>
      <c r="WVQ20" s="557"/>
      <c r="WVR20" s="557"/>
      <c r="WVS20" s="661"/>
      <c r="WVT20" s="556"/>
      <c r="WVU20" s="557"/>
      <c r="WVV20" s="557"/>
      <c r="WVW20" s="557"/>
      <c r="WVX20" s="557"/>
      <c r="WVY20" s="557"/>
      <c r="WVZ20" s="557"/>
      <c r="WWA20" s="557"/>
      <c r="WWB20" s="557"/>
      <c r="WWC20" s="557"/>
      <c r="WWD20" s="557"/>
      <c r="WWE20" s="557"/>
      <c r="WWF20" s="557"/>
      <c r="WWG20" s="557"/>
      <c r="WWH20" s="557"/>
      <c r="WWI20" s="557"/>
      <c r="WWJ20" s="557"/>
      <c r="WWK20" s="557"/>
      <c r="WWL20" s="557"/>
      <c r="WWM20" s="661"/>
      <c r="WWN20" s="556"/>
      <c r="WWO20" s="557"/>
      <c r="WWP20" s="557"/>
      <c r="WWQ20" s="557"/>
      <c r="WWR20" s="557"/>
      <c r="WWS20" s="557"/>
      <c r="WWT20" s="557"/>
      <c r="WWU20" s="557"/>
      <c r="WWV20" s="557"/>
      <c r="WWW20" s="557"/>
      <c r="WWX20" s="557"/>
      <c r="WWY20" s="557"/>
      <c r="WWZ20" s="557"/>
      <c r="WXA20" s="557"/>
      <c r="WXB20" s="557"/>
      <c r="WXC20" s="557"/>
      <c r="WXD20" s="557"/>
      <c r="WXE20" s="557"/>
      <c r="WXF20" s="557"/>
      <c r="WXG20" s="661"/>
      <c r="WXH20" s="556"/>
      <c r="WXI20" s="557"/>
      <c r="WXJ20" s="557"/>
      <c r="WXK20" s="557"/>
      <c r="WXL20" s="557"/>
      <c r="WXM20" s="557"/>
      <c r="WXN20" s="557"/>
      <c r="WXO20" s="557"/>
      <c r="WXP20" s="557"/>
      <c r="WXQ20" s="557"/>
      <c r="WXR20" s="557"/>
      <c r="WXS20" s="557"/>
      <c r="WXT20" s="557"/>
      <c r="WXU20" s="557"/>
      <c r="WXV20" s="557"/>
      <c r="WXW20" s="557"/>
      <c r="WXX20" s="557"/>
      <c r="WXY20" s="557"/>
      <c r="WXZ20" s="557"/>
      <c r="WYA20" s="661"/>
      <c r="WYB20" s="556"/>
      <c r="WYC20" s="557"/>
      <c r="WYD20" s="557"/>
      <c r="WYE20" s="557"/>
      <c r="WYF20" s="557"/>
      <c r="WYG20" s="557"/>
      <c r="WYH20" s="557"/>
      <c r="WYI20" s="557"/>
      <c r="WYJ20" s="557"/>
      <c r="WYK20" s="557"/>
      <c r="WYL20" s="557"/>
      <c r="WYM20" s="557"/>
      <c r="WYN20" s="557"/>
      <c r="WYO20" s="557"/>
      <c r="WYP20" s="557"/>
      <c r="WYQ20" s="557"/>
      <c r="WYR20" s="557"/>
      <c r="WYS20" s="557"/>
      <c r="WYT20" s="557"/>
      <c r="WYU20" s="661"/>
      <c r="WYV20" s="556"/>
      <c r="WYW20" s="557"/>
      <c r="WYX20" s="557"/>
      <c r="WYY20" s="557"/>
      <c r="WYZ20" s="557"/>
      <c r="WZA20" s="557"/>
      <c r="WZB20" s="557"/>
      <c r="WZC20" s="557"/>
      <c r="WZD20" s="557"/>
      <c r="WZE20" s="557"/>
      <c r="WZF20" s="557"/>
      <c r="WZG20" s="557"/>
      <c r="WZH20" s="557"/>
      <c r="WZI20" s="557"/>
      <c r="WZJ20" s="557"/>
      <c r="WZK20" s="557"/>
      <c r="WZL20" s="557"/>
      <c r="WZM20" s="557"/>
      <c r="WZN20" s="557"/>
      <c r="WZO20" s="661"/>
      <c r="WZP20" s="556"/>
      <c r="WZQ20" s="557"/>
      <c r="WZR20" s="557"/>
      <c r="WZS20" s="557"/>
      <c r="WZT20" s="557"/>
      <c r="WZU20" s="557"/>
      <c r="WZV20" s="557"/>
      <c r="WZW20" s="557"/>
      <c r="WZX20" s="557"/>
      <c r="WZY20" s="557"/>
      <c r="WZZ20" s="557"/>
      <c r="XAA20" s="557"/>
      <c r="XAB20" s="557"/>
      <c r="XAC20" s="557"/>
      <c r="XAD20" s="557"/>
      <c r="XAE20" s="557"/>
      <c r="XAF20" s="557"/>
      <c r="XAG20" s="557"/>
      <c r="XAH20" s="557"/>
      <c r="XAI20" s="661"/>
      <c r="XAJ20" s="556"/>
      <c r="XAK20" s="557"/>
      <c r="XAL20" s="557"/>
      <c r="XAM20" s="557"/>
      <c r="XAN20" s="557"/>
      <c r="XAO20" s="557"/>
      <c r="XAP20" s="557"/>
      <c r="XAQ20" s="557"/>
      <c r="XAR20" s="557"/>
      <c r="XAS20" s="557"/>
      <c r="XAT20" s="557"/>
      <c r="XAU20" s="557"/>
      <c r="XAV20" s="557"/>
      <c r="XAW20" s="557"/>
      <c r="XAX20" s="557"/>
      <c r="XAY20" s="557"/>
      <c r="XAZ20" s="557"/>
      <c r="XBA20" s="557"/>
      <c r="XBB20" s="557"/>
      <c r="XBC20" s="661"/>
      <c r="XBD20" s="556"/>
      <c r="XBE20" s="557"/>
      <c r="XBF20" s="557"/>
      <c r="XBG20" s="557"/>
      <c r="XBH20" s="557"/>
      <c r="XBI20" s="557"/>
      <c r="XBJ20" s="557"/>
      <c r="XBK20" s="557"/>
      <c r="XBL20" s="557"/>
      <c r="XBM20" s="557"/>
      <c r="XBN20" s="557"/>
      <c r="XBO20" s="557"/>
      <c r="XBP20" s="557"/>
      <c r="XBQ20" s="557"/>
      <c r="XBR20" s="557"/>
      <c r="XBS20" s="557"/>
      <c r="XBT20" s="557"/>
      <c r="XBU20" s="557"/>
      <c r="XBV20" s="557"/>
      <c r="XBW20" s="661"/>
      <c r="XBX20" s="556"/>
      <c r="XBY20" s="557"/>
      <c r="XBZ20" s="557"/>
      <c r="XCA20" s="557"/>
      <c r="XCB20" s="557"/>
      <c r="XCC20" s="557"/>
      <c r="XCD20" s="557"/>
      <c r="XCE20" s="557"/>
      <c r="XCF20" s="557"/>
      <c r="XCG20" s="557"/>
      <c r="XCH20" s="557"/>
      <c r="XCI20" s="557"/>
      <c r="XCJ20" s="557"/>
      <c r="XCK20" s="557"/>
      <c r="XCL20" s="557"/>
      <c r="XCM20" s="557"/>
      <c r="XCN20" s="557"/>
      <c r="XCO20" s="557"/>
      <c r="XCP20" s="557"/>
      <c r="XCQ20" s="661"/>
      <c r="XCR20" s="556"/>
      <c r="XCS20" s="557"/>
      <c r="XCT20" s="557"/>
      <c r="XCU20" s="557"/>
      <c r="XCV20" s="557"/>
      <c r="XCW20" s="557"/>
      <c r="XCX20" s="557"/>
      <c r="XCY20" s="557"/>
      <c r="XCZ20" s="557"/>
      <c r="XDA20" s="557"/>
      <c r="XDB20" s="557"/>
      <c r="XDC20" s="557"/>
      <c r="XDD20" s="557"/>
      <c r="XDE20" s="557"/>
      <c r="XDF20" s="557"/>
      <c r="XDG20" s="557"/>
      <c r="XDH20" s="557"/>
      <c r="XDI20" s="557"/>
      <c r="XDJ20" s="557"/>
      <c r="XDK20" s="661"/>
      <c r="XDL20" s="556"/>
      <c r="XDM20" s="557"/>
      <c r="XDN20" s="557"/>
      <c r="XDO20" s="557"/>
      <c r="XDP20" s="557"/>
      <c r="XDQ20" s="557"/>
      <c r="XDR20" s="557"/>
      <c r="XDS20" s="557"/>
      <c r="XDT20" s="557"/>
      <c r="XDU20" s="557"/>
      <c r="XDV20" s="557"/>
      <c r="XDW20" s="557"/>
      <c r="XDX20" s="557"/>
      <c r="XDY20" s="557"/>
      <c r="XDZ20" s="557"/>
      <c r="XEA20" s="557"/>
      <c r="XEB20" s="557"/>
      <c r="XEC20" s="557"/>
      <c r="XED20" s="557"/>
      <c r="XEE20" s="661"/>
      <c r="XEF20" s="556"/>
      <c r="XEG20" s="557"/>
      <c r="XEH20" s="557"/>
      <c r="XEI20" s="557"/>
      <c r="XEJ20" s="557"/>
      <c r="XEK20" s="557"/>
      <c r="XEL20" s="557"/>
      <c r="XEM20" s="557"/>
      <c r="XEN20" s="557"/>
      <c r="XEO20" s="557"/>
      <c r="XEP20" s="557"/>
      <c r="XEQ20" s="557"/>
      <c r="XER20" s="557"/>
      <c r="XES20" s="557"/>
      <c r="XET20" s="557"/>
      <c r="XEU20" s="557"/>
      <c r="XEV20" s="557"/>
      <c r="XEW20" s="557"/>
      <c r="XEX20" s="557"/>
      <c r="XEY20" s="661"/>
      <c r="XEZ20" s="556"/>
      <c r="XFA20" s="556"/>
      <c r="XFB20" s="556"/>
      <c r="XFC20" s="556"/>
    </row>
    <row r="21" spans="1:16383" ht="15.75" customHeight="1" x14ac:dyDescent="0.2">
      <c r="A21" s="593">
        <v>3</v>
      </c>
      <c r="B21" s="585" t="s">
        <v>1123</v>
      </c>
      <c r="C21" s="597" t="s">
        <v>1124</v>
      </c>
      <c r="D21" s="597">
        <v>2440072962</v>
      </c>
      <c r="E21" s="597" t="s">
        <v>68</v>
      </c>
      <c r="F21" s="597" t="s">
        <v>54</v>
      </c>
      <c r="G21" s="346" t="s">
        <v>1125</v>
      </c>
      <c r="H21" s="347"/>
      <c r="I21" s="348"/>
      <c r="J21" s="348"/>
      <c r="K21" s="349"/>
      <c r="L21" s="348">
        <v>28500</v>
      </c>
      <c r="M21" s="348">
        <v>33345</v>
      </c>
      <c r="N21" s="346" t="s">
        <v>1111</v>
      </c>
      <c r="O21" s="560" t="s">
        <v>116</v>
      </c>
      <c r="P21" s="560" t="s">
        <v>1126</v>
      </c>
      <c r="Q21" s="330"/>
      <c r="R21" s="657">
        <v>33345</v>
      </c>
      <c r="S21" s="659" t="s">
        <v>18</v>
      </c>
    </row>
    <row r="22" spans="1:16383" ht="14.25" x14ac:dyDescent="0.2">
      <c r="A22" s="594"/>
      <c r="B22" s="586"/>
      <c r="C22" s="598"/>
      <c r="D22" s="678"/>
      <c r="E22" s="678"/>
      <c r="F22" s="678"/>
      <c r="G22" s="329"/>
      <c r="H22" s="332"/>
      <c r="I22" s="34"/>
      <c r="J22" s="34"/>
      <c r="K22" s="329"/>
      <c r="L22" s="34"/>
      <c r="M22" s="34"/>
      <c r="N22" s="329"/>
      <c r="O22" s="561"/>
      <c r="P22" s="561"/>
      <c r="Q22" s="331"/>
      <c r="R22" s="673"/>
      <c r="S22" s="674"/>
    </row>
    <row r="23" spans="1:16383" ht="14.25" x14ac:dyDescent="0.2">
      <c r="A23" s="594"/>
      <c r="B23" s="586"/>
      <c r="C23" s="598"/>
      <c r="D23" s="678"/>
      <c r="E23" s="678"/>
      <c r="F23" s="678"/>
      <c r="G23" s="329"/>
      <c r="H23" s="332"/>
      <c r="I23" s="34"/>
      <c r="J23" s="34"/>
      <c r="K23" s="329"/>
      <c r="L23" s="34"/>
      <c r="M23" s="34"/>
      <c r="N23" s="329"/>
      <c r="O23" s="561"/>
      <c r="P23" s="561"/>
      <c r="Q23" s="331"/>
      <c r="R23" s="673"/>
      <c r="S23" s="674"/>
    </row>
    <row r="24" spans="1:16383" ht="14.25" x14ac:dyDescent="0.2">
      <c r="A24" s="594"/>
      <c r="B24" s="586"/>
      <c r="C24" s="598"/>
      <c r="D24" s="678"/>
      <c r="E24" s="678"/>
      <c r="F24" s="678"/>
      <c r="G24" s="329"/>
      <c r="H24" s="332"/>
      <c r="I24" s="34"/>
      <c r="J24" s="34"/>
      <c r="K24" s="329"/>
      <c r="L24" s="34"/>
      <c r="M24" s="34"/>
      <c r="N24" s="329"/>
      <c r="O24" s="561"/>
      <c r="P24" s="561"/>
      <c r="Q24" s="331"/>
      <c r="R24" s="673"/>
      <c r="S24" s="674"/>
    </row>
    <row r="25" spans="1:16383" ht="14.25" x14ac:dyDescent="0.2">
      <c r="A25" s="594"/>
      <c r="B25" s="586"/>
      <c r="C25" s="598"/>
      <c r="D25" s="679"/>
      <c r="E25" s="679"/>
      <c r="F25" s="679"/>
      <c r="G25" s="329"/>
      <c r="H25" s="332"/>
      <c r="I25" s="34"/>
      <c r="J25" s="34"/>
      <c r="K25" s="329"/>
      <c r="L25" s="34"/>
      <c r="M25" s="34"/>
      <c r="N25" s="329"/>
      <c r="O25" s="562"/>
      <c r="P25" s="561"/>
      <c r="Q25" s="331"/>
      <c r="R25" s="673"/>
      <c r="S25" s="674"/>
    </row>
    <row r="26" spans="1:16383" ht="14.25" x14ac:dyDescent="0.2">
      <c r="A26" s="595"/>
      <c r="B26" s="581" t="s">
        <v>1127</v>
      </c>
      <c r="C26" s="582"/>
      <c r="D26" s="582"/>
      <c r="E26" s="582"/>
      <c r="F26" s="582"/>
      <c r="G26" s="582"/>
      <c r="H26" s="582"/>
      <c r="I26" s="582"/>
      <c r="J26" s="582"/>
      <c r="K26" s="582"/>
      <c r="L26" s="582"/>
      <c r="M26" s="582"/>
      <c r="N26" s="582"/>
      <c r="O26" s="582"/>
      <c r="P26" s="582"/>
      <c r="Q26" s="582"/>
      <c r="R26" s="582"/>
      <c r="S26" s="582"/>
    </row>
    <row r="27" spans="1:16383" ht="15.75" x14ac:dyDescent="0.2">
      <c r="A27" s="556" t="s">
        <v>1128</v>
      </c>
      <c r="B27" s="557"/>
      <c r="C27" s="557"/>
      <c r="D27" s="557"/>
      <c r="E27" s="557"/>
      <c r="F27" s="557"/>
      <c r="G27" s="557"/>
      <c r="H27" s="557"/>
      <c r="I27" s="557"/>
      <c r="J27" s="557"/>
      <c r="K27" s="557"/>
      <c r="L27" s="557"/>
      <c r="M27" s="557"/>
      <c r="N27" s="557"/>
      <c r="O27" s="557"/>
      <c r="P27" s="557"/>
      <c r="Q27" s="557"/>
      <c r="R27" s="557"/>
      <c r="S27" s="557"/>
    </row>
    <row r="28" spans="1:16383" ht="14.25" x14ac:dyDescent="0.2">
      <c r="A28" s="593">
        <v>4</v>
      </c>
      <c r="B28" s="585" t="s">
        <v>1129</v>
      </c>
      <c r="C28" s="597" t="s">
        <v>1124</v>
      </c>
      <c r="D28" s="597">
        <v>44014</v>
      </c>
      <c r="E28" s="597" t="s">
        <v>53</v>
      </c>
      <c r="F28" s="597" t="s">
        <v>54</v>
      </c>
      <c r="G28" s="346" t="s">
        <v>1130</v>
      </c>
      <c r="H28" s="347"/>
      <c r="I28" s="348"/>
      <c r="J28" s="348" t="s">
        <v>1131</v>
      </c>
      <c r="K28" s="349">
        <v>200</v>
      </c>
      <c r="L28" s="348">
        <v>36000</v>
      </c>
      <c r="M28" s="348">
        <v>42120</v>
      </c>
      <c r="N28" s="346" t="s">
        <v>1111</v>
      </c>
      <c r="O28" s="560" t="s">
        <v>116</v>
      </c>
      <c r="P28" s="560" t="s">
        <v>1132</v>
      </c>
      <c r="Q28" s="330"/>
      <c r="R28" s="657">
        <v>42120</v>
      </c>
      <c r="S28" s="659" t="s">
        <v>18</v>
      </c>
    </row>
    <row r="29" spans="1:16383" ht="14.25" x14ac:dyDescent="0.2">
      <c r="A29" s="594"/>
      <c r="B29" s="586"/>
      <c r="C29" s="598"/>
      <c r="D29" s="678"/>
      <c r="E29" s="678"/>
      <c r="F29" s="678"/>
      <c r="G29" s="329"/>
      <c r="H29" s="332"/>
      <c r="I29" s="34"/>
      <c r="J29" s="34"/>
      <c r="K29" s="329"/>
      <c r="L29" s="34"/>
      <c r="M29" s="34"/>
      <c r="N29" s="329"/>
      <c r="O29" s="561"/>
      <c r="P29" s="561"/>
      <c r="Q29" s="331"/>
      <c r="R29" s="673"/>
      <c r="S29" s="674"/>
    </row>
    <row r="30" spans="1:16383" ht="14.25" x14ac:dyDescent="0.2">
      <c r="A30" s="594"/>
      <c r="B30" s="586"/>
      <c r="C30" s="598"/>
      <c r="D30" s="678"/>
      <c r="E30" s="678"/>
      <c r="F30" s="678"/>
      <c r="G30" s="329"/>
      <c r="H30" s="332"/>
      <c r="I30" s="34"/>
      <c r="J30" s="34"/>
      <c r="K30" s="329"/>
      <c r="L30" s="34"/>
      <c r="M30" s="34"/>
      <c r="N30" s="329"/>
      <c r="O30" s="561"/>
      <c r="P30" s="561"/>
      <c r="Q30" s="331"/>
      <c r="R30" s="673"/>
      <c r="S30" s="674"/>
    </row>
    <row r="31" spans="1:16383" ht="14.25" x14ac:dyDescent="0.2">
      <c r="A31" s="594"/>
      <c r="B31" s="586"/>
      <c r="C31" s="598"/>
      <c r="D31" s="678"/>
      <c r="E31" s="678"/>
      <c r="F31" s="678"/>
      <c r="G31" s="329"/>
      <c r="H31" s="332"/>
      <c r="I31" s="34"/>
      <c r="J31" s="34"/>
      <c r="K31" s="329"/>
      <c r="L31" s="34"/>
      <c r="M31" s="34"/>
      <c r="N31" s="329"/>
      <c r="O31" s="561"/>
      <c r="P31" s="561"/>
      <c r="Q31" s="331"/>
      <c r="R31" s="673"/>
      <c r="S31" s="674"/>
    </row>
    <row r="32" spans="1:16383" ht="14.25" x14ac:dyDescent="0.2">
      <c r="A32" s="594"/>
      <c r="B32" s="586"/>
      <c r="C32" s="598"/>
      <c r="D32" s="679"/>
      <c r="E32" s="679"/>
      <c r="F32" s="679"/>
      <c r="G32" s="329"/>
      <c r="H32" s="332"/>
      <c r="I32" s="34"/>
      <c r="J32" s="34"/>
      <c r="K32" s="329"/>
      <c r="L32" s="34"/>
      <c r="M32" s="34"/>
      <c r="N32" s="329"/>
      <c r="O32" s="562"/>
      <c r="P32" s="561"/>
      <c r="Q32" s="331"/>
      <c r="R32" s="673"/>
      <c r="S32" s="674"/>
    </row>
    <row r="33" spans="1:16383" ht="14.25" x14ac:dyDescent="0.2">
      <c r="A33" s="595"/>
      <c r="B33" s="581" t="s">
        <v>1133</v>
      </c>
      <c r="C33" s="582"/>
      <c r="D33" s="582"/>
      <c r="E33" s="582"/>
      <c r="F33" s="582"/>
      <c r="G33" s="582"/>
      <c r="H33" s="582"/>
      <c r="I33" s="582"/>
      <c r="J33" s="582"/>
      <c r="K33" s="582"/>
      <c r="L33" s="582"/>
      <c r="M33" s="582"/>
      <c r="N33" s="582"/>
      <c r="O33" s="582"/>
      <c r="P33" s="582"/>
      <c r="Q33" s="582"/>
      <c r="R33" s="582"/>
      <c r="S33" s="582"/>
    </row>
    <row r="34" spans="1:16383" ht="16.5" customHeight="1" x14ac:dyDescent="0.2">
      <c r="A34" s="556" t="s">
        <v>1134</v>
      </c>
      <c r="B34" s="557"/>
      <c r="C34" s="557"/>
      <c r="D34" s="557"/>
      <c r="E34" s="557"/>
      <c r="F34" s="557"/>
      <c r="G34" s="557"/>
      <c r="H34" s="557"/>
      <c r="I34" s="557"/>
      <c r="J34" s="557"/>
      <c r="K34" s="557"/>
      <c r="L34" s="557"/>
      <c r="M34" s="557"/>
      <c r="N34" s="557"/>
      <c r="O34" s="557"/>
      <c r="P34" s="557"/>
      <c r="Q34" s="557"/>
      <c r="R34" s="557"/>
      <c r="S34" s="557"/>
      <c r="T34" s="556"/>
      <c r="U34" s="557"/>
      <c r="V34" s="557"/>
      <c r="W34" s="557"/>
      <c r="X34" s="557"/>
      <c r="Y34" s="557"/>
      <c r="Z34" s="557"/>
      <c r="AA34" s="557"/>
      <c r="AB34" s="557"/>
      <c r="AC34" s="557"/>
      <c r="AD34" s="557"/>
      <c r="AE34" s="557"/>
      <c r="AF34" s="557"/>
      <c r="AG34" s="557"/>
      <c r="AH34" s="557"/>
      <c r="AI34" s="557"/>
      <c r="AJ34" s="557"/>
      <c r="AK34" s="557"/>
      <c r="AL34" s="557"/>
      <c r="AM34" s="661"/>
      <c r="AN34" s="556"/>
      <c r="AO34" s="557"/>
      <c r="AP34" s="557"/>
      <c r="AQ34" s="557"/>
      <c r="AR34" s="557"/>
      <c r="AS34" s="557"/>
      <c r="AT34" s="557"/>
      <c r="AU34" s="557"/>
      <c r="AV34" s="557"/>
      <c r="AW34" s="557"/>
      <c r="AX34" s="557"/>
      <c r="AY34" s="557"/>
      <c r="AZ34" s="557"/>
      <c r="BA34" s="557"/>
      <c r="BB34" s="557"/>
      <c r="BC34" s="557"/>
      <c r="BD34" s="557"/>
      <c r="BE34" s="557"/>
      <c r="BF34" s="557"/>
      <c r="BG34" s="661"/>
      <c r="BH34" s="556"/>
      <c r="BI34" s="557"/>
      <c r="BJ34" s="557"/>
      <c r="BK34" s="557"/>
      <c r="BL34" s="557"/>
      <c r="BM34" s="557"/>
      <c r="BN34" s="557"/>
      <c r="BO34" s="557"/>
      <c r="BP34" s="557"/>
      <c r="BQ34" s="557"/>
      <c r="BR34" s="557"/>
      <c r="BS34" s="557"/>
      <c r="BT34" s="557"/>
      <c r="BU34" s="557"/>
      <c r="BV34" s="557"/>
      <c r="BW34" s="557"/>
      <c r="BX34" s="557"/>
      <c r="BY34" s="557"/>
      <c r="BZ34" s="557"/>
      <c r="CA34" s="661"/>
      <c r="CB34" s="556"/>
      <c r="CC34" s="557"/>
      <c r="CD34" s="557"/>
      <c r="CE34" s="557"/>
      <c r="CF34" s="557"/>
      <c r="CG34" s="557"/>
      <c r="CH34" s="557"/>
      <c r="CI34" s="557"/>
      <c r="CJ34" s="557"/>
      <c r="CK34" s="557"/>
      <c r="CL34" s="557"/>
      <c r="CM34" s="557"/>
      <c r="CN34" s="557"/>
      <c r="CO34" s="557"/>
      <c r="CP34" s="557"/>
      <c r="CQ34" s="557"/>
      <c r="CR34" s="557"/>
      <c r="CS34" s="557"/>
      <c r="CT34" s="557"/>
      <c r="CU34" s="661"/>
      <c r="CV34" s="556"/>
      <c r="CW34" s="557"/>
      <c r="CX34" s="557"/>
      <c r="CY34" s="557"/>
      <c r="CZ34" s="557"/>
      <c r="DA34" s="557"/>
      <c r="DB34" s="557"/>
      <c r="DC34" s="557"/>
      <c r="DD34" s="557"/>
      <c r="DE34" s="557"/>
      <c r="DF34" s="557"/>
      <c r="DG34" s="557"/>
      <c r="DH34" s="557"/>
      <c r="DI34" s="557"/>
      <c r="DJ34" s="557"/>
      <c r="DK34" s="557"/>
      <c r="DL34" s="557"/>
      <c r="DM34" s="557"/>
      <c r="DN34" s="557"/>
      <c r="DO34" s="661"/>
      <c r="DP34" s="556"/>
      <c r="DQ34" s="557"/>
      <c r="DR34" s="557"/>
      <c r="DS34" s="557"/>
      <c r="DT34" s="557"/>
      <c r="DU34" s="557"/>
      <c r="DV34" s="557"/>
      <c r="DW34" s="557"/>
      <c r="DX34" s="557"/>
      <c r="DY34" s="557"/>
      <c r="DZ34" s="557"/>
      <c r="EA34" s="557"/>
      <c r="EB34" s="557"/>
      <c r="EC34" s="557"/>
      <c r="ED34" s="557"/>
      <c r="EE34" s="557"/>
      <c r="EF34" s="557"/>
      <c r="EG34" s="557"/>
      <c r="EH34" s="557"/>
      <c r="EI34" s="661"/>
      <c r="EJ34" s="556"/>
      <c r="EK34" s="557"/>
      <c r="EL34" s="557"/>
      <c r="EM34" s="557"/>
      <c r="EN34" s="557"/>
      <c r="EO34" s="557"/>
      <c r="EP34" s="557"/>
      <c r="EQ34" s="557"/>
      <c r="ER34" s="557"/>
      <c r="ES34" s="557"/>
      <c r="ET34" s="557"/>
      <c r="EU34" s="557"/>
      <c r="EV34" s="557"/>
      <c r="EW34" s="557"/>
      <c r="EX34" s="557"/>
      <c r="EY34" s="557"/>
      <c r="EZ34" s="557"/>
      <c r="FA34" s="557"/>
      <c r="FB34" s="557"/>
      <c r="FC34" s="661"/>
      <c r="FD34" s="556"/>
      <c r="FE34" s="557"/>
      <c r="FF34" s="557"/>
      <c r="FG34" s="557"/>
      <c r="FH34" s="557"/>
      <c r="FI34" s="557"/>
      <c r="FJ34" s="557"/>
      <c r="FK34" s="557"/>
      <c r="FL34" s="557"/>
      <c r="FM34" s="557"/>
      <c r="FN34" s="557"/>
      <c r="FO34" s="557"/>
      <c r="FP34" s="557"/>
      <c r="FQ34" s="557"/>
      <c r="FR34" s="557"/>
      <c r="FS34" s="557"/>
      <c r="FT34" s="557"/>
      <c r="FU34" s="557"/>
      <c r="FV34" s="557"/>
      <c r="FW34" s="661"/>
      <c r="FX34" s="556"/>
      <c r="FY34" s="557"/>
      <c r="FZ34" s="557"/>
      <c r="GA34" s="557"/>
      <c r="GB34" s="557"/>
      <c r="GC34" s="557"/>
      <c r="GD34" s="557"/>
      <c r="GE34" s="557"/>
      <c r="GF34" s="557"/>
      <c r="GG34" s="557"/>
      <c r="GH34" s="557"/>
      <c r="GI34" s="557"/>
      <c r="GJ34" s="557"/>
      <c r="GK34" s="557"/>
      <c r="GL34" s="557"/>
      <c r="GM34" s="557"/>
      <c r="GN34" s="557"/>
      <c r="GO34" s="557"/>
      <c r="GP34" s="557"/>
      <c r="GQ34" s="661"/>
      <c r="GR34" s="556"/>
      <c r="GS34" s="557"/>
      <c r="GT34" s="557"/>
      <c r="GU34" s="557"/>
      <c r="GV34" s="557"/>
      <c r="GW34" s="557"/>
      <c r="GX34" s="557"/>
      <c r="GY34" s="557"/>
      <c r="GZ34" s="557"/>
      <c r="HA34" s="557"/>
      <c r="HB34" s="557"/>
      <c r="HC34" s="557"/>
      <c r="HD34" s="557"/>
      <c r="HE34" s="557"/>
      <c r="HF34" s="557"/>
      <c r="HG34" s="557"/>
      <c r="HH34" s="557"/>
      <c r="HI34" s="557"/>
      <c r="HJ34" s="557"/>
      <c r="HK34" s="661"/>
      <c r="HL34" s="556"/>
      <c r="HM34" s="557"/>
      <c r="HN34" s="557"/>
      <c r="HO34" s="557"/>
      <c r="HP34" s="557"/>
      <c r="HQ34" s="557"/>
      <c r="HR34" s="557"/>
      <c r="HS34" s="557"/>
      <c r="HT34" s="557"/>
      <c r="HU34" s="557"/>
      <c r="HV34" s="557"/>
      <c r="HW34" s="557"/>
      <c r="HX34" s="557"/>
      <c r="HY34" s="557"/>
      <c r="HZ34" s="557"/>
      <c r="IA34" s="557"/>
      <c r="IB34" s="557"/>
      <c r="IC34" s="557"/>
      <c r="ID34" s="557"/>
      <c r="IE34" s="661"/>
      <c r="IF34" s="556"/>
      <c r="IG34" s="557"/>
      <c r="IH34" s="557"/>
      <c r="II34" s="557"/>
      <c r="IJ34" s="557"/>
      <c r="IK34" s="557"/>
      <c r="IL34" s="557"/>
      <c r="IM34" s="557"/>
      <c r="IN34" s="557"/>
      <c r="IO34" s="557"/>
      <c r="IP34" s="557"/>
      <c r="IQ34" s="557"/>
      <c r="IR34" s="557"/>
      <c r="IS34" s="557"/>
      <c r="IT34" s="557"/>
      <c r="IU34" s="557"/>
      <c r="IV34" s="557"/>
      <c r="IW34" s="557"/>
      <c r="IX34" s="557"/>
      <c r="IY34" s="661"/>
      <c r="IZ34" s="556"/>
      <c r="JA34" s="557"/>
      <c r="JB34" s="557"/>
      <c r="JC34" s="557"/>
      <c r="JD34" s="557"/>
      <c r="JE34" s="557"/>
      <c r="JF34" s="557"/>
      <c r="JG34" s="557"/>
      <c r="JH34" s="557"/>
      <c r="JI34" s="557"/>
      <c r="JJ34" s="557"/>
      <c r="JK34" s="557"/>
      <c r="JL34" s="557"/>
      <c r="JM34" s="557"/>
      <c r="JN34" s="557"/>
      <c r="JO34" s="557"/>
      <c r="JP34" s="557"/>
      <c r="JQ34" s="557"/>
      <c r="JR34" s="557"/>
      <c r="JS34" s="661"/>
      <c r="JT34" s="556"/>
      <c r="JU34" s="557"/>
      <c r="JV34" s="557"/>
      <c r="JW34" s="557"/>
      <c r="JX34" s="557"/>
      <c r="JY34" s="557"/>
      <c r="JZ34" s="557"/>
      <c r="KA34" s="557"/>
      <c r="KB34" s="557"/>
      <c r="KC34" s="557"/>
      <c r="KD34" s="557"/>
      <c r="KE34" s="557"/>
      <c r="KF34" s="557"/>
      <c r="KG34" s="557"/>
      <c r="KH34" s="557"/>
      <c r="KI34" s="557"/>
      <c r="KJ34" s="557"/>
      <c r="KK34" s="557"/>
      <c r="KL34" s="557"/>
      <c r="KM34" s="661"/>
      <c r="KN34" s="556"/>
      <c r="KO34" s="557"/>
      <c r="KP34" s="557"/>
      <c r="KQ34" s="557"/>
      <c r="KR34" s="557"/>
      <c r="KS34" s="557"/>
      <c r="KT34" s="557"/>
      <c r="KU34" s="557"/>
      <c r="KV34" s="557"/>
      <c r="KW34" s="557"/>
      <c r="KX34" s="557"/>
      <c r="KY34" s="557"/>
      <c r="KZ34" s="557"/>
      <c r="LA34" s="557"/>
      <c r="LB34" s="557"/>
      <c r="LC34" s="557"/>
      <c r="LD34" s="557"/>
      <c r="LE34" s="557"/>
      <c r="LF34" s="557"/>
      <c r="LG34" s="661"/>
      <c r="LH34" s="556"/>
      <c r="LI34" s="557"/>
      <c r="LJ34" s="557"/>
      <c r="LK34" s="557"/>
      <c r="LL34" s="557"/>
      <c r="LM34" s="557"/>
      <c r="LN34" s="557"/>
      <c r="LO34" s="557"/>
      <c r="LP34" s="557"/>
      <c r="LQ34" s="557"/>
      <c r="LR34" s="557"/>
      <c r="LS34" s="557"/>
      <c r="LT34" s="557"/>
      <c r="LU34" s="557"/>
      <c r="LV34" s="557"/>
      <c r="LW34" s="557"/>
      <c r="LX34" s="557"/>
      <c r="LY34" s="557"/>
      <c r="LZ34" s="557"/>
      <c r="MA34" s="661"/>
      <c r="MB34" s="556"/>
      <c r="MC34" s="557"/>
      <c r="MD34" s="557"/>
      <c r="ME34" s="557"/>
      <c r="MF34" s="557"/>
      <c r="MG34" s="557"/>
      <c r="MH34" s="557"/>
      <c r="MI34" s="557"/>
      <c r="MJ34" s="557"/>
      <c r="MK34" s="557"/>
      <c r="ML34" s="557"/>
      <c r="MM34" s="557"/>
      <c r="MN34" s="557"/>
      <c r="MO34" s="557"/>
      <c r="MP34" s="557"/>
      <c r="MQ34" s="557"/>
      <c r="MR34" s="557"/>
      <c r="MS34" s="557"/>
      <c r="MT34" s="557"/>
      <c r="MU34" s="661"/>
      <c r="MV34" s="556"/>
      <c r="MW34" s="557"/>
      <c r="MX34" s="557"/>
      <c r="MY34" s="557"/>
      <c r="MZ34" s="557"/>
      <c r="NA34" s="557"/>
      <c r="NB34" s="557"/>
      <c r="NC34" s="557"/>
      <c r="ND34" s="557"/>
      <c r="NE34" s="557"/>
      <c r="NF34" s="557"/>
      <c r="NG34" s="557"/>
      <c r="NH34" s="557"/>
      <c r="NI34" s="557"/>
      <c r="NJ34" s="557"/>
      <c r="NK34" s="557"/>
      <c r="NL34" s="557"/>
      <c r="NM34" s="557"/>
      <c r="NN34" s="557"/>
      <c r="NO34" s="661"/>
      <c r="NP34" s="556"/>
      <c r="NQ34" s="557"/>
      <c r="NR34" s="557"/>
      <c r="NS34" s="557"/>
      <c r="NT34" s="557"/>
      <c r="NU34" s="557"/>
      <c r="NV34" s="557"/>
      <c r="NW34" s="557"/>
      <c r="NX34" s="557"/>
      <c r="NY34" s="557"/>
      <c r="NZ34" s="557"/>
      <c r="OA34" s="557"/>
      <c r="OB34" s="557"/>
      <c r="OC34" s="557"/>
      <c r="OD34" s="557"/>
      <c r="OE34" s="557"/>
      <c r="OF34" s="557"/>
      <c r="OG34" s="557"/>
      <c r="OH34" s="557"/>
      <c r="OI34" s="661"/>
      <c r="OJ34" s="556"/>
      <c r="OK34" s="557"/>
      <c r="OL34" s="557"/>
      <c r="OM34" s="557"/>
      <c r="ON34" s="557"/>
      <c r="OO34" s="557"/>
      <c r="OP34" s="557"/>
      <c r="OQ34" s="557"/>
      <c r="OR34" s="557"/>
      <c r="OS34" s="557"/>
      <c r="OT34" s="557"/>
      <c r="OU34" s="557"/>
      <c r="OV34" s="557"/>
      <c r="OW34" s="557"/>
      <c r="OX34" s="557"/>
      <c r="OY34" s="557"/>
      <c r="OZ34" s="557"/>
      <c r="PA34" s="557"/>
      <c r="PB34" s="557"/>
      <c r="PC34" s="661"/>
      <c r="PD34" s="556"/>
      <c r="PE34" s="557"/>
      <c r="PF34" s="557"/>
      <c r="PG34" s="557"/>
      <c r="PH34" s="557"/>
      <c r="PI34" s="557"/>
      <c r="PJ34" s="557"/>
      <c r="PK34" s="557"/>
      <c r="PL34" s="557"/>
      <c r="PM34" s="557"/>
      <c r="PN34" s="557"/>
      <c r="PO34" s="557"/>
      <c r="PP34" s="557"/>
      <c r="PQ34" s="557"/>
      <c r="PR34" s="557"/>
      <c r="PS34" s="557"/>
      <c r="PT34" s="557"/>
      <c r="PU34" s="557"/>
      <c r="PV34" s="557"/>
      <c r="PW34" s="661"/>
      <c r="PX34" s="556"/>
      <c r="PY34" s="557"/>
      <c r="PZ34" s="557"/>
      <c r="QA34" s="557"/>
      <c r="QB34" s="557"/>
      <c r="QC34" s="557"/>
      <c r="QD34" s="557"/>
      <c r="QE34" s="557"/>
      <c r="QF34" s="557"/>
      <c r="QG34" s="557"/>
      <c r="QH34" s="557"/>
      <c r="QI34" s="557"/>
      <c r="QJ34" s="557"/>
      <c r="QK34" s="557"/>
      <c r="QL34" s="557"/>
      <c r="QM34" s="557"/>
      <c r="QN34" s="557"/>
      <c r="QO34" s="557"/>
      <c r="QP34" s="557"/>
      <c r="QQ34" s="661"/>
      <c r="QR34" s="556"/>
      <c r="QS34" s="557"/>
      <c r="QT34" s="557"/>
      <c r="QU34" s="557"/>
      <c r="QV34" s="557"/>
      <c r="QW34" s="557"/>
      <c r="QX34" s="557"/>
      <c r="QY34" s="557"/>
      <c r="QZ34" s="557"/>
      <c r="RA34" s="557"/>
      <c r="RB34" s="557"/>
      <c r="RC34" s="557"/>
      <c r="RD34" s="557"/>
      <c r="RE34" s="557"/>
      <c r="RF34" s="557"/>
      <c r="RG34" s="557"/>
      <c r="RH34" s="557"/>
      <c r="RI34" s="557"/>
      <c r="RJ34" s="557"/>
      <c r="RK34" s="661"/>
      <c r="RL34" s="556"/>
      <c r="RM34" s="557"/>
      <c r="RN34" s="557"/>
      <c r="RO34" s="557"/>
      <c r="RP34" s="557"/>
      <c r="RQ34" s="557"/>
      <c r="RR34" s="557"/>
      <c r="RS34" s="557"/>
      <c r="RT34" s="557"/>
      <c r="RU34" s="557"/>
      <c r="RV34" s="557"/>
      <c r="RW34" s="557"/>
      <c r="RX34" s="557"/>
      <c r="RY34" s="557"/>
      <c r="RZ34" s="557"/>
      <c r="SA34" s="557"/>
      <c r="SB34" s="557"/>
      <c r="SC34" s="557"/>
      <c r="SD34" s="557"/>
      <c r="SE34" s="661"/>
      <c r="SF34" s="556"/>
      <c r="SG34" s="557"/>
      <c r="SH34" s="557"/>
      <c r="SI34" s="557"/>
      <c r="SJ34" s="557"/>
      <c r="SK34" s="557"/>
      <c r="SL34" s="557"/>
      <c r="SM34" s="557"/>
      <c r="SN34" s="557"/>
      <c r="SO34" s="557"/>
      <c r="SP34" s="557"/>
      <c r="SQ34" s="557"/>
      <c r="SR34" s="557"/>
      <c r="SS34" s="557"/>
      <c r="ST34" s="557"/>
      <c r="SU34" s="557"/>
      <c r="SV34" s="557"/>
      <c r="SW34" s="557"/>
      <c r="SX34" s="557"/>
      <c r="SY34" s="661"/>
      <c r="SZ34" s="556"/>
      <c r="TA34" s="557"/>
      <c r="TB34" s="557"/>
      <c r="TC34" s="557"/>
      <c r="TD34" s="557"/>
      <c r="TE34" s="557"/>
      <c r="TF34" s="557"/>
      <c r="TG34" s="557"/>
      <c r="TH34" s="557"/>
      <c r="TI34" s="557"/>
      <c r="TJ34" s="557"/>
      <c r="TK34" s="557"/>
      <c r="TL34" s="557"/>
      <c r="TM34" s="557"/>
      <c r="TN34" s="557"/>
      <c r="TO34" s="557"/>
      <c r="TP34" s="557"/>
      <c r="TQ34" s="557"/>
      <c r="TR34" s="557"/>
      <c r="TS34" s="661"/>
      <c r="TT34" s="556"/>
      <c r="TU34" s="557"/>
      <c r="TV34" s="557"/>
      <c r="TW34" s="557"/>
      <c r="TX34" s="557"/>
      <c r="TY34" s="557"/>
      <c r="TZ34" s="557"/>
      <c r="UA34" s="557"/>
      <c r="UB34" s="557"/>
      <c r="UC34" s="557"/>
      <c r="UD34" s="557"/>
      <c r="UE34" s="557"/>
      <c r="UF34" s="557"/>
      <c r="UG34" s="557"/>
      <c r="UH34" s="557"/>
      <c r="UI34" s="557"/>
      <c r="UJ34" s="557"/>
      <c r="UK34" s="557"/>
      <c r="UL34" s="557"/>
      <c r="UM34" s="661"/>
      <c r="UN34" s="556"/>
      <c r="UO34" s="557"/>
      <c r="UP34" s="557"/>
      <c r="UQ34" s="557"/>
      <c r="UR34" s="557"/>
      <c r="US34" s="557"/>
      <c r="UT34" s="557"/>
      <c r="UU34" s="557"/>
      <c r="UV34" s="557"/>
      <c r="UW34" s="557"/>
      <c r="UX34" s="557"/>
      <c r="UY34" s="557"/>
      <c r="UZ34" s="557"/>
      <c r="VA34" s="557"/>
      <c r="VB34" s="557"/>
      <c r="VC34" s="557"/>
      <c r="VD34" s="557"/>
      <c r="VE34" s="557"/>
      <c r="VF34" s="557"/>
      <c r="VG34" s="661"/>
      <c r="VH34" s="556"/>
      <c r="VI34" s="557"/>
      <c r="VJ34" s="557"/>
      <c r="VK34" s="557"/>
      <c r="VL34" s="557"/>
      <c r="VM34" s="557"/>
      <c r="VN34" s="557"/>
      <c r="VO34" s="557"/>
      <c r="VP34" s="557"/>
      <c r="VQ34" s="557"/>
      <c r="VR34" s="557"/>
      <c r="VS34" s="557"/>
      <c r="VT34" s="557"/>
      <c r="VU34" s="557"/>
      <c r="VV34" s="557"/>
      <c r="VW34" s="557"/>
      <c r="VX34" s="557"/>
      <c r="VY34" s="557"/>
      <c r="VZ34" s="557"/>
      <c r="WA34" s="661"/>
      <c r="WB34" s="556"/>
      <c r="WC34" s="557"/>
      <c r="WD34" s="557"/>
      <c r="WE34" s="557"/>
      <c r="WF34" s="557"/>
      <c r="WG34" s="557"/>
      <c r="WH34" s="557"/>
      <c r="WI34" s="557"/>
      <c r="WJ34" s="557"/>
      <c r="WK34" s="557"/>
      <c r="WL34" s="557"/>
      <c r="WM34" s="557"/>
      <c r="WN34" s="557"/>
      <c r="WO34" s="557"/>
      <c r="WP34" s="557"/>
      <c r="WQ34" s="557"/>
      <c r="WR34" s="557"/>
      <c r="WS34" s="557"/>
      <c r="WT34" s="557"/>
      <c r="WU34" s="661"/>
      <c r="WV34" s="556"/>
      <c r="WW34" s="557"/>
      <c r="WX34" s="557"/>
      <c r="WY34" s="557"/>
      <c r="WZ34" s="557"/>
      <c r="XA34" s="557"/>
      <c r="XB34" s="557"/>
      <c r="XC34" s="557"/>
      <c r="XD34" s="557"/>
      <c r="XE34" s="557"/>
      <c r="XF34" s="557"/>
      <c r="XG34" s="557"/>
      <c r="XH34" s="557"/>
      <c r="XI34" s="557"/>
      <c r="XJ34" s="557"/>
      <c r="XK34" s="557"/>
      <c r="XL34" s="557"/>
      <c r="XM34" s="557"/>
      <c r="XN34" s="557"/>
      <c r="XO34" s="661"/>
      <c r="XP34" s="556"/>
      <c r="XQ34" s="557"/>
      <c r="XR34" s="557"/>
      <c r="XS34" s="557"/>
      <c r="XT34" s="557"/>
      <c r="XU34" s="557"/>
      <c r="XV34" s="557"/>
      <c r="XW34" s="557"/>
      <c r="XX34" s="557"/>
      <c r="XY34" s="557"/>
      <c r="XZ34" s="557"/>
      <c r="YA34" s="557"/>
      <c r="YB34" s="557"/>
      <c r="YC34" s="557"/>
      <c r="YD34" s="557"/>
      <c r="YE34" s="557"/>
      <c r="YF34" s="557"/>
      <c r="YG34" s="557"/>
      <c r="YH34" s="557"/>
      <c r="YI34" s="661"/>
      <c r="YJ34" s="556"/>
      <c r="YK34" s="557"/>
      <c r="YL34" s="557"/>
      <c r="YM34" s="557"/>
      <c r="YN34" s="557"/>
      <c r="YO34" s="557"/>
      <c r="YP34" s="557"/>
      <c r="YQ34" s="557"/>
      <c r="YR34" s="557"/>
      <c r="YS34" s="557"/>
      <c r="YT34" s="557"/>
      <c r="YU34" s="557"/>
      <c r="YV34" s="557"/>
      <c r="YW34" s="557"/>
      <c r="YX34" s="557"/>
      <c r="YY34" s="557"/>
      <c r="YZ34" s="557"/>
      <c r="ZA34" s="557"/>
      <c r="ZB34" s="557"/>
      <c r="ZC34" s="661"/>
      <c r="ZD34" s="556"/>
      <c r="ZE34" s="557"/>
      <c r="ZF34" s="557"/>
      <c r="ZG34" s="557"/>
      <c r="ZH34" s="557"/>
      <c r="ZI34" s="557"/>
      <c r="ZJ34" s="557"/>
      <c r="ZK34" s="557"/>
      <c r="ZL34" s="557"/>
      <c r="ZM34" s="557"/>
      <c r="ZN34" s="557"/>
      <c r="ZO34" s="557"/>
      <c r="ZP34" s="557"/>
      <c r="ZQ34" s="557"/>
      <c r="ZR34" s="557"/>
      <c r="ZS34" s="557"/>
      <c r="ZT34" s="557"/>
      <c r="ZU34" s="557"/>
      <c r="ZV34" s="557"/>
      <c r="ZW34" s="661"/>
      <c r="ZX34" s="556"/>
      <c r="ZY34" s="557"/>
      <c r="ZZ34" s="557"/>
      <c r="AAA34" s="557"/>
      <c r="AAB34" s="557"/>
      <c r="AAC34" s="557"/>
      <c r="AAD34" s="557"/>
      <c r="AAE34" s="557"/>
      <c r="AAF34" s="557"/>
      <c r="AAG34" s="557"/>
      <c r="AAH34" s="557"/>
      <c r="AAI34" s="557"/>
      <c r="AAJ34" s="557"/>
      <c r="AAK34" s="557"/>
      <c r="AAL34" s="557"/>
      <c r="AAM34" s="557"/>
      <c r="AAN34" s="557"/>
      <c r="AAO34" s="557"/>
      <c r="AAP34" s="557"/>
      <c r="AAQ34" s="661"/>
      <c r="AAR34" s="556"/>
      <c r="AAS34" s="557"/>
      <c r="AAT34" s="557"/>
      <c r="AAU34" s="557"/>
      <c r="AAV34" s="557"/>
      <c r="AAW34" s="557"/>
      <c r="AAX34" s="557"/>
      <c r="AAY34" s="557"/>
      <c r="AAZ34" s="557"/>
      <c r="ABA34" s="557"/>
      <c r="ABB34" s="557"/>
      <c r="ABC34" s="557"/>
      <c r="ABD34" s="557"/>
      <c r="ABE34" s="557"/>
      <c r="ABF34" s="557"/>
      <c r="ABG34" s="557"/>
      <c r="ABH34" s="557"/>
      <c r="ABI34" s="557"/>
      <c r="ABJ34" s="557"/>
      <c r="ABK34" s="661"/>
      <c r="ABL34" s="556"/>
      <c r="ABM34" s="557"/>
      <c r="ABN34" s="557"/>
      <c r="ABO34" s="557"/>
      <c r="ABP34" s="557"/>
      <c r="ABQ34" s="557"/>
      <c r="ABR34" s="557"/>
      <c r="ABS34" s="557"/>
      <c r="ABT34" s="557"/>
      <c r="ABU34" s="557"/>
      <c r="ABV34" s="557"/>
      <c r="ABW34" s="557"/>
      <c r="ABX34" s="557"/>
      <c r="ABY34" s="557"/>
      <c r="ABZ34" s="557"/>
      <c r="ACA34" s="557"/>
      <c r="ACB34" s="557"/>
      <c r="ACC34" s="557"/>
      <c r="ACD34" s="557"/>
      <c r="ACE34" s="661"/>
      <c r="ACF34" s="556"/>
      <c r="ACG34" s="557"/>
      <c r="ACH34" s="557"/>
      <c r="ACI34" s="557"/>
      <c r="ACJ34" s="557"/>
      <c r="ACK34" s="557"/>
      <c r="ACL34" s="557"/>
      <c r="ACM34" s="557"/>
      <c r="ACN34" s="557"/>
      <c r="ACO34" s="557"/>
      <c r="ACP34" s="557"/>
      <c r="ACQ34" s="557"/>
      <c r="ACR34" s="557"/>
      <c r="ACS34" s="557"/>
      <c r="ACT34" s="557"/>
      <c r="ACU34" s="557"/>
      <c r="ACV34" s="557"/>
      <c r="ACW34" s="557"/>
      <c r="ACX34" s="557"/>
      <c r="ACY34" s="661"/>
      <c r="ACZ34" s="556"/>
      <c r="ADA34" s="557"/>
      <c r="ADB34" s="557"/>
      <c r="ADC34" s="557"/>
      <c r="ADD34" s="557"/>
      <c r="ADE34" s="557"/>
      <c r="ADF34" s="557"/>
      <c r="ADG34" s="557"/>
      <c r="ADH34" s="557"/>
      <c r="ADI34" s="557"/>
      <c r="ADJ34" s="557"/>
      <c r="ADK34" s="557"/>
      <c r="ADL34" s="557"/>
      <c r="ADM34" s="557"/>
      <c r="ADN34" s="557"/>
      <c r="ADO34" s="557"/>
      <c r="ADP34" s="557"/>
      <c r="ADQ34" s="557"/>
      <c r="ADR34" s="557"/>
      <c r="ADS34" s="661"/>
      <c r="ADT34" s="556"/>
      <c r="ADU34" s="557"/>
      <c r="ADV34" s="557"/>
      <c r="ADW34" s="557"/>
      <c r="ADX34" s="557"/>
      <c r="ADY34" s="557"/>
      <c r="ADZ34" s="557"/>
      <c r="AEA34" s="557"/>
      <c r="AEB34" s="557"/>
      <c r="AEC34" s="557"/>
      <c r="AED34" s="557"/>
      <c r="AEE34" s="557"/>
      <c r="AEF34" s="557"/>
      <c r="AEG34" s="557"/>
      <c r="AEH34" s="557"/>
      <c r="AEI34" s="557"/>
      <c r="AEJ34" s="557"/>
      <c r="AEK34" s="557"/>
      <c r="AEL34" s="557"/>
      <c r="AEM34" s="661"/>
      <c r="AEN34" s="556"/>
      <c r="AEO34" s="557"/>
      <c r="AEP34" s="557"/>
      <c r="AEQ34" s="557"/>
      <c r="AER34" s="557"/>
      <c r="AES34" s="557"/>
      <c r="AET34" s="557"/>
      <c r="AEU34" s="557"/>
      <c r="AEV34" s="557"/>
      <c r="AEW34" s="557"/>
      <c r="AEX34" s="557"/>
      <c r="AEY34" s="557"/>
      <c r="AEZ34" s="557"/>
      <c r="AFA34" s="557"/>
      <c r="AFB34" s="557"/>
      <c r="AFC34" s="557"/>
      <c r="AFD34" s="557"/>
      <c r="AFE34" s="557"/>
      <c r="AFF34" s="557"/>
      <c r="AFG34" s="661"/>
      <c r="AFH34" s="556"/>
      <c r="AFI34" s="557"/>
      <c r="AFJ34" s="557"/>
      <c r="AFK34" s="557"/>
      <c r="AFL34" s="557"/>
      <c r="AFM34" s="557"/>
      <c r="AFN34" s="557"/>
      <c r="AFO34" s="557"/>
      <c r="AFP34" s="557"/>
      <c r="AFQ34" s="557"/>
      <c r="AFR34" s="557"/>
      <c r="AFS34" s="557"/>
      <c r="AFT34" s="557"/>
      <c r="AFU34" s="557"/>
      <c r="AFV34" s="557"/>
      <c r="AFW34" s="557"/>
      <c r="AFX34" s="557"/>
      <c r="AFY34" s="557"/>
      <c r="AFZ34" s="557"/>
      <c r="AGA34" s="661"/>
      <c r="AGB34" s="556"/>
      <c r="AGC34" s="557"/>
      <c r="AGD34" s="557"/>
      <c r="AGE34" s="557"/>
      <c r="AGF34" s="557"/>
      <c r="AGG34" s="557"/>
      <c r="AGH34" s="557"/>
      <c r="AGI34" s="557"/>
      <c r="AGJ34" s="557"/>
      <c r="AGK34" s="557"/>
      <c r="AGL34" s="557"/>
      <c r="AGM34" s="557"/>
      <c r="AGN34" s="557"/>
      <c r="AGO34" s="557"/>
      <c r="AGP34" s="557"/>
      <c r="AGQ34" s="557"/>
      <c r="AGR34" s="557"/>
      <c r="AGS34" s="557"/>
      <c r="AGT34" s="557"/>
      <c r="AGU34" s="661"/>
      <c r="AGV34" s="556"/>
      <c r="AGW34" s="557"/>
      <c r="AGX34" s="557"/>
      <c r="AGY34" s="557"/>
      <c r="AGZ34" s="557"/>
      <c r="AHA34" s="557"/>
      <c r="AHB34" s="557"/>
      <c r="AHC34" s="557"/>
      <c r="AHD34" s="557"/>
      <c r="AHE34" s="557"/>
      <c r="AHF34" s="557"/>
      <c r="AHG34" s="557"/>
      <c r="AHH34" s="557"/>
      <c r="AHI34" s="557"/>
      <c r="AHJ34" s="557"/>
      <c r="AHK34" s="557"/>
      <c r="AHL34" s="557"/>
      <c r="AHM34" s="557"/>
      <c r="AHN34" s="557"/>
      <c r="AHO34" s="661"/>
      <c r="AHP34" s="556"/>
      <c r="AHQ34" s="557"/>
      <c r="AHR34" s="557"/>
      <c r="AHS34" s="557"/>
      <c r="AHT34" s="557"/>
      <c r="AHU34" s="557"/>
      <c r="AHV34" s="557"/>
      <c r="AHW34" s="557"/>
      <c r="AHX34" s="557"/>
      <c r="AHY34" s="557"/>
      <c r="AHZ34" s="557"/>
      <c r="AIA34" s="557"/>
      <c r="AIB34" s="557"/>
      <c r="AIC34" s="557"/>
      <c r="AID34" s="557"/>
      <c r="AIE34" s="557"/>
      <c r="AIF34" s="557"/>
      <c r="AIG34" s="557"/>
      <c r="AIH34" s="557"/>
      <c r="AII34" s="661"/>
      <c r="AIJ34" s="556"/>
      <c r="AIK34" s="557"/>
      <c r="AIL34" s="557"/>
      <c r="AIM34" s="557"/>
      <c r="AIN34" s="557"/>
      <c r="AIO34" s="557"/>
      <c r="AIP34" s="557"/>
      <c r="AIQ34" s="557"/>
      <c r="AIR34" s="557"/>
      <c r="AIS34" s="557"/>
      <c r="AIT34" s="557"/>
      <c r="AIU34" s="557"/>
      <c r="AIV34" s="557"/>
      <c r="AIW34" s="557"/>
      <c r="AIX34" s="557"/>
      <c r="AIY34" s="557"/>
      <c r="AIZ34" s="557"/>
      <c r="AJA34" s="557"/>
      <c r="AJB34" s="557"/>
      <c r="AJC34" s="661"/>
      <c r="AJD34" s="556"/>
      <c r="AJE34" s="557"/>
      <c r="AJF34" s="557"/>
      <c r="AJG34" s="557"/>
      <c r="AJH34" s="557"/>
      <c r="AJI34" s="557"/>
      <c r="AJJ34" s="557"/>
      <c r="AJK34" s="557"/>
      <c r="AJL34" s="557"/>
      <c r="AJM34" s="557"/>
      <c r="AJN34" s="557"/>
      <c r="AJO34" s="557"/>
      <c r="AJP34" s="557"/>
      <c r="AJQ34" s="557"/>
      <c r="AJR34" s="557"/>
      <c r="AJS34" s="557"/>
      <c r="AJT34" s="557"/>
      <c r="AJU34" s="557"/>
      <c r="AJV34" s="557"/>
      <c r="AJW34" s="661"/>
      <c r="AJX34" s="556"/>
      <c r="AJY34" s="557"/>
      <c r="AJZ34" s="557"/>
      <c r="AKA34" s="557"/>
      <c r="AKB34" s="557"/>
      <c r="AKC34" s="557"/>
      <c r="AKD34" s="557"/>
      <c r="AKE34" s="557"/>
      <c r="AKF34" s="557"/>
      <c r="AKG34" s="557"/>
      <c r="AKH34" s="557"/>
      <c r="AKI34" s="557"/>
      <c r="AKJ34" s="557"/>
      <c r="AKK34" s="557"/>
      <c r="AKL34" s="557"/>
      <c r="AKM34" s="557"/>
      <c r="AKN34" s="557"/>
      <c r="AKO34" s="557"/>
      <c r="AKP34" s="557"/>
      <c r="AKQ34" s="661"/>
      <c r="AKR34" s="556"/>
      <c r="AKS34" s="557"/>
      <c r="AKT34" s="557"/>
      <c r="AKU34" s="557"/>
      <c r="AKV34" s="557"/>
      <c r="AKW34" s="557"/>
      <c r="AKX34" s="557"/>
      <c r="AKY34" s="557"/>
      <c r="AKZ34" s="557"/>
      <c r="ALA34" s="557"/>
      <c r="ALB34" s="557"/>
      <c r="ALC34" s="557"/>
      <c r="ALD34" s="557"/>
      <c r="ALE34" s="557"/>
      <c r="ALF34" s="557"/>
      <c r="ALG34" s="557"/>
      <c r="ALH34" s="557"/>
      <c r="ALI34" s="557"/>
      <c r="ALJ34" s="557"/>
      <c r="ALK34" s="661"/>
      <c r="ALL34" s="556"/>
      <c r="ALM34" s="557"/>
      <c r="ALN34" s="557"/>
      <c r="ALO34" s="557"/>
      <c r="ALP34" s="557"/>
      <c r="ALQ34" s="557"/>
      <c r="ALR34" s="557"/>
      <c r="ALS34" s="557"/>
      <c r="ALT34" s="557"/>
      <c r="ALU34" s="557"/>
      <c r="ALV34" s="557"/>
      <c r="ALW34" s="557"/>
      <c r="ALX34" s="557"/>
      <c r="ALY34" s="557"/>
      <c r="ALZ34" s="557"/>
      <c r="AMA34" s="557"/>
      <c r="AMB34" s="557"/>
      <c r="AMC34" s="557"/>
      <c r="AMD34" s="557"/>
      <c r="AME34" s="661"/>
      <c r="AMF34" s="556"/>
      <c r="AMG34" s="557"/>
      <c r="AMH34" s="557"/>
      <c r="AMI34" s="557"/>
      <c r="AMJ34" s="557"/>
      <c r="AMK34" s="557"/>
      <c r="AML34" s="557"/>
      <c r="AMM34" s="557"/>
      <c r="AMN34" s="557"/>
      <c r="AMO34" s="557"/>
      <c r="AMP34" s="557"/>
      <c r="AMQ34" s="557"/>
      <c r="AMR34" s="557"/>
      <c r="AMS34" s="557"/>
      <c r="AMT34" s="557"/>
      <c r="AMU34" s="557"/>
      <c r="AMV34" s="557"/>
      <c r="AMW34" s="557"/>
      <c r="AMX34" s="557"/>
      <c r="AMY34" s="661"/>
      <c r="AMZ34" s="556"/>
      <c r="ANA34" s="557"/>
      <c r="ANB34" s="557"/>
      <c r="ANC34" s="557"/>
      <c r="AND34" s="557"/>
      <c r="ANE34" s="557"/>
      <c r="ANF34" s="557"/>
      <c r="ANG34" s="557"/>
      <c r="ANH34" s="557"/>
      <c r="ANI34" s="557"/>
      <c r="ANJ34" s="557"/>
      <c r="ANK34" s="557"/>
      <c r="ANL34" s="557"/>
      <c r="ANM34" s="557"/>
      <c r="ANN34" s="557"/>
      <c r="ANO34" s="557"/>
      <c r="ANP34" s="557"/>
      <c r="ANQ34" s="557"/>
      <c r="ANR34" s="557"/>
      <c r="ANS34" s="661"/>
      <c r="ANT34" s="556"/>
      <c r="ANU34" s="557"/>
      <c r="ANV34" s="557"/>
      <c r="ANW34" s="557"/>
      <c r="ANX34" s="557"/>
      <c r="ANY34" s="557"/>
      <c r="ANZ34" s="557"/>
      <c r="AOA34" s="557"/>
      <c r="AOB34" s="557"/>
      <c r="AOC34" s="557"/>
      <c r="AOD34" s="557"/>
      <c r="AOE34" s="557"/>
      <c r="AOF34" s="557"/>
      <c r="AOG34" s="557"/>
      <c r="AOH34" s="557"/>
      <c r="AOI34" s="557"/>
      <c r="AOJ34" s="557"/>
      <c r="AOK34" s="557"/>
      <c r="AOL34" s="557"/>
      <c r="AOM34" s="661"/>
      <c r="AON34" s="556"/>
      <c r="AOO34" s="557"/>
      <c r="AOP34" s="557"/>
      <c r="AOQ34" s="557"/>
      <c r="AOR34" s="557"/>
      <c r="AOS34" s="557"/>
      <c r="AOT34" s="557"/>
      <c r="AOU34" s="557"/>
      <c r="AOV34" s="557"/>
      <c r="AOW34" s="557"/>
      <c r="AOX34" s="557"/>
      <c r="AOY34" s="557"/>
      <c r="AOZ34" s="557"/>
      <c r="APA34" s="557"/>
      <c r="APB34" s="557"/>
      <c r="APC34" s="557"/>
      <c r="APD34" s="557"/>
      <c r="APE34" s="557"/>
      <c r="APF34" s="557"/>
      <c r="APG34" s="661"/>
      <c r="APH34" s="556"/>
      <c r="API34" s="557"/>
      <c r="APJ34" s="557"/>
      <c r="APK34" s="557"/>
      <c r="APL34" s="557"/>
      <c r="APM34" s="557"/>
      <c r="APN34" s="557"/>
      <c r="APO34" s="557"/>
      <c r="APP34" s="557"/>
      <c r="APQ34" s="557"/>
      <c r="APR34" s="557"/>
      <c r="APS34" s="557"/>
      <c r="APT34" s="557"/>
      <c r="APU34" s="557"/>
      <c r="APV34" s="557"/>
      <c r="APW34" s="557"/>
      <c r="APX34" s="557"/>
      <c r="APY34" s="557"/>
      <c r="APZ34" s="557"/>
      <c r="AQA34" s="661"/>
      <c r="AQB34" s="556"/>
      <c r="AQC34" s="557"/>
      <c r="AQD34" s="557"/>
      <c r="AQE34" s="557"/>
      <c r="AQF34" s="557"/>
      <c r="AQG34" s="557"/>
      <c r="AQH34" s="557"/>
      <c r="AQI34" s="557"/>
      <c r="AQJ34" s="557"/>
      <c r="AQK34" s="557"/>
      <c r="AQL34" s="557"/>
      <c r="AQM34" s="557"/>
      <c r="AQN34" s="557"/>
      <c r="AQO34" s="557"/>
      <c r="AQP34" s="557"/>
      <c r="AQQ34" s="557"/>
      <c r="AQR34" s="557"/>
      <c r="AQS34" s="557"/>
      <c r="AQT34" s="557"/>
      <c r="AQU34" s="661"/>
      <c r="AQV34" s="556"/>
      <c r="AQW34" s="557"/>
      <c r="AQX34" s="557"/>
      <c r="AQY34" s="557"/>
      <c r="AQZ34" s="557"/>
      <c r="ARA34" s="557"/>
      <c r="ARB34" s="557"/>
      <c r="ARC34" s="557"/>
      <c r="ARD34" s="557"/>
      <c r="ARE34" s="557"/>
      <c r="ARF34" s="557"/>
      <c r="ARG34" s="557"/>
      <c r="ARH34" s="557"/>
      <c r="ARI34" s="557"/>
      <c r="ARJ34" s="557"/>
      <c r="ARK34" s="557"/>
      <c r="ARL34" s="557"/>
      <c r="ARM34" s="557"/>
      <c r="ARN34" s="557"/>
      <c r="ARO34" s="661"/>
      <c r="ARP34" s="556"/>
      <c r="ARQ34" s="557"/>
      <c r="ARR34" s="557"/>
      <c r="ARS34" s="557"/>
      <c r="ART34" s="557"/>
      <c r="ARU34" s="557"/>
      <c r="ARV34" s="557"/>
      <c r="ARW34" s="557"/>
      <c r="ARX34" s="557"/>
      <c r="ARY34" s="557"/>
      <c r="ARZ34" s="557"/>
      <c r="ASA34" s="557"/>
      <c r="ASB34" s="557"/>
      <c r="ASC34" s="557"/>
      <c r="ASD34" s="557"/>
      <c r="ASE34" s="557"/>
      <c r="ASF34" s="557"/>
      <c r="ASG34" s="557"/>
      <c r="ASH34" s="557"/>
      <c r="ASI34" s="661"/>
      <c r="ASJ34" s="556"/>
      <c r="ASK34" s="557"/>
      <c r="ASL34" s="557"/>
      <c r="ASM34" s="557"/>
      <c r="ASN34" s="557"/>
      <c r="ASO34" s="557"/>
      <c r="ASP34" s="557"/>
      <c r="ASQ34" s="557"/>
      <c r="ASR34" s="557"/>
      <c r="ASS34" s="557"/>
      <c r="AST34" s="557"/>
      <c r="ASU34" s="557"/>
      <c r="ASV34" s="557"/>
      <c r="ASW34" s="557"/>
      <c r="ASX34" s="557"/>
      <c r="ASY34" s="557"/>
      <c r="ASZ34" s="557"/>
      <c r="ATA34" s="557"/>
      <c r="ATB34" s="557"/>
      <c r="ATC34" s="661"/>
      <c r="ATD34" s="556"/>
      <c r="ATE34" s="557"/>
      <c r="ATF34" s="557"/>
      <c r="ATG34" s="557"/>
      <c r="ATH34" s="557"/>
      <c r="ATI34" s="557"/>
      <c r="ATJ34" s="557"/>
      <c r="ATK34" s="557"/>
      <c r="ATL34" s="557"/>
      <c r="ATM34" s="557"/>
      <c r="ATN34" s="557"/>
      <c r="ATO34" s="557"/>
      <c r="ATP34" s="557"/>
      <c r="ATQ34" s="557"/>
      <c r="ATR34" s="557"/>
      <c r="ATS34" s="557"/>
      <c r="ATT34" s="557"/>
      <c r="ATU34" s="557"/>
      <c r="ATV34" s="557"/>
      <c r="ATW34" s="661"/>
      <c r="ATX34" s="556"/>
      <c r="ATY34" s="557"/>
      <c r="ATZ34" s="557"/>
      <c r="AUA34" s="557"/>
      <c r="AUB34" s="557"/>
      <c r="AUC34" s="557"/>
      <c r="AUD34" s="557"/>
      <c r="AUE34" s="557"/>
      <c r="AUF34" s="557"/>
      <c r="AUG34" s="557"/>
      <c r="AUH34" s="557"/>
      <c r="AUI34" s="557"/>
      <c r="AUJ34" s="557"/>
      <c r="AUK34" s="557"/>
      <c r="AUL34" s="557"/>
      <c r="AUM34" s="557"/>
      <c r="AUN34" s="557"/>
      <c r="AUO34" s="557"/>
      <c r="AUP34" s="557"/>
      <c r="AUQ34" s="661"/>
      <c r="AUR34" s="556"/>
      <c r="AUS34" s="557"/>
      <c r="AUT34" s="557"/>
      <c r="AUU34" s="557"/>
      <c r="AUV34" s="557"/>
      <c r="AUW34" s="557"/>
      <c r="AUX34" s="557"/>
      <c r="AUY34" s="557"/>
      <c r="AUZ34" s="557"/>
      <c r="AVA34" s="557"/>
      <c r="AVB34" s="557"/>
      <c r="AVC34" s="557"/>
      <c r="AVD34" s="557"/>
      <c r="AVE34" s="557"/>
      <c r="AVF34" s="557"/>
      <c r="AVG34" s="557"/>
      <c r="AVH34" s="557"/>
      <c r="AVI34" s="557"/>
      <c r="AVJ34" s="557"/>
      <c r="AVK34" s="661"/>
      <c r="AVL34" s="556"/>
      <c r="AVM34" s="557"/>
      <c r="AVN34" s="557"/>
      <c r="AVO34" s="557"/>
      <c r="AVP34" s="557"/>
      <c r="AVQ34" s="557"/>
      <c r="AVR34" s="557"/>
      <c r="AVS34" s="557"/>
      <c r="AVT34" s="557"/>
      <c r="AVU34" s="557"/>
      <c r="AVV34" s="557"/>
      <c r="AVW34" s="557"/>
      <c r="AVX34" s="557"/>
      <c r="AVY34" s="557"/>
      <c r="AVZ34" s="557"/>
      <c r="AWA34" s="557"/>
      <c r="AWB34" s="557"/>
      <c r="AWC34" s="557"/>
      <c r="AWD34" s="557"/>
      <c r="AWE34" s="661"/>
      <c r="AWF34" s="556"/>
      <c r="AWG34" s="557"/>
      <c r="AWH34" s="557"/>
      <c r="AWI34" s="557"/>
      <c r="AWJ34" s="557"/>
      <c r="AWK34" s="557"/>
      <c r="AWL34" s="557"/>
      <c r="AWM34" s="557"/>
      <c r="AWN34" s="557"/>
      <c r="AWO34" s="557"/>
      <c r="AWP34" s="557"/>
      <c r="AWQ34" s="557"/>
      <c r="AWR34" s="557"/>
      <c r="AWS34" s="557"/>
      <c r="AWT34" s="557"/>
      <c r="AWU34" s="557"/>
      <c r="AWV34" s="557"/>
      <c r="AWW34" s="557"/>
      <c r="AWX34" s="557"/>
      <c r="AWY34" s="661"/>
      <c r="AWZ34" s="556"/>
      <c r="AXA34" s="557"/>
      <c r="AXB34" s="557"/>
      <c r="AXC34" s="557"/>
      <c r="AXD34" s="557"/>
      <c r="AXE34" s="557"/>
      <c r="AXF34" s="557"/>
      <c r="AXG34" s="557"/>
      <c r="AXH34" s="557"/>
      <c r="AXI34" s="557"/>
      <c r="AXJ34" s="557"/>
      <c r="AXK34" s="557"/>
      <c r="AXL34" s="557"/>
      <c r="AXM34" s="557"/>
      <c r="AXN34" s="557"/>
      <c r="AXO34" s="557"/>
      <c r="AXP34" s="557"/>
      <c r="AXQ34" s="557"/>
      <c r="AXR34" s="557"/>
      <c r="AXS34" s="661"/>
      <c r="AXT34" s="556"/>
      <c r="AXU34" s="557"/>
      <c r="AXV34" s="557"/>
      <c r="AXW34" s="557"/>
      <c r="AXX34" s="557"/>
      <c r="AXY34" s="557"/>
      <c r="AXZ34" s="557"/>
      <c r="AYA34" s="557"/>
      <c r="AYB34" s="557"/>
      <c r="AYC34" s="557"/>
      <c r="AYD34" s="557"/>
      <c r="AYE34" s="557"/>
      <c r="AYF34" s="557"/>
      <c r="AYG34" s="557"/>
      <c r="AYH34" s="557"/>
      <c r="AYI34" s="557"/>
      <c r="AYJ34" s="557"/>
      <c r="AYK34" s="557"/>
      <c r="AYL34" s="557"/>
      <c r="AYM34" s="661"/>
      <c r="AYN34" s="556"/>
      <c r="AYO34" s="557"/>
      <c r="AYP34" s="557"/>
      <c r="AYQ34" s="557"/>
      <c r="AYR34" s="557"/>
      <c r="AYS34" s="557"/>
      <c r="AYT34" s="557"/>
      <c r="AYU34" s="557"/>
      <c r="AYV34" s="557"/>
      <c r="AYW34" s="557"/>
      <c r="AYX34" s="557"/>
      <c r="AYY34" s="557"/>
      <c r="AYZ34" s="557"/>
      <c r="AZA34" s="557"/>
      <c r="AZB34" s="557"/>
      <c r="AZC34" s="557"/>
      <c r="AZD34" s="557"/>
      <c r="AZE34" s="557"/>
      <c r="AZF34" s="557"/>
      <c r="AZG34" s="661"/>
      <c r="AZH34" s="556"/>
      <c r="AZI34" s="557"/>
      <c r="AZJ34" s="557"/>
      <c r="AZK34" s="557"/>
      <c r="AZL34" s="557"/>
      <c r="AZM34" s="557"/>
      <c r="AZN34" s="557"/>
      <c r="AZO34" s="557"/>
      <c r="AZP34" s="557"/>
      <c r="AZQ34" s="557"/>
      <c r="AZR34" s="557"/>
      <c r="AZS34" s="557"/>
      <c r="AZT34" s="557"/>
      <c r="AZU34" s="557"/>
      <c r="AZV34" s="557"/>
      <c r="AZW34" s="557"/>
      <c r="AZX34" s="557"/>
      <c r="AZY34" s="557"/>
      <c r="AZZ34" s="557"/>
      <c r="BAA34" s="661"/>
      <c r="BAB34" s="556"/>
      <c r="BAC34" s="557"/>
      <c r="BAD34" s="557"/>
      <c r="BAE34" s="557"/>
      <c r="BAF34" s="557"/>
      <c r="BAG34" s="557"/>
      <c r="BAH34" s="557"/>
      <c r="BAI34" s="557"/>
      <c r="BAJ34" s="557"/>
      <c r="BAK34" s="557"/>
      <c r="BAL34" s="557"/>
      <c r="BAM34" s="557"/>
      <c r="BAN34" s="557"/>
      <c r="BAO34" s="557"/>
      <c r="BAP34" s="557"/>
      <c r="BAQ34" s="557"/>
      <c r="BAR34" s="557"/>
      <c r="BAS34" s="557"/>
      <c r="BAT34" s="557"/>
      <c r="BAU34" s="661"/>
      <c r="BAV34" s="556"/>
      <c r="BAW34" s="557"/>
      <c r="BAX34" s="557"/>
      <c r="BAY34" s="557"/>
      <c r="BAZ34" s="557"/>
      <c r="BBA34" s="557"/>
      <c r="BBB34" s="557"/>
      <c r="BBC34" s="557"/>
      <c r="BBD34" s="557"/>
      <c r="BBE34" s="557"/>
      <c r="BBF34" s="557"/>
      <c r="BBG34" s="557"/>
      <c r="BBH34" s="557"/>
      <c r="BBI34" s="557"/>
      <c r="BBJ34" s="557"/>
      <c r="BBK34" s="557"/>
      <c r="BBL34" s="557"/>
      <c r="BBM34" s="557"/>
      <c r="BBN34" s="557"/>
      <c r="BBO34" s="661"/>
      <c r="BBP34" s="556"/>
      <c r="BBQ34" s="557"/>
      <c r="BBR34" s="557"/>
      <c r="BBS34" s="557"/>
      <c r="BBT34" s="557"/>
      <c r="BBU34" s="557"/>
      <c r="BBV34" s="557"/>
      <c r="BBW34" s="557"/>
      <c r="BBX34" s="557"/>
      <c r="BBY34" s="557"/>
      <c r="BBZ34" s="557"/>
      <c r="BCA34" s="557"/>
      <c r="BCB34" s="557"/>
      <c r="BCC34" s="557"/>
      <c r="BCD34" s="557"/>
      <c r="BCE34" s="557"/>
      <c r="BCF34" s="557"/>
      <c r="BCG34" s="557"/>
      <c r="BCH34" s="557"/>
      <c r="BCI34" s="661"/>
      <c r="BCJ34" s="556"/>
      <c r="BCK34" s="557"/>
      <c r="BCL34" s="557"/>
      <c r="BCM34" s="557"/>
      <c r="BCN34" s="557"/>
      <c r="BCO34" s="557"/>
      <c r="BCP34" s="557"/>
      <c r="BCQ34" s="557"/>
      <c r="BCR34" s="557"/>
      <c r="BCS34" s="557"/>
      <c r="BCT34" s="557"/>
      <c r="BCU34" s="557"/>
      <c r="BCV34" s="557"/>
      <c r="BCW34" s="557"/>
      <c r="BCX34" s="557"/>
      <c r="BCY34" s="557"/>
      <c r="BCZ34" s="557"/>
      <c r="BDA34" s="557"/>
      <c r="BDB34" s="557"/>
      <c r="BDC34" s="661"/>
      <c r="BDD34" s="556"/>
      <c r="BDE34" s="557"/>
      <c r="BDF34" s="557"/>
      <c r="BDG34" s="557"/>
      <c r="BDH34" s="557"/>
      <c r="BDI34" s="557"/>
      <c r="BDJ34" s="557"/>
      <c r="BDK34" s="557"/>
      <c r="BDL34" s="557"/>
      <c r="BDM34" s="557"/>
      <c r="BDN34" s="557"/>
      <c r="BDO34" s="557"/>
      <c r="BDP34" s="557"/>
      <c r="BDQ34" s="557"/>
      <c r="BDR34" s="557"/>
      <c r="BDS34" s="557"/>
      <c r="BDT34" s="557"/>
      <c r="BDU34" s="557"/>
      <c r="BDV34" s="557"/>
      <c r="BDW34" s="661"/>
      <c r="BDX34" s="556"/>
      <c r="BDY34" s="557"/>
      <c r="BDZ34" s="557"/>
      <c r="BEA34" s="557"/>
      <c r="BEB34" s="557"/>
      <c r="BEC34" s="557"/>
      <c r="BED34" s="557"/>
      <c r="BEE34" s="557"/>
      <c r="BEF34" s="557"/>
      <c r="BEG34" s="557"/>
      <c r="BEH34" s="557"/>
      <c r="BEI34" s="557"/>
      <c r="BEJ34" s="557"/>
      <c r="BEK34" s="557"/>
      <c r="BEL34" s="557"/>
      <c r="BEM34" s="557"/>
      <c r="BEN34" s="557"/>
      <c r="BEO34" s="557"/>
      <c r="BEP34" s="557"/>
      <c r="BEQ34" s="661"/>
      <c r="BER34" s="556"/>
      <c r="BES34" s="557"/>
      <c r="BET34" s="557"/>
      <c r="BEU34" s="557"/>
      <c r="BEV34" s="557"/>
      <c r="BEW34" s="557"/>
      <c r="BEX34" s="557"/>
      <c r="BEY34" s="557"/>
      <c r="BEZ34" s="557"/>
      <c r="BFA34" s="557"/>
      <c r="BFB34" s="557"/>
      <c r="BFC34" s="557"/>
      <c r="BFD34" s="557"/>
      <c r="BFE34" s="557"/>
      <c r="BFF34" s="557"/>
      <c r="BFG34" s="557"/>
      <c r="BFH34" s="557"/>
      <c r="BFI34" s="557"/>
      <c r="BFJ34" s="557"/>
      <c r="BFK34" s="661"/>
      <c r="BFL34" s="556"/>
      <c r="BFM34" s="557"/>
      <c r="BFN34" s="557"/>
      <c r="BFO34" s="557"/>
      <c r="BFP34" s="557"/>
      <c r="BFQ34" s="557"/>
      <c r="BFR34" s="557"/>
      <c r="BFS34" s="557"/>
      <c r="BFT34" s="557"/>
      <c r="BFU34" s="557"/>
      <c r="BFV34" s="557"/>
      <c r="BFW34" s="557"/>
      <c r="BFX34" s="557"/>
      <c r="BFY34" s="557"/>
      <c r="BFZ34" s="557"/>
      <c r="BGA34" s="557"/>
      <c r="BGB34" s="557"/>
      <c r="BGC34" s="557"/>
      <c r="BGD34" s="557"/>
      <c r="BGE34" s="661"/>
      <c r="BGF34" s="556"/>
      <c r="BGG34" s="557"/>
      <c r="BGH34" s="557"/>
      <c r="BGI34" s="557"/>
      <c r="BGJ34" s="557"/>
      <c r="BGK34" s="557"/>
      <c r="BGL34" s="557"/>
      <c r="BGM34" s="557"/>
      <c r="BGN34" s="557"/>
      <c r="BGO34" s="557"/>
      <c r="BGP34" s="557"/>
      <c r="BGQ34" s="557"/>
      <c r="BGR34" s="557"/>
      <c r="BGS34" s="557"/>
      <c r="BGT34" s="557"/>
      <c r="BGU34" s="557"/>
      <c r="BGV34" s="557"/>
      <c r="BGW34" s="557"/>
      <c r="BGX34" s="557"/>
      <c r="BGY34" s="661"/>
      <c r="BGZ34" s="556"/>
      <c r="BHA34" s="557"/>
      <c r="BHB34" s="557"/>
      <c r="BHC34" s="557"/>
      <c r="BHD34" s="557"/>
      <c r="BHE34" s="557"/>
      <c r="BHF34" s="557"/>
      <c r="BHG34" s="557"/>
      <c r="BHH34" s="557"/>
      <c r="BHI34" s="557"/>
      <c r="BHJ34" s="557"/>
      <c r="BHK34" s="557"/>
      <c r="BHL34" s="557"/>
      <c r="BHM34" s="557"/>
      <c r="BHN34" s="557"/>
      <c r="BHO34" s="557"/>
      <c r="BHP34" s="557"/>
      <c r="BHQ34" s="557"/>
      <c r="BHR34" s="557"/>
      <c r="BHS34" s="661"/>
      <c r="BHT34" s="556"/>
      <c r="BHU34" s="557"/>
      <c r="BHV34" s="557"/>
      <c r="BHW34" s="557"/>
      <c r="BHX34" s="557"/>
      <c r="BHY34" s="557"/>
      <c r="BHZ34" s="557"/>
      <c r="BIA34" s="557"/>
      <c r="BIB34" s="557"/>
      <c r="BIC34" s="557"/>
      <c r="BID34" s="557"/>
      <c r="BIE34" s="557"/>
      <c r="BIF34" s="557"/>
      <c r="BIG34" s="557"/>
      <c r="BIH34" s="557"/>
      <c r="BII34" s="557"/>
      <c r="BIJ34" s="557"/>
      <c r="BIK34" s="557"/>
      <c r="BIL34" s="557"/>
      <c r="BIM34" s="661"/>
      <c r="BIN34" s="556"/>
      <c r="BIO34" s="557"/>
      <c r="BIP34" s="557"/>
      <c r="BIQ34" s="557"/>
      <c r="BIR34" s="557"/>
      <c r="BIS34" s="557"/>
      <c r="BIT34" s="557"/>
      <c r="BIU34" s="557"/>
      <c r="BIV34" s="557"/>
      <c r="BIW34" s="557"/>
      <c r="BIX34" s="557"/>
      <c r="BIY34" s="557"/>
      <c r="BIZ34" s="557"/>
      <c r="BJA34" s="557"/>
      <c r="BJB34" s="557"/>
      <c r="BJC34" s="557"/>
      <c r="BJD34" s="557"/>
      <c r="BJE34" s="557"/>
      <c r="BJF34" s="557"/>
      <c r="BJG34" s="661"/>
      <c r="BJH34" s="556"/>
      <c r="BJI34" s="557"/>
      <c r="BJJ34" s="557"/>
      <c r="BJK34" s="557"/>
      <c r="BJL34" s="557"/>
      <c r="BJM34" s="557"/>
      <c r="BJN34" s="557"/>
      <c r="BJO34" s="557"/>
      <c r="BJP34" s="557"/>
      <c r="BJQ34" s="557"/>
      <c r="BJR34" s="557"/>
      <c r="BJS34" s="557"/>
      <c r="BJT34" s="557"/>
      <c r="BJU34" s="557"/>
      <c r="BJV34" s="557"/>
      <c r="BJW34" s="557"/>
      <c r="BJX34" s="557"/>
      <c r="BJY34" s="557"/>
      <c r="BJZ34" s="557"/>
      <c r="BKA34" s="661"/>
      <c r="BKB34" s="556"/>
      <c r="BKC34" s="557"/>
      <c r="BKD34" s="557"/>
      <c r="BKE34" s="557"/>
      <c r="BKF34" s="557"/>
      <c r="BKG34" s="557"/>
      <c r="BKH34" s="557"/>
      <c r="BKI34" s="557"/>
      <c r="BKJ34" s="557"/>
      <c r="BKK34" s="557"/>
      <c r="BKL34" s="557"/>
      <c r="BKM34" s="557"/>
      <c r="BKN34" s="557"/>
      <c r="BKO34" s="557"/>
      <c r="BKP34" s="557"/>
      <c r="BKQ34" s="557"/>
      <c r="BKR34" s="557"/>
      <c r="BKS34" s="557"/>
      <c r="BKT34" s="557"/>
      <c r="BKU34" s="661"/>
      <c r="BKV34" s="556"/>
      <c r="BKW34" s="557"/>
      <c r="BKX34" s="557"/>
      <c r="BKY34" s="557"/>
      <c r="BKZ34" s="557"/>
      <c r="BLA34" s="557"/>
      <c r="BLB34" s="557"/>
      <c r="BLC34" s="557"/>
      <c r="BLD34" s="557"/>
      <c r="BLE34" s="557"/>
      <c r="BLF34" s="557"/>
      <c r="BLG34" s="557"/>
      <c r="BLH34" s="557"/>
      <c r="BLI34" s="557"/>
      <c r="BLJ34" s="557"/>
      <c r="BLK34" s="557"/>
      <c r="BLL34" s="557"/>
      <c r="BLM34" s="557"/>
      <c r="BLN34" s="557"/>
      <c r="BLO34" s="661"/>
      <c r="BLP34" s="556"/>
      <c r="BLQ34" s="557"/>
      <c r="BLR34" s="557"/>
      <c r="BLS34" s="557"/>
      <c r="BLT34" s="557"/>
      <c r="BLU34" s="557"/>
      <c r="BLV34" s="557"/>
      <c r="BLW34" s="557"/>
      <c r="BLX34" s="557"/>
      <c r="BLY34" s="557"/>
      <c r="BLZ34" s="557"/>
      <c r="BMA34" s="557"/>
      <c r="BMB34" s="557"/>
      <c r="BMC34" s="557"/>
      <c r="BMD34" s="557"/>
      <c r="BME34" s="557"/>
      <c r="BMF34" s="557"/>
      <c r="BMG34" s="557"/>
      <c r="BMH34" s="557"/>
      <c r="BMI34" s="661"/>
      <c r="BMJ34" s="556"/>
      <c r="BMK34" s="557"/>
      <c r="BML34" s="557"/>
      <c r="BMM34" s="557"/>
      <c r="BMN34" s="557"/>
      <c r="BMO34" s="557"/>
      <c r="BMP34" s="557"/>
      <c r="BMQ34" s="557"/>
      <c r="BMR34" s="557"/>
      <c r="BMS34" s="557"/>
      <c r="BMT34" s="557"/>
      <c r="BMU34" s="557"/>
      <c r="BMV34" s="557"/>
      <c r="BMW34" s="557"/>
      <c r="BMX34" s="557"/>
      <c r="BMY34" s="557"/>
      <c r="BMZ34" s="557"/>
      <c r="BNA34" s="557"/>
      <c r="BNB34" s="557"/>
      <c r="BNC34" s="661"/>
      <c r="BND34" s="556"/>
      <c r="BNE34" s="557"/>
      <c r="BNF34" s="557"/>
      <c r="BNG34" s="557"/>
      <c r="BNH34" s="557"/>
      <c r="BNI34" s="557"/>
      <c r="BNJ34" s="557"/>
      <c r="BNK34" s="557"/>
      <c r="BNL34" s="557"/>
      <c r="BNM34" s="557"/>
      <c r="BNN34" s="557"/>
      <c r="BNO34" s="557"/>
      <c r="BNP34" s="557"/>
      <c r="BNQ34" s="557"/>
      <c r="BNR34" s="557"/>
      <c r="BNS34" s="557"/>
      <c r="BNT34" s="557"/>
      <c r="BNU34" s="557"/>
      <c r="BNV34" s="557"/>
      <c r="BNW34" s="661"/>
      <c r="BNX34" s="556"/>
      <c r="BNY34" s="557"/>
      <c r="BNZ34" s="557"/>
      <c r="BOA34" s="557"/>
      <c r="BOB34" s="557"/>
      <c r="BOC34" s="557"/>
      <c r="BOD34" s="557"/>
      <c r="BOE34" s="557"/>
      <c r="BOF34" s="557"/>
      <c r="BOG34" s="557"/>
      <c r="BOH34" s="557"/>
      <c r="BOI34" s="557"/>
      <c r="BOJ34" s="557"/>
      <c r="BOK34" s="557"/>
      <c r="BOL34" s="557"/>
      <c r="BOM34" s="557"/>
      <c r="BON34" s="557"/>
      <c r="BOO34" s="557"/>
      <c r="BOP34" s="557"/>
      <c r="BOQ34" s="661"/>
      <c r="BOR34" s="556"/>
      <c r="BOS34" s="557"/>
      <c r="BOT34" s="557"/>
      <c r="BOU34" s="557"/>
      <c r="BOV34" s="557"/>
      <c r="BOW34" s="557"/>
      <c r="BOX34" s="557"/>
      <c r="BOY34" s="557"/>
      <c r="BOZ34" s="557"/>
      <c r="BPA34" s="557"/>
      <c r="BPB34" s="557"/>
      <c r="BPC34" s="557"/>
      <c r="BPD34" s="557"/>
      <c r="BPE34" s="557"/>
      <c r="BPF34" s="557"/>
      <c r="BPG34" s="557"/>
      <c r="BPH34" s="557"/>
      <c r="BPI34" s="557"/>
      <c r="BPJ34" s="557"/>
      <c r="BPK34" s="661"/>
      <c r="BPL34" s="556"/>
      <c r="BPM34" s="557"/>
      <c r="BPN34" s="557"/>
      <c r="BPO34" s="557"/>
      <c r="BPP34" s="557"/>
      <c r="BPQ34" s="557"/>
      <c r="BPR34" s="557"/>
      <c r="BPS34" s="557"/>
      <c r="BPT34" s="557"/>
      <c r="BPU34" s="557"/>
      <c r="BPV34" s="557"/>
      <c r="BPW34" s="557"/>
      <c r="BPX34" s="557"/>
      <c r="BPY34" s="557"/>
      <c r="BPZ34" s="557"/>
      <c r="BQA34" s="557"/>
      <c r="BQB34" s="557"/>
      <c r="BQC34" s="557"/>
      <c r="BQD34" s="557"/>
      <c r="BQE34" s="661"/>
      <c r="BQF34" s="556"/>
      <c r="BQG34" s="557"/>
      <c r="BQH34" s="557"/>
      <c r="BQI34" s="557"/>
      <c r="BQJ34" s="557"/>
      <c r="BQK34" s="557"/>
      <c r="BQL34" s="557"/>
      <c r="BQM34" s="557"/>
      <c r="BQN34" s="557"/>
      <c r="BQO34" s="557"/>
      <c r="BQP34" s="557"/>
      <c r="BQQ34" s="557"/>
      <c r="BQR34" s="557"/>
      <c r="BQS34" s="557"/>
      <c r="BQT34" s="557"/>
      <c r="BQU34" s="557"/>
      <c r="BQV34" s="557"/>
      <c r="BQW34" s="557"/>
      <c r="BQX34" s="557"/>
      <c r="BQY34" s="661"/>
      <c r="BQZ34" s="556"/>
      <c r="BRA34" s="557"/>
      <c r="BRB34" s="557"/>
      <c r="BRC34" s="557"/>
      <c r="BRD34" s="557"/>
      <c r="BRE34" s="557"/>
      <c r="BRF34" s="557"/>
      <c r="BRG34" s="557"/>
      <c r="BRH34" s="557"/>
      <c r="BRI34" s="557"/>
      <c r="BRJ34" s="557"/>
      <c r="BRK34" s="557"/>
      <c r="BRL34" s="557"/>
      <c r="BRM34" s="557"/>
      <c r="BRN34" s="557"/>
      <c r="BRO34" s="557"/>
      <c r="BRP34" s="557"/>
      <c r="BRQ34" s="557"/>
      <c r="BRR34" s="557"/>
      <c r="BRS34" s="661"/>
      <c r="BRT34" s="556"/>
      <c r="BRU34" s="557"/>
      <c r="BRV34" s="557"/>
      <c r="BRW34" s="557"/>
      <c r="BRX34" s="557"/>
      <c r="BRY34" s="557"/>
      <c r="BRZ34" s="557"/>
      <c r="BSA34" s="557"/>
      <c r="BSB34" s="557"/>
      <c r="BSC34" s="557"/>
      <c r="BSD34" s="557"/>
      <c r="BSE34" s="557"/>
      <c r="BSF34" s="557"/>
      <c r="BSG34" s="557"/>
      <c r="BSH34" s="557"/>
      <c r="BSI34" s="557"/>
      <c r="BSJ34" s="557"/>
      <c r="BSK34" s="557"/>
      <c r="BSL34" s="557"/>
      <c r="BSM34" s="661"/>
      <c r="BSN34" s="556"/>
      <c r="BSO34" s="557"/>
      <c r="BSP34" s="557"/>
      <c r="BSQ34" s="557"/>
      <c r="BSR34" s="557"/>
      <c r="BSS34" s="557"/>
      <c r="BST34" s="557"/>
      <c r="BSU34" s="557"/>
      <c r="BSV34" s="557"/>
      <c r="BSW34" s="557"/>
      <c r="BSX34" s="557"/>
      <c r="BSY34" s="557"/>
      <c r="BSZ34" s="557"/>
      <c r="BTA34" s="557"/>
      <c r="BTB34" s="557"/>
      <c r="BTC34" s="557"/>
      <c r="BTD34" s="557"/>
      <c r="BTE34" s="557"/>
      <c r="BTF34" s="557"/>
      <c r="BTG34" s="661"/>
      <c r="BTH34" s="556"/>
      <c r="BTI34" s="557"/>
      <c r="BTJ34" s="557"/>
      <c r="BTK34" s="557"/>
      <c r="BTL34" s="557"/>
      <c r="BTM34" s="557"/>
      <c r="BTN34" s="557"/>
      <c r="BTO34" s="557"/>
      <c r="BTP34" s="557"/>
      <c r="BTQ34" s="557"/>
      <c r="BTR34" s="557"/>
      <c r="BTS34" s="557"/>
      <c r="BTT34" s="557"/>
      <c r="BTU34" s="557"/>
      <c r="BTV34" s="557"/>
      <c r="BTW34" s="557"/>
      <c r="BTX34" s="557"/>
      <c r="BTY34" s="557"/>
      <c r="BTZ34" s="557"/>
      <c r="BUA34" s="661"/>
      <c r="BUB34" s="556"/>
      <c r="BUC34" s="557"/>
      <c r="BUD34" s="557"/>
      <c r="BUE34" s="557"/>
      <c r="BUF34" s="557"/>
      <c r="BUG34" s="557"/>
      <c r="BUH34" s="557"/>
      <c r="BUI34" s="557"/>
      <c r="BUJ34" s="557"/>
      <c r="BUK34" s="557"/>
      <c r="BUL34" s="557"/>
      <c r="BUM34" s="557"/>
      <c r="BUN34" s="557"/>
      <c r="BUO34" s="557"/>
      <c r="BUP34" s="557"/>
      <c r="BUQ34" s="557"/>
      <c r="BUR34" s="557"/>
      <c r="BUS34" s="557"/>
      <c r="BUT34" s="557"/>
      <c r="BUU34" s="661"/>
      <c r="BUV34" s="556"/>
      <c r="BUW34" s="557"/>
      <c r="BUX34" s="557"/>
      <c r="BUY34" s="557"/>
      <c r="BUZ34" s="557"/>
      <c r="BVA34" s="557"/>
      <c r="BVB34" s="557"/>
      <c r="BVC34" s="557"/>
      <c r="BVD34" s="557"/>
      <c r="BVE34" s="557"/>
      <c r="BVF34" s="557"/>
      <c r="BVG34" s="557"/>
      <c r="BVH34" s="557"/>
      <c r="BVI34" s="557"/>
      <c r="BVJ34" s="557"/>
      <c r="BVK34" s="557"/>
      <c r="BVL34" s="557"/>
      <c r="BVM34" s="557"/>
      <c r="BVN34" s="557"/>
      <c r="BVO34" s="661"/>
      <c r="BVP34" s="556"/>
      <c r="BVQ34" s="557"/>
      <c r="BVR34" s="557"/>
      <c r="BVS34" s="557"/>
      <c r="BVT34" s="557"/>
      <c r="BVU34" s="557"/>
      <c r="BVV34" s="557"/>
      <c r="BVW34" s="557"/>
      <c r="BVX34" s="557"/>
      <c r="BVY34" s="557"/>
      <c r="BVZ34" s="557"/>
      <c r="BWA34" s="557"/>
      <c r="BWB34" s="557"/>
      <c r="BWC34" s="557"/>
      <c r="BWD34" s="557"/>
      <c r="BWE34" s="557"/>
      <c r="BWF34" s="557"/>
      <c r="BWG34" s="557"/>
      <c r="BWH34" s="557"/>
      <c r="BWI34" s="661"/>
      <c r="BWJ34" s="556"/>
      <c r="BWK34" s="557"/>
      <c r="BWL34" s="557"/>
      <c r="BWM34" s="557"/>
      <c r="BWN34" s="557"/>
      <c r="BWO34" s="557"/>
      <c r="BWP34" s="557"/>
      <c r="BWQ34" s="557"/>
      <c r="BWR34" s="557"/>
      <c r="BWS34" s="557"/>
      <c r="BWT34" s="557"/>
      <c r="BWU34" s="557"/>
      <c r="BWV34" s="557"/>
      <c r="BWW34" s="557"/>
      <c r="BWX34" s="557"/>
      <c r="BWY34" s="557"/>
      <c r="BWZ34" s="557"/>
      <c r="BXA34" s="557"/>
      <c r="BXB34" s="557"/>
      <c r="BXC34" s="661"/>
      <c r="BXD34" s="556"/>
      <c r="BXE34" s="557"/>
      <c r="BXF34" s="557"/>
      <c r="BXG34" s="557"/>
      <c r="BXH34" s="557"/>
      <c r="BXI34" s="557"/>
      <c r="BXJ34" s="557"/>
      <c r="BXK34" s="557"/>
      <c r="BXL34" s="557"/>
      <c r="BXM34" s="557"/>
      <c r="BXN34" s="557"/>
      <c r="BXO34" s="557"/>
      <c r="BXP34" s="557"/>
      <c r="BXQ34" s="557"/>
      <c r="BXR34" s="557"/>
      <c r="BXS34" s="557"/>
      <c r="BXT34" s="557"/>
      <c r="BXU34" s="557"/>
      <c r="BXV34" s="557"/>
      <c r="BXW34" s="661"/>
      <c r="BXX34" s="556"/>
      <c r="BXY34" s="557"/>
      <c r="BXZ34" s="557"/>
      <c r="BYA34" s="557"/>
      <c r="BYB34" s="557"/>
      <c r="BYC34" s="557"/>
      <c r="BYD34" s="557"/>
      <c r="BYE34" s="557"/>
      <c r="BYF34" s="557"/>
      <c r="BYG34" s="557"/>
      <c r="BYH34" s="557"/>
      <c r="BYI34" s="557"/>
      <c r="BYJ34" s="557"/>
      <c r="BYK34" s="557"/>
      <c r="BYL34" s="557"/>
      <c r="BYM34" s="557"/>
      <c r="BYN34" s="557"/>
      <c r="BYO34" s="557"/>
      <c r="BYP34" s="557"/>
      <c r="BYQ34" s="661"/>
      <c r="BYR34" s="556"/>
      <c r="BYS34" s="557"/>
      <c r="BYT34" s="557"/>
      <c r="BYU34" s="557"/>
      <c r="BYV34" s="557"/>
      <c r="BYW34" s="557"/>
      <c r="BYX34" s="557"/>
      <c r="BYY34" s="557"/>
      <c r="BYZ34" s="557"/>
      <c r="BZA34" s="557"/>
      <c r="BZB34" s="557"/>
      <c r="BZC34" s="557"/>
      <c r="BZD34" s="557"/>
      <c r="BZE34" s="557"/>
      <c r="BZF34" s="557"/>
      <c r="BZG34" s="557"/>
      <c r="BZH34" s="557"/>
      <c r="BZI34" s="557"/>
      <c r="BZJ34" s="557"/>
      <c r="BZK34" s="661"/>
      <c r="BZL34" s="556"/>
      <c r="BZM34" s="557"/>
      <c r="BZN34" s="557"/>
      <c r="BZO34" s="557"/>
      <c r="BZP34" s="557"/>
      <c r="BZQ34" s="557"/>
      <c r="BZR34" s="557"/>
      <c r="BZS34" s="557"/>
      <c r="BZT34" s="557"/>
      <c r="BZU34" s="557"/>
      <c r="BZV34" s="557"/>
      <c r="BZW34" s="557"/>
      <c r="BZX34" s="557"/>
      <c r="BZY34" s="557"/>
      <c r="BZZ34" s="557"/>
      <c r="CAA34" s="557"/>
      <c r="CAB34" s="557"/>
      <c r="CAC34" s="557"/>
      <c r="CAD34" s="557"/>
      <c r="CAE34" s="661"/>
      <c r="CAF34" s="556"/>
      <c r="CAG34" s="557"/>
      <c r="CAH34" s="557"/>
      <c r="CAI34" s="557"/>
      <c r="CAJ34" s="557"/>
      <c r="CAK34" s="557"/>
      <c r="CAL34" s="557"/>
      <c r="CAM34" s="557"/>
      <c r="CAN34" s="557"/>
      <c r="CAO34" s="557"/>
      <c r="CAP34" s="557"/>
      <c r="CAQ34" s="557"/>
      <c r="CAR34" s="557"/>
      <c r="CAS34" s="557"/>
      <c r="CAT34" s="557"/>
      <c r="CAU34" s="557"/>
      <c r="CAV34" s="557"/>
      <c r="CAW34" s="557"/>
      <c r="CAX34" s="557"/>
      <c r="CAY34" s="661"/>
      <c r="CAZ34" s="556"/>
      <c r="CBA34" s="557"/>
      <c r="CBB34" s="557"/>
      <c r="CBC34" s="557"/>
      <c r="CBD34" s="557"/>
      <c r="CBE34" s="557"/>
      <c r="CBF34" s="557"/>
      <c r="CBG34" s="557"/>
      <c r="CBH34" s="557"/>
      <c r="CBI34" s="557"/>
      <c r="CBJ34" s="557"/>
      <c r="CBK34" s="557"/>
      <c r="CBL34" s="557"/>
      <c r="CBM34" s="557"/>
      <c r="CBN34" s="557"/>
      <c r="CBO34" s="557"/>
      <c r="CBP34" s="557"/>
      <c r="CBQ34" s="557"/>
      <c r="CBR34" s="557"/>
      <c r="CBS34" s="661"/>
      <c r="CBT34" s="556"/>
      <c r="CBU34" s="557"/>
      <c r="CBV34" s="557"/>
      <c r="CBW34" s="557"/>
      <c r="CBX34" s="557"/>
      <c r="CBY34" s="557"/>
      <c r="CBZ34" s="557"/>
      <c r="CCA34" s="557"/>
      <c r="CCB34" s="557"/>
      <c r="CCC34" s="557"/>
      <c r="CCD34" s="557"/>
      <c r="CCE34" s="557"/>
      <c r="CCF34" s="557"/>
      <c r="CCG34" s="557"/>
      <c r="CCH34" s="557"/>
      <c r="CCI34" s="557"/>
      <c r="CCJ34" s="557"/>
      <c r="CCK34" s="557"/>
      <c r="CCL34" s="557"/>
      <c r="CCM34" s="661"/>
      <c r="CCN34" s="556"/>
      <c r="CCO34" s="557"/>
      <c r="CCP34" s="557"/>
      <c r="CCQ34" s="557"/>
      <c r="CCR34" s="557"/>
      <c r="CCS34" s="557"/>
      <c r="CCT34" s="557"/>
      <c r="CCU34" s="557"/>
      <c r="CCV34" s="557"/>
      <c r="CCW34" s="557"/>
      <c r="CCX34" s="557"/>
      <c r="CCY34" s="557"/>
      <c r="CCZ34" s="557"/>
      <c r="CDA34" s="557"/>
      <c r="CDB34" s="557"/>
      <c r="CDC34" s="557"/>
      <c r="CDD34" s="557"/>
      <c r="CDE34" s="557"/>
      <c r="CDF34" s="557"/>
      <c r="CDG34" s="661"/>
      <c r="CDH34" s="556"/>
      <c r="CDI34" s="557"/>
      <c r="CDJ34" s="557"/>
      <c r="CDK34" s="557"/>
      <c r="CDL34" s="557"/>
      <c r="CDM34" s="557"/>
      <c r="CDN34" s="557"/>
      <c r="CDO34" s="557"/>
      <c r="CDP34" s="557"/>
      <c r="CDQ34" s="557"/>
      <c r="CDR34" s="557"/>
      <c r="CDS34" s="557"/>
      <c r="CDT34" s="557"/>
      <c r="CDU34" s="557"/>
      <c r="CDV34" s="557"/>
      <c r="CDW34" s="557"/>
      <c r="CDX34" s="557"/>
      <c r="CDY34" s="557"/>
      <c r="CDZ34" s="557"/>
      <c r="CEA34" s="661"/>
      <c r="CEB34" s="556"/>
      <c r="CEC34" s="557"/>
      <c r="CED34" s="557"/>
      <c r="CEE34" s="557"/>
      <c r="CEF34" s="557"/>
      <c r="CEG34" s="557"/>
      <c r="CEH34" s="557"/>
      <c r="CEI34" s="557"/>
      <c r="CEJ34" s="557"/>
      <c r="CEK34" s="557"/>
      <c r="CEL34" s="557"/>
      <c r="CEM34" s="557"/>
      <c r="CEN34" s="557"/>
      <c r="CEO34" s="557"/>
      <c r="CEP34" s="557"/>
      <c r="CEQ34" s="557"/>
      <c r="CER34" s="557"/>
      <c r="CES34" s="557"/>
      <c r="CET34" s="557"/>
      <c r="CEU34" s="661"/>
      <c r="CEV34" s="556"/>
      <c r="CEW34" s="557"/>
      <c r="CEX34" s="557"/>
      <c r="CEY34" s="557"/>
      <c r="CEZ34" s="557"/>
      <c r="CFA34" s="557"/>
      <c r="CFB34" s="557"/>
      <c r="CFC34" s="557"/>
      <c r="CFD34" s="557"/>
      <c r="CFE34" s="557"/>
      <c r="CFF34" s="557"/>
      <c r="CFG34" s="557"/>
      <c r="CFH34" s="557"/>
      <c r="CFI34" s="557"/>
      <c r="CFJ34" s="557"/>
      <c r="CFK34" s="557"/>
      <c r="CFL34" s="557"/>
      <c r="CFM34" s="557"/>
      <c r="CFN34" s="557"/>
      <c r="CFO34" s="661"/>
      <c r="CFP34" s="556"/>
      <c r="CFQ34" s="557"/>
      <c r="CFR34" s="557"/>
      <c r="CFS34" s="557"/>
      <c r="CFT34" s="557"/>
      <c r="CFU34" s="557"/>
      <c r="CFV34" s="557"/>
      <c r="CFW34" s="557"/>
      <c r="CFX34" s="557"/>
      <c r="CFY34" s="557"/>
      <c r="CFZ34" s="557"/>
      <c r="CGA34" s="557"/>
      <c r="CGB34" s="557"/>
      <c r="CGC34" s="557"/>
      <c r="CGD34" s="557"/>
      <c r="CGE34" s="557"/>
      <c r="CGF34" s="557"/>
      <c r="CGG34" s="557"/>
      <c r="CGH34" s="557"/>
      <c r="CGI34" s="661"/>
      <c r="CGJ34" s="556"/>
      <c r="CGK34" s="557"/>
      <c r="CGL34" s="557"/>
      <c r="CGM34" s="557"/>
      <c r="CGN34" s="557"/>
      <c r="CGO34" s="557"/>
      <c r="CGP34" s="557"/>
      <c r="CGQ34" s="557"/>
      <c r="CGR34" s="557"/>
      <c r="CGS34" s="557"/>
      <c r="CGT34" s="557"/>
      <c r="CGU34" s="557"/>
      <c r="CGV34" s="557"/>
      <c r="CGW34" s="557"/>
      <c r="CGX34" s="557"/>
      <c r="CGY34" s="557"/>
      <c r="CGZ34" s="557"/>
      <c r="CHA34" s="557"/>
      <c r="CHB34" s="557"/>
      <c r="CHC34" s="661"/>
      <c r="CHD34" s="556"/>
      <c r="CHE34" s="557"/>
      <c r="CHF34" s="557"/>
      <c r="CHG34" s="557"/>
      <c r="CHH34" s="557"/>
      <c r="CHI34" s="557"/>
      <c r="CHJ34" s="557"/>
      <c r="CHK34" s="557"/>
      <c r="CHL34" s="557"/>
      <c r="CHM34" s="557"/>
      <c r="CHN34" s="557"/>
      <c r="CHO34" s="557"/>
      <c r="CHP34" s="557"/>
      <c r="CHQ34" s="557"/>
      <c r="CHR34" s="557"/>
      <c r="CHS34" s="557"/>
      <c r="CHT34" s="557"/>
      <c r="CHU34" s="557"/>
      <c r="CHV34" s="557"/>
      <c r="CHW34" s="661"/>
      <c r="CHX34" s="556"/>
      <c r="CHY34" s="557"/>
      <c r="CHZ34" s="557"/>
      <c r="CIA34" s="557"/>
      <c r="CIB34" s="557"/>
      <c r="CIC34" s="557"/>
      <c r="CID34" s="557"/>
      <c r="CIE34" s="557"/>
      <c r="CIF34" s="557"/>
      <c r="CIG34" s="557"/>
      <c r="CIH34" s="557"/>
      <c r="CII34" s="557"/>
      <c r="CIJ34" s="557"/>
      <c r="CIK34" s="557"/>
      <c r="CIL34" s="557"/>
      <c r="CIM34" s="557"/>
      <c r="CIN34" s="557"/>
      <c r="CIO34" s="557"/>
      <c r="CIP34" s="557"/>
      <c r="CIQ34" s="661"/>
      <c r="CIR34" s="556"/>
      <c r="CIS34" s="557"/>
      <c r="CIT34" s="557"/>
      <c r="CIU34" s="557"/>
      <c r="CIV34" s="557"/>
      <c r="CIW34" s="557"/>
      <c r="CIX34" s="557"/>
      <c r="CIY34" s="557"/>
      <c r="CIZ34" s="557"/>
      <c r="CJA34" s="557"/>
      <c r="CJB34" s="557"/>
      <c r="CJC34" s="557"/>
      <c r="CJD34" s="557"/>
      <c r="CJE34" s="557"/>
      <c r="CJF34" s="557"/>
      <c r="CJG34" s="557"/>
      <c r="CJH34" s="557"/>
      <c r="CJI34" s="557"/>
      <c r="CJJ34" s="557"/>
      <c r="CJK34" s="661"/>
      <c r="CJL34" s="556"/>
      <c r="CJM34" s="557"/>
      <c r="CJN34" s="557"/>
      <c r="CJO34" s="557"/>
      <c r="CJP34" s="557"/>
      <c r="CJQ34" s="557"/>
      <c r="CJR34" s="557"/>
      <c r="CJS34" s="557"/>
      <c r="CJT34" s="557"/>
      <c r="CJU34" s="557"/>
      <c r="CJV34" s="557"/>
      <c r="CJW34" s="557"/>
      <c r="CJX34" s="557"/>
      <c r="CJY34" s="557"/>
      <c r="CJZ34" s="557"/>
      <c r="CKA34" s="557"/>
      <c r="CKB34" s="557"/>
      <c r="CKC34" s="557"/>
      <c r="CKD34" s="557"/>
      <c r="CKE34" s="661"/>
      <c r="CKF34" s="556"/>
      <c r="CKG34" s="557"/>
      <c r="CKH34" s="557"/>
      <c r="CKI34" s="557"/>
      <c r="CKJ34" s="557"/>
      <c r="CKK34" s="557"/>
      <c r="CKL34" s="557"/>
      <c r="CKM34" s="557"/>
      <c r="CKN34" s="557"/>
      <c r="CKO34" s="557"/>
      <c r="CKP34" s="557"/>
      <c r="CKQ34" s="557"/>
      <c r="CKR34" s="557"/>
      <c r="CKS34" s="557"/>
      <c r="CKT34" s="557"/>
      <c r="CKU34" s="557"/>
      <c r="CKV34" s="557"/>
      <c r="CKW34" s="557"/>
      <c r="CKX34" s="557"/>
      <c r="CKY34" s="661"/>
      <c r="CKZ34" s="556"/>
      <c r="CLA34" s="557"/>
      <c r="CLB34" s="557"/>
      <c r="CLC34" s="557"/>
      <c r="CLD34" s="557"/>
      <c r="CLE34" s="557"/>
      <c r="CLF34" s="557"/>
      <c r="CLG34" s="557"/>
      <c r="CLH34" s="557"/>
      <c r="CLI34" s="557"/>
      <c r="CLJ34" s="557"/>
      <c r="CLK34" s="557"/>
      <c r="CLL34" s="557"/>
      <c r="CLM34" s="557"/>
      <c r="CLN34" s="557"/>
      <c r="CLO34" s="557"/>
      <c r="CLP34" s="557"/>
      <c r="CLQ34" s="557"/>
      <c r="CLR34" s="557"/>
      <c r="CLS34" s="661"/>
      <c r="CLT34" s="556"/>
      <c r="CLU34" s="557"/>
      <c r="CLV34" s="557"/>
      <c r="CLW34" s="557"/>
      <c r="CLX34" s="557"/>
      <c r="CLY34" s="557"/>
      <c r="CLZ34" s="557"/>
      <c r="CMA34" s="557"/>
      <c r="CMB34" s="557"/>
      <c r="CMC34" s="557"/>
      <c r="CMD34" s="557"/>
      <c r="CME34" s="557"/>
      <c r="CMF34" s="557"/>
      <c r="CMG34" s="557"/>
      <c r="CMH34" s="557"/>
      <c r="CMI34" s="557"/>
      <c r="CMJ34" s="557"/>
      <c r="CMK34" s="557"/>
      <c r="CML34" s="557"/>
      <c r="CMM34" s="661"/>
      <c r="CMN34" s="556"/>
      <c r="CMO34" s="557"/>
      <c r="CMP34" s="557"/>
      <c r="CMQ34" s="557"/>
      <c r="CMR34" s="557"/>
      <c r="CMS34" s="557"/>
      <c r="CMT34" s="557"/>
      <c r="CMU34" s="557"/>
      <c r="CMV34" s="557"/>
      <c r="CMW34" s="557"/>
      <c r="CMX34" s="557"/>
      <c r="CMY34" s="557"/>
      <c r="CMZ34" s="557"/>
      <c r="CNA34" s="557"/>
      <c r="CNB34" s="557"/>
      <c r="CNC34" s="557"/>
      <c r="CND34" s="557"/>
      <c r="CNE34" s="557"/>
      <c r="CNF34" s="557"/>
      <c r="CNG34" s="661"/>
      <c r="CNH34" s="556"/>
      <c r="CNI34" s="557"/>
      <c r="CNJ34" s="557"/>
      <c r="CNK34" s="557"/>
      <c r="CNL34" s="557"/>
      <c r="CNM34" s="557"/>
      <c r="CNN34" s="557"/>
      <c r="CNO34" s="557"/>
      <c r="CNP34" s="557"/>
      <c r="CNQ34" s="557"/>
      <c r="CNR34" s="557"/>
      <c r="CNS34" s="557"/>
      <c r="CNT34" s="557"/>
      <c r="CNU34" s="557"/>
      <c r="CNV34" s="557"/>
      <c r="CNW34" s="557"/>
      <c r="CNX34" s="557"/>
      <c r="CNY34" s="557"/>
      <c r="CNZ34" s="557"/>
      <c r="COA34" s="661"/>
      <c r="COB34" s="556"/>
      <c r="COC34" s="557"/>
      <c r="COD34" s="557"/>
      <c r="COE34" s="557"/>
      <c r="COF34" s="557"/>
      <c r="COG34" s="557"/>
      <c r="COH34" s="557"/>
      <c r="COI34" s="557"/>
      <c r="COJ34" s="557"/>
      <c r="COK34" s="557"/>
      <c r="COL34" s="557"/>
      <c r="COM34" s="557"/>
      <c r="CON34" s="557"/>
      <c r="COO34" s="557"/>
      <c r="COP34" s="557"/>
      <c r="COQ34" s="557"/>
      <c r="COR34" s="557"/>
      <c r="COS34" s="557"/>
      <c r="COT34" s="557"/>
      <c r="COU34" s="661"/>
      <c r="COV34" s="556"/>
      <c r="COW34" s="557"/>
      <c r="COX34" s="557"/>
      <c r="COY34" s="557"/>
      <c r="COZ34" s="557"/>
      <c r="CPA34" s="557"/>
      <c r="CPB34" s="557"/>
      <c r="CPC34" s="557"/>
      <c r="CPD34" s="557"/>
      <c r="CPE34" s="557"/>
      <c r="CPF34" s="557"/>
      <c r="CPG34" s="557"/>
      <c r="CPH34" s="557"/>
      <c r="CPI34" s="557"/>
      <c r="CPJ34" s="557"/>
      <c r="CPK34" s="557"/>
      <c r="CPL34" s="557"/>
      <c r="CPM34" s="557"/>
      <c r="CPN34" s="557"/>
      <c r="CPO34" s="661"/>
      <c r="CPP34" s="556"/>
      <c r="CPQ34" s="557"/>
      <c r="CPR34" s="557"/>
      <c r="CPS34" s="557"/>
      <c r="CPT34" s="557"/>
      <c r="CPU34" s="557"/>
      <c r="CPV34" s="557"/>
      <c r="CPW34" s="557"/>
      <c r="CPX34" s="557"/>
      <c r="CPY34" s="557"/>
      <c r="CPZ34" s="557"/>
      <c r="CQA34" s="557"/>
      <c r="CQB34" s="557"/>
      <c r="CQC34" s="557"/>
      <c r="CQD34" s="557"/>
      <c r="CQE34" s="557"/>
      <c r="CQF34" s="557"/>
      <c r="CQG34" s="557"/>
      <c r="CQH34" s="557"/>
      <c r="CQI34" s="661"/>
      <c r="CQJ34" s="556"/>
      <c r="CQK34" s="557"/>
      <c r="CQL34" s="557"/>
      <c r="CQM34" s="557"/>
      <c r="CQN34" s="557"/>
      <c r="CQO34" s="557"/>
      <c r="CQP34" s="557"/>
      <c r="CQQ34" s="557"/>
      <c r="CQR34" s="557"/>
      <c r="CQS34" s="557"/>
      <c r="CQT34" s="557"/>
      <c r="CQU34" s="557"/>
      <c r="CQV34" s="557"/>
      <c r="CQW34" s="557"/>
      <c r="CQX34" s="557"/>
      <c r="CQY34" s="557"/>
      <c r="CQZ34" s="557"/>
      <c r="CRA34" s="557"/>
      <c r="CRB34" s="557"/>
      <c r="CRC34" s="661"/>
      <c r="CRD34" s="556"/>
      <c r="CRE34" s="557"/>
      <c r="CRF34" s="557"/>
      <c r="CRG34" s="557"/>
      <c r="CRH34" s="557"/>
      <c r="CRI34" s="557"/>
      <c r="CRJ34" s="557"/>
      <c r="CRK34" s="557"/>
      <c r="CRL34" s="557"/>
      <c r="CRM34" s="557"/>
      <c r="CRN34" s="557"/>
      <c r="CRO34" s="557"/>
      <c r="CRP34" s="557"/>
      <c r="CRQ34" s="557"/>
      <c r="CRR34" s="557"/>
      <c r="CRS34" s="557"/>
      <c r="CRT34" s="557"/>
      <c r="CRU34" s="557"/>
      <c r="CRV34" s="557"/>
      <c r="CRW34" s="661"/>
      <c r="CRX34" s="556"/>
      <c r="CRY34" s="557"/>
      <c r="CRZ34" s="557"/>
      <c r="CSA34" s="557"/>
      <c r="CSB34" s="557"/>
      <c r="CSC34" s="557"/>
      <c r="CSD34" s="557"/>
      <c r="CSE34" s="557"/>
      <c r="CSF34" s="557"/>
      <c r="CSG34" s="557"/>
      <c r="CSH34" s="557"/>
      <c r="CSI34" s="557"/>
      <c r="CSJ34" s="557"/>
      <c r="CSK34" s="557"/>
      <c r="CSL34" s="557"/>
      <c r="CSM34" s="557"/>
      <c r="CSN34" s="557"/>
      <c r="CSO34" s="557"/>
      <c r="CSP34" s="557"/>
      <c r="CSQ34" s="661"/>
      <c r="CSR34" s="556"/>
      <c r="CSS34" s="557"/>
      <c r="CST34" s="557"/>
      <c r="CSU34" s="557"/>
      <c r="CSV34" s="557"/>
      <c r="CSW34" s="557"/>
      <c r="CSX34" s="557"/>
      <c r="CSY34" s="557"/>
      <c r="CSZ34" s="557"/>
      <c r="CTA34" s="557"/>
      <c r="CTB34" s="557"/>
      <c r="CTC34" s="557"/>
      <c r="CTD34" s="557"/>
      <c r="CTE34" s="557"/>
      <c r="CTF34" s="557"/>
      <c r="CTG34" s="557"/>
      <c r="CTH34" s="557"/>
      <c r="CTI34" s="557"/>
      <c r="CTJ34" s="557"/>
      <c r="CTK34" s="661"/>
      <c r="CTL34" s="556"/>
      <c r="CTM34" s="557"/>
      <c r="CTN34" s="557"/>
      <c r="CTO34" s="557"/>
      <c r="CTP34" s="557"/>
      <c r="CTQ34" s="557"/>
      <c r="CTR34" s="557"/>
      <c r="CTS34" s="557"/>
      <c r="CTT34" s="557"/>
      <c r="CTU34" s="557"/>
      <c r="CTV34" s="557"/>
      <c r="CTW34" s="557"/>
      <c r="CTX34" s="557"/>
      <c r="CTY34" s="557"/>
      <c r="CTZ34" s="557"/>
      <c r="CUA34" s="557"/>
      <c r="CUB34" s="557"/>
      <c r="CUC34" s="557"/>
      <c r="CUD34" s="557"/>
      <c r="CUE34" s="661"/>
      <c r="CUF34" s="556"/>
      <c r="CUG34" s="557"/>
      <c r="CUH34" s="557"/>
      <c r="CUI34" s="557"/>
      <c r="CUJ34" s="557"/>
      <c r="CUK34" s="557"/>
      <c r="CUL34" s="557"/>
      <c r="CUM34" s="557"/>
      <c r="CUN34" s="557"/>
      <c r="CUO34" s="557"/>
      <c r="CUP34" s="557"/>
      <c r="CUQ34" s="557"/>
      <c r="CUR34" s="557"/>
      <c r="CUS34" s="557"/>
      <c r="CUT34" s="557"/>
      <c r="CUU34" s="557"/>
      <c r="CUV34" s="557"/>
      <c r="CUW34" s="557"/>
      <c r="CUX34" s="557"/>
      <c r="CUY34" s="661"/>
      <c r="CUZ34" s="556"/>
      <c r="CVA34" s="557"/>
      <c r="CVB34" s="557"/>
      <c r="CVC34" s="557"/>
      <c r="CVD34" s="557"/>
      <c r="CVE34" s="557"/>
      <c r="CVF34" s="557"/>
      <c r="CVG34" s="557"/>
      <c r="CVH34" s="557"/>
      <c r="CVI34" s="557"/>
      <c r="CVJ34" s="557"/>
      <c r="CVK34" s="557"/>
      <c r="CVL34" s="557"/>
      <c r="CVM34" s="557"/>
      <c r="CVN34" s="557"/>
      <c r="CVO34" s="557"/>
      <c r="CVP34" s="557"/>
      <c r="CVQ34" s="557"/>
      <c r="CVR34" s="557"/>
      <c r="CVS34" s="661"/>
      <c r="CVT34" s="556"/>
      <c r="CVU34" s="557"/>
      <c r="CVV34" s="557"/>
      <c r="CVW34" s="557"/>
      <c r="CVX34" s="557"/>
      <c r="CVY34" s="557"/>
      <c r="CVZ34" s="557"/>
      <c r="CWA34" s="557"/>
      <c r="CWB34" s="557"/>
      <c r="CWC34" s="557"/>
      <c r="CWD34" s="557"/>
      <c r="CWE34" s="557"/>
      <c r="CWF34" s="557"/>
      <c r="CWG34" s="557"/>
      <c r="CWH34" s="557"/>
      <c r="CWI34" s="557"/>
      <c r="CWJ34" s="557"/>
      <c r="CWK34" s="557"/>
      <c r="CWL34" s="557"/>
      <c r="CWM34" s="661"/>
      <c r="CWN34" s="556"/>
      <c r="CWO34" s="557"/>
      <c r="CWP34" s="557"/>
      <c r="CWQ34" s="557"/>
      <c r="CWR34" s="557"/>
      <c r="CWS34" s="557"/>
      <c r="CWT34" s="557"/>
      <c r="CWU34" s="557"/>
      <c r="CWV34" s="557"/>
      <c r="CWW34" s="557"/>
      <c r="CWX34" s="557"/>
      <c r="CWY34" s="557"/>
      <c r="CWZ34" s="557"/>
      <c r="CXA34" s="557"/>
      <c r="CXB34" s="557"/>
      <c r="CXC34" s="557"/>
      <c r="CXD34" s="557"/>
      <c r="CXE34" s="557"/>
      <c r="CXF34" s="557"/>
      <c r="CXG34" s="661"/>
      <c r="CXH34" s="556"/>
      <c r="CXI34" s="557"/>
      <c r="CXJ34" s="557"/>
      <c r="CXK34" s="557"/>
      <c r="CXL34" s="557"/>
      <c r="CXM34" s="557"/>
      <c r="CXN34" s="557"/>
      <c r="CXO34" s="557"/>
      <c r="CXP34" s="557"/>
      <c r="CXQ34" s="557"/>
      <c r="CXR34" s="557"/>
      <c r="CXS34" s="557"/>
      <c r="CXT34" s="557"/>
      <c r="CXU34" s="557"/>
      <c r="CXV34" s="557"/>
      <c r="CXW34" s="557"/>
      <c r="CXX34" s="557"/>
      <c r="CXY34" s="557"/>
      <c r="CXZ34" s="557"/>
      <c r="CYA34" s="661"/>
      <c r="CYB34" s="556"/>
      <c r="CYC34" s="557"/>
      <c r="CYD34" s="557"/>
      <c r="CYE34" s="557"/>
      <c r="CYF34" s="557"/>
      <c r="CYG34" s="557"/>
      <c r="CYH34" s="557"/>
      <c r="CYI34" s="557"/>
      <c r="CYJ34" s="557"/>
      <c r="CYK34" s="557"/>
      <c r="CYL34" s="557"/>
      <c r="CYM34" s="557"/>
      <c r="CYN34" s="557"/>
      <c r="CYO34" s="557"/>
      <c r="CYP34" s="557"/>
      <c r="CYQ34" s="557"/>
      <c r="CYR34" s="557"/>
      <c r="CYS34" s="557"/>
      <c r="CYT34" s="557"/>
      <c r="CYU34" s="661"/>
      <c r="CYV34" s="556"/>
      <c r="CYW34" s="557"/>
      <c r="CYX34" s="557"/>
      <c r="CYY34" s="557"/>
      <c r="CYZ34" s="557"/>
      <c r="CZA34" s="557"/>
      <c r="CZB34" s="557"/>
      <c r="CZC34" s="557"/>
      <c r="CZD34" s="557"/>
      <c r="CZE34" s="557"/>
      <c r="CZF34" s="557"/>
      <c r="CZG34" s="557"/>
      <c r="CZH34" s="557"/>
      <c r="CZI34" s="557"/>
      <c r="CZJ34" s="557"/>
      <c r="CZK34" s="557"/>
      <c r="CZL34" s="557"/>
      <c r="CZM34" s="557"/>
      <c r="CZN34" s="557"/>
      <c r="CZO34" s="661"/>
      <c r="CZP34" s="556"/>
      <c r="CZQ34" s="557"/>
      <c r="CZR34" s="557"/>
      <c r="CZS34" s="557"/>
      <c r="CZT34" s="557"/>
      <c r="CZU34" s="557"/>
      <c r="CZV34" s="557"/>
      <c r="CZW34" s="557"/>
      <c r="CZX34" s="557"/>
      <c r="CZY34" s="557"/>
      <c r="CZZ34" s="557"/>
      <c r="DAA34" s="557"/>
      <c r="DAB34" s="557"/>
      <c r="DAC34" s="557"/>
      <c r="DAD34" s="557"/>
      <c r="DAE34" s="557"/>
      <c r="DAF34" s="557"/>
      <c r="DAG34" s="557"/>
      <c r="DAH34" s="557"/>
      <c r="DAI34" s="661"/>
      <c r="DAJ34" s="556"/>
      <c r="DAK34" s="557"/>
      <c r="DAL34" s="557"/>
      <c r="DAM34" s="557"/>
      <c r="DAN34" s="557"/>
      <c r="DAO34" s="557"/>
      <c r="DAP34" s="557"/>
      <c r="DAQ34" s="557"/>
      <c r="DAR34" s="557"/>
      <c r="DAS34" s="557"/>
      <c r="DAT34" s="557"/>
      <c r="DAU34" s="557"/>
      <c r="DAV34" s="557"/>
      <c r="DAW34" s="557"/>
      <c r="DAX34" s="557"/>
      <c r="DAY34" s="557"/>
      <c r="DAZ34" s="557"/>
      <c r="DBA34" s="557"/>
      <c r="DBB34" s="557"/>
      <c r="DBC34" s="661"/>
      <c r="DBD34" s="556"/>
      <c r="DBE34" s="557"/>
      <c r="DBF34" s="557"/>
      <c r="DBG34" s="557"/>
      <c r="DBH34" s="557"/>
      <c r="DBI34" s="557"/>
      <c r="DBJ34" s="557"/>
      <c r="DBK34" s="557"/>
      <c r="DBL34" s="557"/>
      <c r="DBM34" s="557"/>
      <c r="DBN34" s="557"/>
      <c r="DBO34" s="557"/>
      <c r="DBP34" s="557"/>
      <c r="DBQ34" s="557"/>
      <c r="DBR34" s="557"/>
      <c r="DBS34" s="557"/>
      <c r="DBT34" s="557"/>
      <c r="DBU34" s="557"/>
      <c r="DBV34" s="557"/>
      <c r="DBW34" s="661"/>
      <c r="DBX34" s="556"/>
      <c r="DBY34" s="557"/>
      <c r="DBZ34" s="557"/>
      <c r="DCA34" s="557"/>
      <c r="DCB34" s="557"/>
      <c r="DCC34" s="557"/>
      <c r="DCD34" s="557"/>
      <c r="DCE34" s="557"/>
      <c r="DCF34" s="557"/>
      <c r="DCG34" s="557"/>
      <c r="DCH34" s="557"/>
      <c r="DCI34" s="557"/>
      <c r="DCJ34" s="557"/>
      <c r="DCK34" s="557"/>
      <c r="DCL34" s="557"/>
      <c r="DCM34" s="557"/>
      <c r="DCN34" s="557"/>
      <c r="DCO34" s="557"/>
      <c r="DCP34" s="557"/>
      <c r="DCQ34" s="661"/>
      <c r="DCR34" s="556"/>
      <c r="DCS34" s="557"/>
      <c r="DCT34" s="557"/>
      <c r="DCU34" s="557"/>
      <c r="DCV34" s="557"/>
      <c r="DCW34" s="557"/>
      <c r="DCX34" s="557"/>
      <c r="DCY34" s="557"/>
      <c r="DCZ34" s="557"/>
      <c r="DDA34" s="557"/>
      <c r="DDB34" s="557"/>
      <c r="DDC34" s="557"/>
      <c r="DDD34" s="557"/>
      <c r="DDE34" s="557"/>
      <c r="DDF34" s="557"/>
      <c r="DDG34" s="557"/>
      <c r="DDH34" s="557"/>
      <c r="DDI34" s="557"/>
      <c r="DDJ34" s="557"/>
      <c r="DDK34" s="661"/>
      <c r="DDL34" s="556"/>
      <c r="DDM34" s="557"/>
      <c r="DDN34" s="557"/>
      <c r="DDO34" s="557"/>
      <c r="DDP34" s="557"/>
      <c r="DDQ34" s="557"/>
      <c r="DDR34" s="557"/>
      <c r="DDS34" s="557"/>
      <c r="DDT34" s="557"/>
      <c r="DDU34" s="557"/>
      <c r="DDV34" s="557"/>
      <c r="DDW34" s="557"/>
      <c r="DDX34" s="557"/>
      <c r="DDY34" s="557"/>
      <c r="DDZ34" s="557"/>
      <c r="DEA34" s="557"/>
      <c r="DEB34" s="557"/>
      <c r="DEC34" s="557"/>
      <c r="DED34" s="557"/>
      <c r="DEE34" s="661"/>
      <c r="DEF34" s="556"/>
      <c r="DEG34" s="557"/>
      <c r="DEH34" s="557"/>
      <c r="DEI34" s="557"/>
      <c r="DEJ34" s="557"/>
      <c r="DEK34" s="557"/>
      <c r="DEL34" s="557"/>
      <c r="DEM34" s="557"/>
      <c r="DEN34" s="557"/>
      <c r="DEO34" s="557"/>
      <c r="DEP34" s="557"/>
      <c r="DEQ34" s="557"/>
      <c r="DER34" s="557"/>
      <c r="DES34" s="557"/>
      <c r="DET34" s="557"/>
      <c r="DEU34" s="557"/>
      <c r="DEV34" s="557"/>
      <c r="DEW34" s="557"/>
      <c r="DEX34" s="557"/>
      <c r="DEY34" s="661"/>
      <c r="DEZ34" s="556"/>
      <c r="DFA34" s="557"/>
      <c r="DFB34" s="557"/>
      <c r="DFC34" s="557"/>
      <c r="DFD34" s="557"/>
      <c r="DFE34" s="557"/>
      <c r="DFF34" s="557"/>
      <c r="DFG34" s="557"/>
      <c r="DFH34" s="557"/>
      <c r="DFI34" s="557"/>
      <c r="DFJ34" s="557"/>
      <c r="DFK34" s="557"/>
      <c r="DFL34" s="557"/>
      <c r="DFM34" s="557"/>
      <c r="DFN34" s="557"/>
      <c r="DFO34" s="557"/>
      <c r="DFP34" s="557"/>
      <c r="DFQ34" s="557"/>
      <c r="DFR34" s="557"/>
      <c r="DFS34" s="661"/>
      <c r="DFT34" s="556"/>
      <c r="DFU34" s="557"/>
      <c r="DFV34" s="557"/>
      <c r="DFW34" s="557"/>
      <c r="DFX34" s="557"/>
      <c r="DFY34" s="557"/>
      <c r="DFZ34" s="557"/>
      <c r="DGA34" s="557"/>
      <c r="DGB34" s="557"/>
      <c r="DGC34" s="557"/>
      <c r="DGD34" s="557"/>
      <c r="DGE34" s="557"/>
      <c r="DGF34" s="557"/>
      <c r="DGG34" s="557"/>
      <c r="DGH34" s="557"/>
      <c r="DGI34" s="557"/>
      <c r="DGJ34" s="557"/>
      <c r="DGK34" s="557"/>
      <c r="DGL34" s="557"/>
      <c r="DGM34" s="661"/>
      <c r="DGN34" s="556"/>
      <c r="DGO34" s="557"/>
      <c r="DGP34" s="557"/>
      <c r="DGQ34" s="557"/>
      <c r="DGR34" s="557"/>
      <c r="DGS34" s="557"/>
      <c r="DGT34" s="557"/>
      <c r="DGU34" s="557"/>
      <c r="DGV34" s="557"/>
      <c r="DGW34" s="557"/>
      <c r="DGX34" s="557"/>
      <c r="DGY34" s="557"/>
      <c r="DGZ34" s="557"/>
      <c r="DHA34" s="557"/>
      <c r="DHB34" s="557"/>
      <c r="DHC34" s="557"/>
      <c r="DHD34" s="557"/>
      <c r="DHE34" s="557"/>
      <c r="DHF34" s="557"/>
      <c r="DHG34" s="661"/>
      <c r="DHH34" s="556"/>
      <c r="DHI34" s="557"/>
      <c r="DHJ34" s="557"/>
      <c r="DHK34" s="557"/>
      <c r="DHL34" s="557"/>
      <c r="DHM34" s="557"/>
      <c r="DHN34" s="557"/>
      <c r="DHO34" s="557"/>
      <c r="DHP34" s="557"/>
      <c r="DHQ34" s="557"/>
      <c r="DHR34" s="557"/>
      <c r="DHS34" s="557"/>
      <c r="DHT34" s="557"/>
      <c r="DHU34" s="557"/>
      <c r="DHV34" s="557"/>
      <c r="DHW34" s="557"/>
      <c r="DHX34" s="557"/>
      <c r="DHY34" s="557"/>
      <c r="DHZ34" s="557"/>
      <c r="DIA34" s="661"/>
      <c r="DIB34" s="556"/>
      <c r="DIC34" s="557"/>
      <c r="DID34" s="557"/>
      <c r="DIE34" s="557"/>
      <c r="DIF34" s="557"/>
      <c r="DIG34" s="557"/>
      <c r="DIH34" s="557"/>
      <c r="DII34" s="557"/>
      <c r="DIJ34" s="557"/>
      <c r="DIK34" s="557"/>
      <c r="DIL34" s="557"/>
      <c r="DIM34" s="557"/>
      <c r="DIN34" s="557"/>
      <c r="DIO34" s="557"/>
      <c r="DIP34" s="557"/>
      <c r="DIQ34" s="557"/>
      <c r="DIR34" s="557"/>
      <c r="DIS34" s="557"/>
      <c r="DIT34" s="557"/>
      <c r="DIU34" s="661"/>
      <c r="DIV34" s="556"/>
      <c r="DIW34" s="557"/>
      <c r="DIX34" s="557"/>
      <c r="DIY34" s="557"/>
      <c r="DIZ34" s="557"/>
      <c r="DJA34" s="557"/>
      <c r="DJB34" s="557"/>
      <c r="DJC34" s="557"/>
      <c r="DJD34" s="557"/>
      <c r="DJE34" s="557"/>
      <c r="DJF34" s="557"/>
      <c r="DJG34" s="557"/>
      <c r="DJH34" s="557"/>
      <c r="DJI34" s="557"/>
      <c r="DJJ34" s="557"/>
      <c r="DJK34" s="557"/>
      <c r="DJL34" s="557"/>
      <c r="DJM34" s="557"/>
      <c r="DJN34" s="557"/>
      <c r="DJO34" s="661"/>
      <c r="DJP34" s="556"/>
      <c r="DJQ34" s="557"/>
      <c r="DJR34" s="557"/>
      <c r="DJS34" s="557"/>
      <c r="DJT34" s="557"/>
      <c r="DJU34" s="557"/>
      <c r="DJV34" s="557"/>
      <c r="DJW34" s="557"/>
      <c r="DJX34" s="557"/>
      <c r="DJY34" s="557"/>
      <c r="DJZ34" s="557"/>
      <c r="DKA34" s="557"/>
      <c r="DKB34" s="557"/>
      <c r="DKC34" s="557"/>
      <c r="DKD34" s="557"/>
      <c r="DKE34" s="557"/>
      <c r="DKF34" s="557"/>
      <c r="DKG34" s="557"/>
      <c r="DKH34" s="557"/>
      <c r="DKI34" s="661"/>
      <c r="DKJ34" s="556"/>
      <c r="DKK34" s="557"/>
      <c r="DKL34" s="557"/>
      <c r="DKM34" s="557"/>
      <c r="DKN34" s="557"/>
      <c r="DKO34" s="557"/>
      <c r="DKP34" s="557"/>
      <c r="DKQ34" s="557"/>
      <c r="DKR34" s="557"/>
      <c r="DKS34" s="557"/>
      <c r="DKT34" s="557"/>
      <c r="DKU34" s="557"/>
      <c r="DKV34" s="557"/>
      <c r="DKW34" s="557"/>
      <c r="DKX34" s="557"/>
      <c r="DKY34" s="557"/>
      <c r="DKZ34" s="557"/>
      <c r="DLA34" s="557"/>
      <c r="DLB34" s="557"/>
      <c r="DLC34" s="661"/>
      <c r="DLD34" s="556"/>
      <c r="DLE34" s="557"/>
      <c r="DLF34" s="557"/>
      <c r="DLG34" s="557"/>
      <c r="DLH34" s="557"/>
      <c r="DLI34" s="557"/>
      <c r="DLJ34" s="557"/>
      <c r="DLK34" s="557"/>
      <c r="DLL34" s="557"/>
      <c r="DLM34" s="557"/>
      <c r="DLN34" s="557"/>
      <c r="DLO34" s="557"/>
      <c r="DLP34" s="557"/>
      <c r="DLQ34" s="557"/>
      <c r="DLR34" s="557"/>
      <c r="DLS34" s="557"/>
      <c r="DLT34" s="557"/>
      <c r="DLU34" s="557"/>
      <c r="DLV34" s="557"/>
      <c r="DLW34" s="661"/>
      <c r="DLX34" s="556"/>
      <c r="DLY34" s="557"/>
      <c r="DLZ34" s="557"/>
      <c r="DMA34" s="557"/>
      <c r="DMB34" s="557"/>
      <c r="DMC34" s="557"/>
      <c r="DMD34" s="557"/>
      <c r="DME34" s="557"/>
      <c r="DMF34" s="557"/>
      <c r="DMG34" s="557"/>
      <c r="DMH34" s="557"/>
      <c r="DMI34" s="557"/>
      <c r="DMJ34" s="557"/>
      <c r="DMK34" s="557"/>
      <c r="DML34" s="557"/>
      <c r="DMM34" s="557"/>
      <c r="DMN34" s="557"/>
      <c r="DMO34" s="557"/>
      <c r="DMP34" s="557"/>
      <c r="DMQ34" s="661"/>
      <c r="DMR34" s="556"/>
      <c r="DMS34" s="557"/>
      <c r="DMT34" s="557"/>
      <c r="DMU34" s="557"/>
      <c r="DMV34" s="557"/>
      <c r="DMW34" s="557"/>
      <c r="DMX34" s="557"/>
      <c r="DMY34" s="557"/>
      <c r="DMZ34" s="557"/>
      <c r="DNA34" s="557"/>
      <c r="DNB34" s="557"/>
      <c r="DNC34" s="557"/>
      <c r="DND34" s="557"/>
      <c r="DNE34" s="557"/>
      <c r="DNF34" s="557"/>
      <c r="DNG34" s="557"/>
      <c r="DNH34" s="557"/>
      <c r="DNI34" s="557"/>
      <c r="DNJ34" s="557"/>
      <c r="DNK34" s="661"/>
      <c r="DNL34" s="556"/>
      <c r="DNM34" s="557"/>
      <c r="DNN34" s="557"/>
      <c r="DNO34" s="557"/>
      <c r="DNP34" s="557"/>
      <c r="DNQ34" s="557"/>
      <c r="DNR34" s="557"/>
      <c r="DNS34" s="557"/>
      <c r="DNT34" s="557"/>
      <c r="DNU34" s="557"/>
      <c r="DNV34" s="557"/>
      <c r="DNW34" s="557"/>
      <c r="DNX34" s="557"/>
      <c r="DNY34" s="557"/>
      <c r="DNZ34" s="557"/>
      <c r="DOA34" s="557"/>
      <c r="DOB34" s="557"/>
      <c r="DOC34" s="557"/>
      <c r="DOD34" s="557"/>
      <c r="DOE34" s="661"/>
      <c r="DOF34" s="556"/>
      <c r="DOG34" s="557"/>
      <c r="DOH34" s="557"/>
      <c r="DOI34" s="557"/>
      <c r="DOJ34" s="557"/>
      <c r="DOK34" s="557"/>
      <c r="DOL34" s="557"/>
      <c r="DOM34" s="557"/>
      <c r="DON34" s="557"/>
      <c r="DOO34" s="557"/>
      <c r="DOP34" s="557"/>
      <c r="DOQ34" s="557"/>
      <c r="DOR34" s="557"/>
      <c r="DOS34" s="557"/>
      <c r="DOT34" s="557"/>
      <c r="DOU34" s="557"/>
      <c r="DOV34" s="557"/>
      <c r="DOW34" s="557"/>
      <c r="DOX34" s="557"/>
      <c r="DOY34" s="661"/>
      <c r="DOZ34" s="556"/>
      <c r="DPA34" s="557"/>
      <c r="DPB34" s="557"/>
      <c r="DPC34" s="557"/>
      <c r="DPD34" s="557"/>
      <c r="DPE34" s="557"/>
      <c r="DPF34" s="557"/>
      <c r="DPG34" s="557"/>
      <c r="DPH34" s="557"/>
      <c r="DPI34" s="557"/>
      <c r="DPJ34" s="557"/>
      <c r="DPK34" s="557"/>
      <c r="DPL34" s="557"/>
      <c r="DPM34" s="557"/>
      <c r="DPN34" s="557"/>
      <c r="DPO34" s="557"/>
      <c r="DPP34" s="557"/>
      <c r="DPQ34" s="557"/>
      <c r="DPR34" s="557"/>
      <c r="DPS34" s="661"/>
      <c r="DPT34" s="556"/>
      <c r="DPU34" s="557"/>
      <c r="DPV34" s="557"/>
      <c r="DPW34" s="557"/>
      <c r="DPX34" s="557"/>
      <c r="DPY34" s="557"/>
      <c r="DPZ34" s="557"/>
      <c r="DQA34" s="557"/>
      <c r="DQB34" s="557"/>
      <c r="DQC34" s="557"/>
      <c r="DQD34" s="557"/>
      <c r="DQE34" s="557"/>
      <c r="DQF34" s="557"/>
      <c r="DQG34" s="557"/>
      <c r="DQH34" s="557"/>
      <c r="DQI34" s="557"/>
      <c r="DQJ34" s="557"/>
      <c r="DQK34" s="557"/>
      <c r="DQL34" s="557"/>
      <c r="DQM34" s="661"/>
      <c r="DQN34" s="556"/>
      <c r="DQO34" s="557"/>
      <c r="DQP34" s="557"/>
      <c r="DQQ34" s="557"/>
      <c r="DQR34" s="557"/>
      <c r="DQS34" s="557"/>
      <c r="DQT34" s="557"/>
      <c r="DQU34" s="557"/>
      <c r="DQV34" s="557"/>
      <c r="DQW34" s="557"/>
      <c r="DQX34" s="557"/>
      <c r="DQY34" s="557"/>
      <c r="DQZ34" s="557"/>
      <c r="DRA34" s="557"/>
      <c r="DRB34" s="557"/>
      <c r="DRC34" s="557"/>
      <c r="DRD34" s="557"/>
      <c r="DRE34" s="557"/>
      <c r="DRF34" s="557"/>
      <c r="DRG34" s="661"/>
      <c r="DRH34" s="556"/>
      <c r="DRI34" s="557"/>
      <c r="DRJ34" s="557"/>
      <c r="DRK34" s="557"/>
      <c r="DRL34" s="557"/>
      <c r="DRM34" s="557"/>
      <c r="DRN34" s="557"/>
      <c r="DRO34" s="557"/>
      <c r="DRP34" s="557"/>
      <c r="DRQ34" s="557"/>
      <c r="DRR34" s="557"/>
      <c r="DRS34" s="557"/>
      <c r="DRT34" s="557"/>
      <c r="DRU34" s="557"/>
      <c r="DRV34" s="557"/>
      <c r="DRW34" s="557"/>
      <c r="DRX34" s="557"/>
      <c r="DRY34" s="557"/>
      <c r="DRZ34" s="557"/>
      <c r="DSA34" s="661"/>
      <c r="DSB34" s="556"/>
      <c r="DSC34" s="557"/>
      <c r="DSD34" s="557"/>
      <c r="DSE34" s="557"/>
      <c r="DSF34" s="557"/>
      <c r="DSG34" s="557"/>
      <c r="DSH34" s="557"/>
      <c r="DSI34" s="557"/>
      <c r="DSJ34" s="557"/>
      <c r="DSK34" s="557"/>
      <c r="DSL34" s="557"/>
      <c r="DSM34" s="557"/>
      <c r="DSN34" s="557"/>
      <c r="DSO34" s="557"/>
      <c r="DSP34" s="557"/>
      <c r="DSQ34" s="557"/>
      <c r="DSR34" s="557"/>
      <c r="DSS34" s="557"/>
      <c r="DST34" s="557"/>
      <c r="DSU34" s="661"/>
      <c r="DSV34" s="556"/>
      <c r="DSW34" s="557"/>
      <c r="DSX34" s="557"/>
      <c r="DSY34" s="557"/>
      <c r="DSZ34" s="557"/>
      <c r="DTA34" s="557"/>
      <c r="DTB34" s="557"/>
      <c r="DTC34" s="557"/>
      <c r="DTD34" s="557"/>
      <c r="DTE34" s="557"/>
      <c r="DTF34" s="557"/>
      <c r="DTG34" s="557"/>
      <c r="DTH34" s="557"/>
      <c r="DTI34" s="557"/>
      <c r="DTJ34" s="557"/>
      <c r="DTK34" s="557"/>
      <c r="DTL34" s="557"/>
      <c r="DTM34" s="557"/>
      <c r="DTN34" s="557"/>
      <c r="DTO34" s="661"/>
      <c r="DTP34" s="556"/>
      <c r="DTQ34" s="557"/>
      <c r="DTR34" s="557"/>
      <c r="DTS34" s="557"/>
      <c r="DTT34" s="557"/>
      <c r="DTU34" s="557"/>
      <c r="DTV34" s="557"/>
      <c r="DTW34" s="557"/>
      <c r="DTX34" s="557"/>
      <c r="DTY34" s="557"/>
      <c r="DTZ34" s="557"/>
      <c r="DUA34" s="557"/>
      <c r="DUB34" s="557"/>
      <c r="DUC34" s="557"/>
      <c r="DUD34" s="557"/>
      <c r="DUE34" s="557"/>
      <c r="DUF34" s="557"/>
      <c r="DUG34" s="557"/>
      <c r="DUH34" s="557"/>
      <c r="DUI34" s="661"/>
      <c r="DUJ34" s="556"/>
      <c r="DUK34" s="557"/>
      <c r="DUL34" s="557"/>
      <c r="DUM34" s="557"/>
      <c r="DUN34" s="557"/>
      <c r="DUO34" s="557"/>
      <c r="DUP34" s="557"/>
      <c r="DUQ34" s="557"/>
      <c r="DUR34" s="557"/>
      <c r="DUS34" s="557"/>
      <c r="DUT34" s="557"/>
      <c r="DUU34" s="557"/>
      <c r="DUV34" s="557"/>
      <c r="DUW34" s="557"/>
      <c r="DUX34" s="557"/>
      <c r="DUY34" s="557"/>
      <c r="DUZ34" s="557"/>
      <c r="DVA34" s="557"/>
      <c r="DVB34" s="557"/>
      <c r="DVC34" s="661"/>
      <c r="DVD34" s="556"/>
      <c r="DVE34" s="557"/>
      <c r="DVF34" s="557"/>
      <c r="DVG34" s="557"/>
      <c r="DVH34" s="557"/>
      <c r="DVI34" s="557"/>
      <c r="DVJ34" s="557"/>
      <c r="DVK34" s="557"/>
      <c r="DVL34" s="557"/>
      <c r="DVM34" s="557"/>
      <c r="DVN34" s="557"/>
      <c r="DVO34" s="557"/>
      <c r="DVP34" s="557"/>
      <c r="DVQ34" s="557"/>
      <c r="DVR34" s="557"/>
      <c r="DVS34" s="557"/>
      <c r="DVT34" s="557"/>
      <c r="DVU34" s="557"/>
      <c r="DVV34" s="557"/>
      <c r="DVW34" s="661"/>
      <c r="DVX34" s="556"/>
      <c r="DVY34" s="557"/>
      <c r="DVZ34" s="557"/>
      <c r="DWA34" s="557"/>
      <c r="DWB34" s="557"/>
      <c r="DWC34" s="557"/>
      <c r="DWD34" s="557"/>
      <c r="DWE34" s="557"/>
      <c r="DWF34" s="557"/>
      <c r="DWG34" s="557"/>
      <c r="DWH34" s="557"/>
      <c r="DWI34" s="557"/>
      <c r="DWJ34" s="557"/>
      <c r="DWK34" s="557"/>
      <c r="DWL34" s="557"/>
      <c r="DWM34" s="557"/>
      <c r="DWN34" s="557"/>
      <c r="DWO34" s="557"/>
      <c r="DWP34" s="557"/>
      <c r="DWQ34" s="661"/>
      <c r="DWR34" s="556"/>
      <c r="DWS34" s="557"/>
      <c r="DWT34" s="557"/>
      <c r="DWU34" s="557"/>
      <c r="DWV34" s="557"/>
      <c r="DWW34" s="557"/>
      <c r="DWX34" s="557"/>
      <c r="DWY34" s="557"/>
      <c r="DWZ34" s="557"/>
      <c r="DXA34" s="557"/>
      <c r="DXB34" s="557"/>
      <c r="DXC34" s="557"/>
      <c r="DXD34" s="557"/>
      <c r="DXE34" s="557"/>
      <c r="DXF34" s="557"/>
      <c r="DXG34" s="557"/>
      <c r="DXH34" s="557"/>
      <c r="DXI34" s="557"/>
      <c r="DXJ34" s="557"/>
      <c r="DXK34" s="661"/>
      <c r="DXL34" s="556"/>
      <c r="DXM34" s="557"/>
      <c r="DXN34" s="557"/>
      <c r="DXO34" s="557"/>
      <c r="DXP34" s="557"/>
      <c r="DXQ34" s="557"/>
      <c r="DXR34" s="557"/>
      <c r="DXS34" s="557"/>
      <c r="DXT34" s="557"/>
      <c r="DXU34" s="557"/>
      <c r="DXV34" s="557"/>
      <c r="DXW34" s="557"/>
      <c r="DXX34" s="557"/>
      <c r="DXY34" s="557"/>
      <c r="DXZ34" s="557"/>
      <c r="DYA34" s="557"/>
      <c r="DYB34" s="557"/>
      <c r="DYC34" s="557"/>
      <c r="DYD34" s="557"/>
      <c r="DYE34" s="661"/>
      <c r="DYF34" s="556"/>
      <c r="DYG34" s="557"/>
      <c r="DYH34" s="557"/>
      <c r="DYI34" s="557"/>
      <c r="DYJ34" s="557"/>
      <c r="DYK34" s="557"/>
      <c r="DYL34" s="557"/>
      <c r="DYM34" s="557"/>
      <c r="DYN34" s="557"/>
      <c r="DYO34" s="557"/>
      <c r="DYP34" s="557"/>
      <c r="DYQ34" s="557"/>
      <c r="DYR34" s="557"/>
      <c r="DYS34" s="557"/>
      <c r="DYT34" s="557"/>
      <c r="DYU34" s="557"/>
      <c r="DYV34" s="557"/>
      <c r="DYW34" s="557"/>
      <c r="DYX34" s="557"/>
      <c r="DYY34" s="661"/>
      <c r="DYZ34" s="556"/>
      <c r="DZA34" s="557"/>
      <c r="DZB34" s="557"/>
      <c r="DZC34" s="557"/>
      <c r="DZD34" s="557"/>
      <c r="DZE34" s="557"/>
      <c r="DZF34" s="557"/>
      <c r="DZG34" s="557"/>
      <c r="DZH34" s="557"/>
      <c r="DZI34" s="557"/>
      <c r="DZJ34" s="557"/>
      <c r="DZK34" s="557"/>
      <c r="DZL34" s="557"/>
      <c r="DZM34" s="557"/>
      <c r="DZN34" s="557"/>
      <c r="DZO34" s="557"/>
      <c r="DZP34" s="557"/>
      <c r="DZQ34" s="557"/>
      <c r="DZR34" s="557"/>
      <c r="DZS34" s="661"/>
      <c r="DZT34" s="556"/>
      <c r="DZU34" s="557"/>
      <c r="DZV34" s="557"/>
      <c r="DZW34" s="557"/>
      <c r="DZX34" s="557"/>
      <c r="DZY34" s="557"/>
      <c r="DZZ34" s="557"/>
      <c r="EAA34" s="557"/>
      <c r="EAB34" s="557"/>
      <c r="EAC34" s="557"/>
      <c r="EAD34" s="557"/>
      <c r="EAE34" s="557"/>
      <c r="EAF34" s="557"/>
      <c r="EAG34" s="557"/>
      <c r="EAH34" s="557"/>
      <c r="EAI34" s="557"/>
      <c r="EAJ34" s="557"/>
      <c r="EAK34" s="557"/>
      <c r="EAL34" s="557"/>
      <c r="EAM34" s="661"/>
      <c r="EAN34" s="556"/>
      <c r="EAO34" s="557"/>
      <c r="EAP34" s="557"/>
      <c r="EAQ34" s="557"/>
      <c r="EAR34" s="557"/>
      <c r="EAS34" s="557"/>
      <c r="EAT34" s="557"/>
      <c r="EAU34" s="557"/>
      <c r="EAV34" s="557"/>
      <c r="EAW34" s="557"/>
      <c r="EAX34" s="557"/>
      <c r="EAY34" s="557"/>
      <c r="EAZ34" s="557"/>
      <c r="EBA34" s="557"/>
      <c r="EBB34" s="557"/>
      <c r="EBC34" s="557"/>
      <c r="EBD34" s="557"/>
      <c r="EBE34" s="557"/>
      <c r="EBF34" s="557"/>
      <c r="EBG34" s="661"/>
      <c r="EBH34" s="556"/>
      <c r="EBI34" s="557"/>
      <c r="EBJ34" s="557"/>
      <c r="EBK34" s="557"/>
      <c r="EBL34" s="557"/>
      <c r="EBM34" s="557"/>
      <c r="EBN34" s="557"/>
      <c r="EBO34" s="557"/>
      <c r="EBP34" s="557"/>
      <c r="EBQ34" s="557"/>
      <c r="EBR34" s="557"/>
      <c r="EBS34" s="557"/>
      <c r="EBT34" s="557"/>
      <c r="EBU34" s="557"/>
      <c r="EBV34" s="557"/>
      <c r="EBW34" s="557"/>
      <c r="EBX34" s="557"/>
      <c r="EBY34" s="557"/>
      <c r="EBZ34" s="557"/>
      <c r="ECA34" s="661"/>
      <c r="ECB34" s="556"/>
      <c r="ECC34" s="557"/>
      <c r="ECD34" s="557"/>
      <c r="ECE34" s="557"/>
      <c r="ECF34" s="557"/>
      <c r="ECG34" s="557"/>
      <c r="ECH34" s="557"/>
      <c r="ECI34" s="557"/>
      <c r="ECJ34" s="557"/>
      <c r="ECK34" s="557"/>
      <c r="ECL34" s="557"/>
      <c r="ECM34" s="557"/>
      <c r="ECN34" s="557"/>
      <c r="ECO34" s="557"/>
      <c r="ECP34" s="557"/>
      <c r="ECQ34" s="557"/>
      <c r="ECR34" s="557"/>
      <c r="ECS34" s="557"/>
      <c r="ECT34" s="557"/>
      <c r="ECU34" s="661"/>
      <c r="ECV34" s="556"/>
      <c r="ECW34" s="557"/>
      <c r="ECX34" s="557"/>
      <c r="ECY34" s="557"/>
      <c r="ECZ34" s="557"/>
      <c r="EDA34" s="557"/>
      <c r="EDB34" s="557"/>
      <c r="EDC34" s="557"/>
      <c r="EDD34" s="557"/>
      <c r="EDE34" s="557"/>
      <c r="EDF34" s="557"/>
      <c r="EDG34" s="557"/>
      <c r="EDH34" s="557"/>
      <c r="EDI34" s="557"/>
      <c r="EDJ34" s="557"/>
      <c r="EDK34" s="557"/>
      <c r="EDL34" s="557"/>
      <c r="EDM34" s="557"/>
      <c r="EDN34" s="557"/>
      <c r="EDO34" s="661"/>
      <c r="EDP34" s="556"/>
      <c r="EDQ34" s="557"/>
      <c r="EDR34" s="557"/>
      <c r="EDS34" s="557"/>
      <c r="EDT34" s="557"/>
      <c r="EDU34" s="557"/>
      <c r="EDV34" s="557"/>
      <c r="EDW34" s="557"/>
      <c r="EDX34" s="557"/>
      <c r="EDY34" s="557"/>
      <c r="EDZ34" s="557"/>
      <c r="EEA34" s="557"/>
      <c r="EEB34" s="557"/>
      <c r="EEC34" s="557"/>
      <c r="EED34" s="557"/>
      <c r="EEE34" s="557"/>
      <c r="EEF34" s="557"/>
      <c r="EEG34" s="557"/>
      <c r="EEH34" s="557"/>
      <c r="EEI34" s="661"/>
      <c r="EEJ34" s="556"/>
      <c r="EEK34" s="557"/>
      <c r="EEL34" s="557"/>
      <c r="EEM34" s="557"/>
      <c r="EEN34" s="557"/>
      <c r="EEO34" s="557"/>
      <c r="EEP34" s="557"/>
      <c r="EEQ34" s="557"/>
      <c r="EER34" s="557"/>
      <c r="EES34" s="557"/>
      <c r="EET34" s="557"/>
      <c r="EEU34" s="557"/>
      <c r="EEV34" s="557"/>
      <c r="EEW34" s="557"/>
      <c r="EEX34" s="557"/>
      <c r="EEY34" s="557"/>
      <c r="EEZ34" s="557"/>
      <c r="EFA34" s="557"/>
      <c r="EFB34" s="557"/>
      <c r="EFC34" s="661"/>
      <c r="EFD34" s="556"/>
      <c r="EFE34" s="557"/>
      <c r="EFF34" s="557"/>
      <c r="EFG34" s="557"/>
      <c r="EFH34" s="557"/>
      <c r="EFI34" s="557"/>
      <c r="EFJ34" s="557"/>
      <c r="EFK34" s="557"/>
      <c r="EFL34" s="557"/>
      <c r="EFM34" s="557"/>
      <c r="EFN34" s="557"/>
      <c r="EFO34" s="557"/>
      <c r="EFP34" s="557"/>
      <c r="EFQ34" s="557"/>
      <c r="EFR34" s="557"/>
      <c r="EFS34" s="557"/>
      <c r="EFT34" s="557"/>
      <c r="EFU34" s="557"/>
      <c r="EFV34" s="557"/>
      <c r="EFW34" s="661"/>
      <c r="EFX34" s="556"/>
      <c r="EFY34" s="557"/>
      <c r="EFZ34" s="557"/>
      <c r="EGA34" s="557"/>
      <c r="EGB34" s="557"/>
      <c r="EGC34" s="557"/>
      <c r="EGD34" s="557"/>
      <c r="EGE34" s="557"/>
      <c r="EGF34" s="557"/>
      <c r="EGG34" s="557"/>
      <c r="EGH34" s="557"/>
      <c r="EGI34" s="557"/>
      <c r="EGJ34" s="557"/>
      <c r="EGK34" s="557"/>
      <c r="EGL34" s="557"/>
      <c r="EGM34" s="557"/>
      <c r="EGN34" s="557"/>
      <c r="EGO34" s="557"/>
      <c r="EGP34" s="557"/>
      <c r="EGQ34" s="661"/>
      <c r="EGR34" s="556"/>
      <c r="EGS34" s="557"/>
      <c r="EGT34" s="557"/>
      <c r="EGU34" s="557"/>
      <c r="EGV34" s="557"/>
      <c r="EGW34" s="557"/>
      <c r="EGX34" s="557"/>
      <c r="EGY34" s="557"/>
      <c r="EGZ34" s="557"/>
      <c r="EHA34" s="557"/>
      <c r="EHB34" s="557"/>
      <c r="EHC34" s="557"/>
      <c r="EHD34" s="557"/>
      <c r="EHE34" s="557"/>
      <c r="EHF34" s="557"/>
      <c r="EHG34" s="557"/>
      <c r="EHH34" s="557"/>
      <c r="EHI34" s="557"/>
      <c r="EHJ34" s="557"/>
      <c r="EHK34" s="661"/>
      <c r="EHL34" s="556"/>
      <c r="EHM34" s="557"/>
      <c r="EHN34" s="557"/>
      <c r="EHO34" s="557"/>
      <c r="EHP34" s="557"/>
      <c r="EHQ34" s="557"/>
      <c r="EHR34" s="557"/>
      <c r="EHS34" s="557"/>
      <c r="EHT34" s="557"/>
      <c r="EHU34" s="557"/>
      <c r="EHV34" s="557"/>
      <c r="EHW34" s="557"/>
      <c r="EHX34" s="557"/>
      <c r="EHY34" s="557"/>
      <c r="EHZ34" s="557"/>
      <c r="EIA34" s="557"/>
      <c r="EIB34" s="557"/>
      <c r="EIC34" s="557"/>
      <c r="EID34" s="557"/>
      <c r="EIE34" s="661"/>
      <c r="EIF34" s="556"/>
      <c r="EIG34" s="557"/>
      <c r="EIH34" s="557"/>
      <c r="EII34" s="557"/>
      <c r="EIJ34" s="557"/>
      <c r="EIK34" s="557"/>
      <c r="EIL34" s="557"/>
      <c r="EIM34" s="557"/>
      <c r="EIN34" s="557"/>
      <c r="EIO34" s="557"/>
      <c r="EIP34" s="557"/>
      <c r="EIQ34" s="557"/>
      <c r="EIR34" s="557"/>
      <c r="EIS34" s="557"/>
      <c r="EIT34" s="557"/>
      <c r="EIU34" s="557"/>
      <c r="EIV34" s="557"/>
      <c r="EIW34" s="557"/>
      <c r="EIX34" s="557"/>
      <c r="EIY34" s="661"/>
      <c r="EIZ34" s="556"/>
      <c r="EJA34" s="557"/>
      <c r="EJB34" s="557"/>
      <c r="EJC34" s="557"/>
      <c r="EJD34" s="557"/>
      <c r="EJE34" s="557"/>
      <c r="EJF34" s="557"/>
      <c r="EJG34" s="557"/>
      <c r="EJH34" s="557"/>
      <c r="EJI34" s="557"/>
      <c r="EJJ34" s="557"/>
      <c r="EJK34" s="557"/>
      <c r="EJL34" s="557"/>
      <c r="EJM34" s="557"/>
      <c r="EJN34" s="557"/>
      <c r="EJO34" s="557"/>
      <c r="EJP34" s="557"/>
      <c r="EJQ34" s="557"/>
      <c r="EJR34" s="557"/>
      <c r="EJS34" s="661"/>
      <c r="EJT34" s="556"/>
      <c r="EJU34" s="557"/>
      <c r="EJV34" s="557"/>
      <c r="EJW34" s="557"/>
      <c r="EJX34" s="557"/>
      <c r="EJY34" s="557"/>
      <c r="EJZ34" s="557"/>
      <c r="EKA34" s="557"/>
      <c r="EKB34" s="557"/>
      <c r="EKC34" s="557"/>
      <c r="EKD34" s="557"/>
      <c r="EKE34" s="557"/>
      <c r="EKF34" s="557"/>
      <c r="EKG34" s="557"/>
      <c r="EKH34" s="557"/>
      <c r="EKI34" s="557"/>
      <c r="EKJ34" s="557"/>
      <c r="EKK34" s="557"/>
      <c r="EKL34" s="557"/>
      <c r="EKM34" s="661"/>
      <c r="EKN34" s="556"/>
      <c r="EKO34" s="557"/>
      <c r="EKP34" s="557"/>
      <c r="EKQ34" s="557"/>
      <c r="EKR34" s="557"/>
      <c r="EKS34" s="557"/>
      <c r="EKT34" s="557"/>
      <c r="EKU34" s="557"/>
      <c r="EKV34" s="557"/>
      <c r="EKW34" s="557"/>
      <c r="EKX34" s="557"/>
      <c r="EKY34" s="557"/>
      <c r="EKZ34" s="557"/>
      <c r="ELA34" s="557"/>
      <c r="ELB34" s="557"/>
      <c r="ELC34" s="557"/>
      <c r="ELD34" s="557"/>
      <c r="ELE34" s="557"/>
      <c r="ELF34" s="557"/>
      <c r="ELG34" s="661"/>
      <c r="ELH34" s="556"/>
      <c r="ELI34" s="557"/>
      <c r="ELJ34" s="557"/>
      <c r="ELK34" s="557"/>
      <c r="ELL34" s="557"/>
      <c r="ELM34" s="557"/>
      <c r="ELN34" s="557"/>
      <c r="ELO34" s="557"/>
      <c r="ELP34" s="557"/>
      <c r="ELQ34" s="557"/>
      <c r="ELR34" s="557"/>
      <c r="ELS34" s="557"/>
      <c r="ELT34" s="557"/>
      <c r="ELU34" s="557"/>
      <c r="ELV34" s="557"/>
      <c r="ELW34" s="557"/>
      <c r="ELX34" s="557"/>
      <c r="ELY34" s="557"/>
      <c r="ELZ34" s="557"/>
      <c r="EMA34" s="661"/>
      <c r="EMB34" s="556"/>
      <c r="EMC34" s="557"/>
      <c r="EMD34" s="557"/>
      <c r="EME34" s="557"/>
      <c r="EMF34" s="557"/>
      <c r="EMG34" s="557"/>
      <c r="EMH34" s="557"/>
      <c r="EMI34" s="557"/>
      <c r="EMJ34" s="557"/>
      <c r="EMK34" s="557"/>
      <c r="EML34" s="557"/>
      <c r="EMM34" s="557"/>
      <c r="EMN34" s="557"/>
      <c r="EMO34" s="557"/>
      <c r="EMP34" s="557"/>
      <c r="EMQ34" s="557"/>
      <c r="EMR34" s="557"/>
      <c r="EMS34" s="557"/>
      <c r="EMT34" s="557"/>
      <c r="EMU34" s="661"/>
      <c r="EMV34" s="556"/>
      <c r="EMW34" s="557"/>
      <c r="EMX34" s="557"/>
      <c r="EMY34" s="557"/>
      <c r="EMZ34" s="557"/>
      <c r="ENA34" s="557"/>
      <c r="ENB34" s="557"/>
      <c r="ENC34" s="557"/>
      <c r="END34" s="557"/>
      <c r="ENE34" s="557"/>
      <c r="ENF34" s="557"/>
      <c r="ENG34" s="557"/>
      <c r="ENH34" s="557"/>
      <c r="ENI34" s="557"/>
      <c r="ENJ34" s="557"/>
      <c r="ENK34" s="557"/>
      <c r="ENL34" s="557"/>
      <c r="ENM34" s="557"/>
      <c r="ENN34" s="557"/>
      <c r="ENO34" s="661"/>
      <c r="ENP34" s="556"/>
      <c r="ENQ34" s="557"/>
      <c r="ENR34" s="557"/>
      <c r="ENS34" s="557"/>
      <c r="ENT34" s="557"/>
      <c r="ENU34" s="557"/>
      <c r="ENV34" s="557"/>
      <c r="ENW34" s="557"/>
      <c r="ENX34" s="557"/>
      <c r="ENY34" s="557"/>
      <c r="ENZ34" s="557"/>
      <c r="EOA34" s="557"/>
      <c r="EOB34" s="557"/>
      <c r="EOC34" s="557"/>
      <c r="EOD34" s="557"/>
      <c r="EOE34" s="557"/>
      <c r="EOF34" s="557"/>
      <c r="EOG34" s="557"/>
      <c r="EOH34" s="557"/>
      <c r="EOI34" s="661"/>
      <c r="EOJ34" s="556"/>
      <c r="EOK34" s="557"/>
      <c r="EOL34" s="557"/>
      <c r="EOM34" s="557"/>
      <c r="EON34" s="557"/>
      <c r="EOO34" s="557"/>
      <c r="EOP34" s="557"/>
      <c r="EOQ34" s="557"/>
      <c r="EOR34" s="557"/>
      <c r="EOS34" s="557"/>
      <c r="EOT34" s="557"/>
      <c r="EOU34" s="557"/>
      <c r="EOV34" s="557"/>
      <c r="EOW34" s="557"/>
      <c r="EOX34" s="557"/>
      <c r="EOY34" s="557"/>
      <c r="EOZ34" s="557"/>
      <c r="EPA34" s="557"/>
      <c r="EPB34" s="557"/>
      <c r="EPC34" s="661"/>
      <c r="EPD34" s="556"/>
      <c r="EPE34" s="557"/>
      <c r="EPF34" s="557"/>
      <c r="EPG34" s="557"/>
      <c r="EPH34" s="557"/>
      <c r="EPI34" s="557"/>
      <c r="EPJ34" s="557"/>
      <c r="EPK34" s="557"/>
      <c r="EPL34" s="557"/>
      <c r="EPM34" s="557"/>
      <c r="EPN34" s="557"/>
      <c r="EPO34" s="557"/>
      <c r="EPP34" s="557"/>
      <c r="EPQ34" s="557"/>
      <c r="EPR34" s="557"/>
      <c r="EPS34" s="557"/>
      <c r="EPT34" s="557"/>
      <c r="EPU34" s="557"/>
      <c r="EPV34" s="557"/>
      <c r="EPW34" s="661"/>
      <c r="EPX34" s="556"/>
      <c r="EPY34" s="557"/>
      <c r="EPZ34" s="557"/>
      <c r="EQA34" s="557"/>
      <c r="EQB34" s="557"/>
      <c r="EQC34" s="557"/>
      <c r="EQD34" s="557"/>
      <c r="EQE34" s="557"/>
      <c r="EQF34" s="557"/>
      <c r="EQG34" s="557"/>
      <c r="EQH34" s="557"/>
      <c r="EQI34" s="557"/>
      <c r="EQJ34" s="557"/>
      <c r="EQK34" s="557"/>
      <c r="EQL34" s="557"/>
      <c r="EQM34" s="557"/>
      <c r="EQN34" s="557"/>
      <c r="EQO34" s="557"/>
      <c r="EQP34" s="557"/>
      <c r="EQQ34" s="661"/>
      <c r="EQR34" s="556"/>
      <c r="EQS34" s="557"/>
      <c r="EQT34" s="557"/>
      <c r="EQU34" s="557"/>
      <c r="EQV34" s="557"/>
      <c r="EQW34" s="557"/>
      <c r="EQX34" s="557"/>
      <c r="EQY34" s="557"/>
      <c r="EQZ34" s="557"/>
      <c r="ERA34" s="557"/>
      <c r="ERB34" s="557"/>
      <c r="ERC34" s="557"/>
      <c r="ERD34" s="557"/>
      <c r="ERE34" s="557"/>
      <c r="ERF34" s="557"/>
      <c r="ERG34" s="557"/>
      <c r="ERH34" s="557"/>
      <c r="ERI34" s="557"/>
      <c r="ERJ34" s="557"/>
      <c r="ERK34" s="661"/>
      <c r="ERL34" s="556"/>
      <c r="ERM34" s="557"/>
      <c r="ERN34" s="557"/>
      <c r="ERO34" s="557"/>
      <c r="ERP34" s="557"/>
      <c r="ERQ34" s="557"/>
      <c r="ERR34" s="557"/>
      <c r="ERS34" s="557"/>
      <c r="ERT34" s="557"/>
      <c r="ERU34" s="557"/>
      <c r="ERV34" s="557"/>
      <c r="ERW34" s="557"/>
      <c r="ERX34" s="557"/>
      <c r="ERY34" s="557"/>
      <c r="ERZ34" s="557"/>
      <c r="ESA34" s="557"/>
      <c r="ESB34" s="557"/>
      <c r="ESC34" s="557"/>
      <c r="ESD34" s="557"/>
      <c r="ESE34" s="661"/>
      <c r="ESF34" s="556"/>
      <c r="ESG34" s="557"/>
      <c r="ESH34" s="557"/>
      <c r="ESI34" s="557"/>
      <c r="ESJ34" s="557"/>
      <c r="ESK34" s="557"/>
      <c r="ESL34" s="557"/>
      <c r="ESM34" s="557"/>
      <c r="ESN34" s="557"/>
      <c r="ESO34" s="557"/>
      <c r="ESP34" s="557"/>
      <c r="ESQ34" s="557"/>
      <c r="ESR34" s="557"/>
      <c r="ESS34" s="557"/>
      <c r="EST34" s="557"/>
      <c r="ESU34" s="557"/>
      <c r="ESV34" s="557"/>
      <c r="ESW34" s="557"/>
      <c r="ESX34" s="557"/>
      <c r="ESY34" s="661"/>
      <c r="ESZ34" s="556"/>
      <c r="ETA34" s="557"/>
      <c r="ETB34" s="557"/>
      <c r="ETC34" s="557"/>
      <c r="ETD34" s="557"/>
      <c r="ETE34" s="557"/>
      <c r="ETF34" s="557"/>
      <c r="ETG34" s="557"/>
      <c r="ETH34" s="557"/>
      <c r="ETI34" s="557"/>
      <c r="ETJ34" s="557"/>
      <c r="ETK34" s="557"/>
      <c r="ETL34" s="557"/>
      <c r="ETM34" s="557"/>
      <c r="ETN34" s="557"/>
      <c r="ETO34" s="557"/>
      <c r="ETP34" s="557"/>
      <c r="ETQ34" s="557"/>
      <c r="ETR34" s="557"/>
      <c r="ETS34" s="661"/>
      <c r="ETT34" s="556"/>
      <c r="ETU34" s="557"/>
      <c r="ETV34" s="557"/>
      <c r="ETW34" s="557"/>
      <c r="ETX34" s="557"/>
      <c r="ETY34" s="557"/>
      <c r="ETZ34" s="557"/>
      <c r="EUA34" s="557"/>
      <c r="EUB34" s="557"/>
      <c r="EUC34" s="557"/>
      <c r="EUD34" s="557"/>
      <c r="EUE34" s="557"/>
      <c r="EUF34" s="557"/>
      <c r="EUG34" s="557"/>
      <c r="EUH34" s="557"/>
      <c r="EUI34" s="557"/>
      <c r="EUJ34" s="557"/>
      <c r="EUK34" s="557"/>
      <c r="EUL34" s="557"/>
      <c r="EUM34" s="661"/>
      <c r="EUN34" s="556"/>
      <c r="EUO34" s="557"/>
      <c r="EUP34" s="557"/>
      <c r="EUQ34" s="557"/>
      <c r="EUR34" s="557"/>
      <c r="EUS34" s="557"/>
      <c r="EUT34" s="557"/>
      <c r="EUU34" s="557"/>
      <c r="EUV34" s="557"/>
      <c r="EUW34" s="557"/>
      <c r="EUX34" s="557"/>
      <c r="EUY34" s="557"/>
      <c r="EUZ34" s="557"/>
      <c r="EVA34" s="557"/>
      <c r="EVB34" s="557"/>
      <c r="EVC34" s="557"/>
      <c r="EVD34" s="557"/>
      <c r="EVE34" s="557"/>
      <c r="EVF34" s="557"/>
      <c r="EVG34" s="661"/>
      <c r="EVH34" s="556"/>
      <c r="EVI34" s="557"/>
      <c r="EVJ34" s="557"/>
      <c r="EVK34" s="557"/>
      <c r="EVL34" s="557"/>
      <c r="EVM34" s="557"/>
      <c r="EVN34" s="557"/>
      <c r="EVO34" s="557"/>
      <c r="EVP34" s="557"/>
      <c r="EVQ34" s="557"/>
      <c r="EVR34" s="557"/>
      <c r="EVS34" s="557"/>
      <c r="EVT34" s="557"/>
      <c r="EVU34" s="557"/>
      <c r="EVV34" s="557"/>
      <c r="EVW34" s="557"/>
      <c r="EVX34" s="557"/>
      <c r="EVY34" s="557"/>
      <c r="EVZ34" s="557"/>
      <c r="EWA34" s="661"/>
      <c r="EWB34" s="556"/>
      <c r="EWC34" s="557"/>
      <c r="EWD34" s="557"/>
      <c r="EWE34" s="557"/>
      <c r="EWF34" s="557"/>
      <c r="EWG34" s="557"/>
      <c r="EWH34" s="557"/>
      <c r="EWI34" s="557"/>
      <c r="EWJ34" s="557"/>
      <c r="EWK34" s="557"/>
      <c r="EWL34" s="557"/>
      <c r="EWM34" s="557"/>
      <c r="EWN34" s="557"/>
      <c r="EWO34" s="557"/>
      <c r="EWP34" s="557"/>
      <c r="EWQ34" s="557"/>
      <c r="EWR34" s="557"/>
      <c r="EWS34" s="557"/>
      <c r="EWT34" s="557"/>
      <c r="EWU34" s="661"/>
      <c r="EWV34" s="556"/>
      <c r="EWW34" s="557"/>
      <c r="EWX34" s="557"/>
      <c r="EWY34" s="557"/>
      <c r="EWZ34" s="557"/>
      <c r="EXA34" s="557"/>
      <c r="EXB34" s="557"/>
      <c r="EXC34" s="557"/>
      <c r="EXD34" s="557"/>
      <c r="EXE34" s="557"/>
      <c r="EXF34" s="557"/>
      <c r="EXG34" s="557"/>
      <c r="EXH34" s="557"/>
      <c r="EXI34" s="557"/>
      <c r="EXJ34" s="557"/>
      <c r="EXK34" s="557"/>
      <c r="EXL34" s="557"/>
      <c r="EXM34" s="557"/>
      <c r="EXN34" s="557"/>
      <c r="EXO34" s="661"/>
      <c r="EXP34" s="556"/>
      <c r="EXQ34" s="557"/>
      <c r="EXR34" s="557"/>
      <c r="EXS34" s="557"/>
      <c r="EXT34" s="557"/>
      <c r="EXU34" s="557"/>
      <c r="EXV34" s="557"/>
      <c r="EXW34" s="557"/>
      <c r="EXX34" s="557"/>
      <c r="EXY34" s="557"/>
      <c r="EXZ34" s="557"/>
      <c r="EYA34" s="557"/>
      <c r="EYB34" s="557"/>
      <c r="EYC34" s="557"/>
      <c r="EYD34" s="557"/>
      <c r="EYE34" s="557"/>
      <c r="EYF34" s="557"/>
      <c r="EYG34" s="557"/>
      <c r="EYH34" s="557"/>
      <c r="EYI34" s="661"/>
      <c r="EYJ34" s="556"/>
      <c r="EYK34" s="557"/>
      <c r="EYL34" s="557"/>
      <c r="EYM34" s="557"/>
      <c r="EYN34" s="557"/>
      <c r="EYO34" s="557"/>
      <c r="EYP34" s="557"/>
      <c r="EYQ34" s="557"/>
      <c r="EYR34" s="557"/>
      <c r="EYS34" s="557"/>
      <c r="EYT34" s="557"/>
      <c r="EYU34" s="557"/>
      <c r="EYV34" s="557"/>
      <c r="EYW34" s="557"/>
      <c r="EYX34" s="557"/>
      <c r="EYY34" s="557"/>
      <c r="EYZ34" s="557"/>
      <c r="EZA34" s="557"/>
      <c r="EZB34" s="557"/>
      <c r="EZC34" s="661"/>
      <c r="EZD34" s="556"/>
      <c r="EZE34" s="557"/>
      <c r="EZF34" s="557"/>
      <c r="EZG34" s="557"/>
      <c r="EZH34" s="557"/>
      <c r="EZI34" s="557"/>
      <c r="EZJ34" s="557"/>
      <c r="EZK34" s="557"/>
      <c r="EZL34" s="557"/>
      <c r="EZM34" s="557"/>
      <c r="EZN34" s="557"/>
      <c r="EZO34" s="557"/>
      <c r="EZP34" s="557"/>
      <c r="EZQ34" s="557"/>
      <c r="EZR34" s="557"/>
      <c r="EZS34" s="557"/>
      <c r="EZT34" s="557"/>
      <c r="EZU34" s="557"/>
      <c r="EZV34" s="557"/>
      <c r="EZW34" s="661"/>
      <c r="EZX34" s="556"/>
      <c r="EZY34" s="557"/>
      <c r="EZZ34" s="557"/>
      <c r="FAA34" s="557"/>
      <c r="FAB34" s="557"/>
      <c r="FAC34" s="557"/>
      <c r="FAD34" s="557"/>
      <c r="FAE34" s="557"/>
      <c r="FAF34" s="557"/>
      <c r="FAG34" s="557"/>
      <c r="FAH34" s="557"/>
      <c r="FAI34" s="557"/>
      <c r="FAJ34" s="557"/>
      <c r="FAK34" s="557"/>
      <c r="FAL34" s="557"/>
      <c r="FAM34" s="557"/>
      <c r="FAN34" s="557"/>
      <c r="FAO34" s="557"/>
      <c r="FAP34" s="557"/>
      <c r="FAQ34" s="661"/>
      <c r="FAR34" s="556"/>
      <c r="FAS34" s="557"/>
      <c r="FAT34" s="557"/>
      <c r="FAU34" s="557"/>
      <c r="FAV34" s="557"/>
      <c r="FAW34" s="557"/>
      <c r="FAX34" s="557"/>
      <c r="FAY34" s="557"/>
      <c r="FAZ34" s="557"/>
      <c r="FBA34" s="557"/>
      <c r="FBB34" s="557"/>
      <c r="FBC34" s="557"/>
      <c r="FBD34" s="557"/>
      <c r="FBE34" s="557"/>
      <c r="FBF34" s="557"/>
      <c r="FBG34" s="557"/>
      <c r="FBH34" s="557"/>
      <c r="FBI34" s="557"/>
      <c r="FBJ34" s="557"/>
      <c r="FBK34" s="661"/>
      <c r="FBL34" s="556"/>
      <c r="FBM34" s="557"/>
      <c r="FBN34" s="557"/>
      <c r="FBO34" s="557"/>
      <c r="FBP34" s="557"/>
      <c r="FBQ34" s="557"/>
      <c r="FBR34" s="557"/>
      <c r="FBS34" s="557"/>
      <c r="FBT34" s="557"/>
      <c r="FBU34" s="557"/>
      <c r="FBV34" s="557"/>
      <c r="FBW34" s="557"/>
      <c r="FBX34" s="557"/>
      <c r="FBY34" s="557"/>
      <c r="FBZ34" s="557"/>
      <c r="FCA34" s="557"/>
      <c r="FCB34" s="557"/>
      <c r="FCC34" s="557"/>
      <c r="FCD34" s="557"/>
      <c r="FCE34" s="661"/>
      <c r="FCF34" s="556"/>
      <c r="FCG34" s="557"/>
      <c r="FCH34" s="557"/>
      <c r="FCI34" s="557"/>
      <c r="FCJ34" s="557"/>
      <c r="FCK34" s="557"/>
      <c r="FCL34" s="557"/>
      <c r="FCM34" s="557"/>
      <c r="FCN34" s="557"/>
      <c r="FCO34" s="557"/>
      <c r="FCP34" s="557"/>
      <c r="FCQ34" s="557"/>
      <c r="FCR34" s="557"/>
      <c r="FCS34" s="557"/>
      <c r="FCT34" s="557"/>
      <c r="FCU34" s="557"/>
      <c r="FCV34" s="557"/>
      <c r="FCW34" s="557"/>
      <c r="FCX34" s="557"/>
      <c r="FCY34" s="661"/>
      <c r="FCZ34" s="556"/>
      <c r="FDA34" s="557"/>
      <c r="FDB34" s="557"/>
      <c r="FDC34" s="557"/>
      <c r="FDD34" s="557"/>
      <c r="FDE34" s="557"/>
      <c r="FDF34" s="557"/>
      <c r="FDG34" s="557"/>
      <c r="FDH34" s="557"/>
      <c r="FDI34" s="557"/>
      <c r="FDJ34" s="557"/>
      <c r="FDK34" s="557"/>
      <c r="FDL34" s="557"/>
      <c r="FDM34" s="557"/>
      <c r="FDN34" s="557"/>
      <c r="FDO34" s="557"/>
      <c r="FDP34" s="557"/>
      <c r="FDQ34" s="557"/>
      <c r="FDR34" s="557"/>
      <c r="FDS34" s="661"/>
      <c r="FDT34" s="556"/>
      <c r="FDU34" s="557"/>
      <c r="FDV34" s="557"/>
      <c r="FDW34" s="557"/>
      <c r="FDX34" s="557"/>
      <c r="FDY34" s="557"/>
      <c r="FDZ34" s="557"/>
      <c r="FEA34" s="557"/>
      <c r="FEB34" s="557"/>
      <c r="FEC34" s="557"/>
      <c r="FED34" s="557"/>
      <c r="FEE34" s="557"/>
      <c r="FEF34" s="557"/>
      <c r="FEG34" s="557"/>
      <c r="FEH34" s="557"/>
      <c r="FEI34" s="557"/>
      <c r="FEJ34" s="557"/>
      <c r="FEK34" s="557"/>
      <c r="FEL34" s="557"/>
      <c r="FEM34" s="661"/>
      <c r="FEN34" s="556"/>
      <c r="FEO34" s="557"/>
      <c r="FEP34" s="557"/>
      <c r="FEQ34" s="557"/>
      <c r="FER34" s="557"/>
      <c r="FES34" s="557"/>
      <c r="FET34" s="557"/>
      <c r="FEU34" s="557"/>
      <c r="FEV34" s="557"/>
      <c r="FEW34" s="557"/>
      <c r="FEX34" s="557"/>
      <c r="FEY34" s="557"/>
      <c r="FEZ34" s="557"/>
      <c r="FFA34" s="557"/>
      <c r="FFB34" s="557"/>
      <c r="FFC34" s="557"/>
      <c r="FFD34" s="557"/>
      <c r="FFE34" s="557"/>
      <c r="FFF34" s="557"/>
      <c r="FFG34" s="661"/>
      <c r="FFH34" s="556"/>
      <c r="FFI34" s="557"/>
      <c r="FFJ34" s="557"/>
      <c r="FFK34" s="557"/>
      <c r="FFL34" s="557"/>
      <c r="FFM34" s="557"/>
      <c r="FFN34" s="557"/>
      <c r="FFO34" s="557"/>
      <c r="FFP34" s="557"/>
      <c r="FFQ34" s="557"/>
      <c r="FFR34" s="557"/>
      <c r="FFS34" s="557"/>
      <c r="FFT34" s="557"/>
      <c r="FFU34" s="557"/>
      <c r="FFV34" s="557"/>
      <c r="FFW34" s="557"/>
      <c r="FFX34" s="557"/>
      <c r="FFY34" s="557"/>
      <c r="FFZ34" s="557"/>
      <c r="FGA34" s="661"/>
      <c r="FGB34" s="556"/>
      <c r="FGC34" s="557"/>
      <c r="FGD34" s="557"/>
      <c r="FGE34" s="557"/>
      <c r="FGF34" s="557"/>
      <c r="FGG34" s="557"/>
      <c r="FGH34" s="557"/>
      <c r="FGI34" s="557"/>
      <c r="FGJ34" s="557"/>
      <c r="FGK34" s="557"/>
      <c r="FGL34" s="557"/>
      <c r="FGM34" s="557"/>
      <c r="FGN34" s="557"/>
      <c r="FGO34" s="557"/>
      <c r="FGP34" s="557"/>
      <c r="FGQ34" s="557"/>
      <c r="FGR34" s="557"/>
      <c r="FGS34" s="557"/>
      <c r="FGT34" s="557"/>
      <c r="FGU34" s="661"/>
      <c r="FGV34" s="556"/>
      <c r="FGW34" s="557"/>
      <c r="FGX34" s="557"/>
      <c r="FGY34" s="557"/>
      <c r="FGZ34" s="557"/>
      <c r="FHA34" s="557"/>
      <c r="FHB34" s="557"/>
      <c r="FHC34" s="557"/>
      <c r="FHD34" s="557"/>
      <c r="FHE34" s="557"/>
      <c r="FHF34" s="557"/>
      <c r="FHG34" s="557"/>
      <c r="FHH34" s="557"/>
      <c r="FHI34" s="557"/>
      <c r="FHJ34" s="557"/>
      <c r="FHK34" s="557"/>
      <c r="FHL34" s="557"/>
      <c r="FHM34" s="557"/>
      <c r="FHN34" s="557"/>
      <c r="FHO34" s="661"/>
      <c r="FHP34" s="556"/>
      <c r="FHQ34" s="557"/>
      <c r="FHR34" s="557"/>
      <c r="FHS34" s="557"/>
      <c r="FHT34" s="557"/>
      <c r="FHU34" s="557"/>
      <c r="FHV34" s="557"/>
      <c r="FHW34" s="557"/>
      <c r="FHX34" s="557"/>
      <c r="FHY34" s="557"/>
      <c r="FHZ34" s="557"/>
      <c r="FIA34" s="557"/>
      <c r="FIB34" s="557"/>
      <c r="FIC34" s="557"/>
      <c r="FID34" s="557"/>
      <c r="FIE34" s="557"/>
      <c r="FIF34" s="557"/>
      <c r="FIG34" s="557"/>
      <c r="FIH34" s="557"/>
      <c r="FII34" s="661"/>
      <c r="FIJ34" s="556"/>
      <c r="FIK34" s="557"/>
      <c r="FIL34" s="557"/>
      <c r="FIM34" s="557"/>
      <c r="FIN34" s="557"/>
      <c r="FIO34" s="557"/>
      <c r="FIP34" s="557"/>
      <c r="FIQ34" s="557"/>
      <c r="FIR34" s="557"/>
      <c r="FIS34" s="557"/>
      <c r="FIT34" s="557"/>
      <c r="FIU34" s="557"/>
      <c r="FIV34" s="557"/>
      <c r="FIW34" s="557"/>
      <c r="FIX34" s="557"/>
      <c r="FIY34" s="557"/>
      <c r="FIZ34" s="557"/>
      <c r="FJA34" s="557"/>
      <c r="FJB34" s="557"/>
      <c r="FJC34" s="661"/>
      <c r="FJD34" s="556"/>
      <c r="FJE34" s="557"/>
      <c r="FJF34" s="557"/>
      <c r="FJG34" s="557"/>
      <c r="FJH34" s="557"/>
      <c r="FJI34" s="557"/>
      <c r="FJJ34" s="557"/>
      <c r="FJK34" s="557"/>
      <c r="FJL34" s="557"/>
      <c r="FJM34" s="557"/>
      <c r="FJN34" s="557"/>
      <c r="FJO34" s="557"/>
      <c r="FJP34" s="557"/>
      <c r="FJQ34" s="557"/>
      <c r="FJR34" s="557"/>
      <c r="FJS34" s="557"/>
      <c r="FJT34" s="557"/>
      <c r="FJU34" s="557"/>
      <c r="FJV34" s="557"/>
      <c r="FJW34" s="661"/>
      <c r="FJX34" s="556"/>
      <c r="FJY34" s="557"/>
      <c r="FJZ34" s="557"/>
      <c r="FKA34" s="557"/>
      <c r="FKB34" s="557"/>
      <c r="FKC34" s="557"/>
      <c r="FKD34" s="557"/>
      <c r="FKE34" s="557"/>
      <c r="FKF34" s="557"/>
      <c r="FKG34" s="557"/>
      <c r="FKH34" s="557"/>
      <c r="FKI34" s="557"/>
      <c r="FKJ34" s="557"/>
      <c r="FKK34" s="557"/>
      <c r="FKL34" s="557"/>
      <c r="FKM34" s="557"/>
      <c r="FKN34" s="557"/>
      <c r="FKO34" s="557"/>
      <c r="FKP34" s="557"/>
      <c r="FKQ34" s="661"/>
      <c r="FKR34" s="556"/>
      <c r="FKS34" s="557"/>
      <c r="FKT34" s="557"/>
      <c r="FKU34" s="557"/>
      <c r="FKV34" s="557"/>
      <c r="FKW34" s="557"/>
      <c r="FKX34" s="557"/>
      <c r="FKY34" s="557"/>
      <c r="FKZ34" s="557"/>
      <c r="FLA34" s="557"/>
      <c r="FLB34" s="557"/>
      <c r="FLC34" s="557"/>
      <c r="FLD34" s="557"/>
      <c r="FLE34" s="557"/>
      <c r="FLF34" s="557"/>
      <c r="FLG34" s="557"/>
      <c r="FLH34" s="557"/>
      <c r="FLI34" s="557"/>
      <c r="FLJ34" s="557"/>
      <c r="FLK34" s="661"/>
      <c r="FLL34" s="556"/>
      <c r="FLM34" s="557"/>
      <c r="FLN34" s="557"/>
      <c r="FLO34" s="557"/>
      <c r="FLP34" s="557"/>
      <c r="FLQ34" s="557"/>
      <c r="FLR34" s="557"/>
      <c r="FLS34" s="557"/>
      <c r="FLT34" s="557"/>
      <c r="FLU34" s="557"/>
      <c r="FLV34" s="557"/>
      <c r="FLW34" s="557"/>
      <c r="FLX34" s="557"/>
      <c r="FLY34" s="557"/>
      <c r="FLZ34" s="557"/>
      <c r="FMA34" s="557"/>
      <c r="FMB34" s="557"/>
      <c r="FMC34" s="557"/>
      <c r="FMD34" s="557"/>
      <c r="FME34" s="661"/>
      <c r="FMF34" s="556"/>
      <c r="FMG34" s="557"/>
      <c r="FMH34" s="557"/>
      <c r="FMI34" s="557"/>
      <c r="FMJ34" s="557"/>
      <c r="FMK34" s="557"/>
      <c r="FML34" s="557"/>
      <c r="FMM34" s="557"/>
      <c r="FMN34" s="557"/>
      <c r="FMO34" s="557"/>
      <c r="FMP34" s="557"/>
      <c r="FMQ34" s="557"/>
      <c r="FMR34" s="557"/>
      <c r="FMS34" s="557"/>
      <c r="FMT34" s="557"/>
      <c r="FMU34" s="557"/>
      <c r="FMV34" s="557"/>
      <c r="FMW34" s="557"/>
      <c r="FMX34" s="557"/>
      <c r="FMY34" s="661"/>
      <c r="FMZ34" s="556"/>
      <c r="FNA34" s="557"/>
      <c r="FNB34" s="557"/>
      <c r="FNC34" s="557"/>
      <c r="FND34" s="557"/>
      <c r="FNE34" s="557"/>
      <c r="FNF34" s="557"/>
      <c r="FNG34" s="557"/>
      <c r="FNH34" s="557"/>
      <c r="FNI34" s="557"/>
      <c r="FNJ34" s="557"/>
      <c r="FNK34" s="557"/>
      <c r="FNL34" s="557"/>
      <c r="FNM34" s="557"/>
      <c r="FNN34" s="557"/>
      <c r="FNO34" s="557"/>
      <c r="FNP34" s="557"/>
      <c r="FNQ34" s="557"/>
      <c r="FNR34" s="557"/>
      <c r="FNS34" s="661"/>
      <c r="FNT34" s="556"/>
      <c r="FNU34" s="557"/>
      <c r="FNV34" s="557"/>
      <c r="FNW34" s="557"/>
      <c r="FNX34" s="557"/>
      <c r="FNY34" s="557"/>
      <c r="FNZ34" s="557"/>
      <c r="FOA34" s="557"/>
      <c r="FOB34" s="557"/>
      <c r="FOC34" s="557"/>
      <c r="FOD34" s="557"/>
      <c r="FOE34" s="557"/>
      <c r="FOF34" s="557"/>
      <c r="FOG34" s="557"/>
      <c r="FOH34" s="557"/>
      <c r="FOI34" s="557"/>
      <c r="FOJ34" s="557"/>
      <c r="FOK34" s="557"/>
      <c r="FOL34" s="557"/>
      <c r="FOM34" s="661"/>
      <c r="FON34" s="556"/>
      <c r="FOO34" s="557"/>
      <c r="FOP34" s="557"/>
      <c r="FOQ34" s="557"/>
      <c r="FOR34" s="557"/>
      <c r="FOS34" s="557"/>
      <c r="FOT34" s="557"/>
      <c r="FOU34" s="557"/>
      <c r="FOV34" s="557"/>
      <c r="FOW34" s="557"/>
      <c r="FOX34" s="557"/>
      <c r="FOY34" s="557"/>
      <c r="FOZ34" s="557"/>
      <c r="FPA34" s="557"/>
      <c r="FPB34" s="557"/>
      <c r="FPC34" s="557"/>
      <c r="FPD34" s="557"/>
      <c r="FPE34" s="557"/>
      <c r="FPF34" s="557"/>
      <c r="FPG34" s="661"/>
      <c r="FPH34" s="556"/>
      <c r="FPI34" s="557"/>
      <c r="FPJ34" s="557"/>
      <c r="FPK34" s="557"/>
      <c r="FPL34" s="557"/>
      <c r="FPM34" s="557"/>
      <c r="FPN34" s="557"/>
      <c r="FPO34" s="557"/>
      <c r="FPP34" s="557"/>
      <c r="FPQ34" s="557"/>
      <c r="FPR34" s="557"/>
      <c r="FPS34" s="557"/>
      <c r="FPT34" s="557"/>
      <c r="FPU34" s="557"/>
      <c r="FPV34" s="557"/>
      <c r="FPW34" s="557"/>
      <c r="FPX34" s="557"/>
      <c r="FPY34" s="557"/>
      <c r="FPZ34" s="557"/>
      <c r="FQA34" s="661"/>
      <c r="FQB34" s="556"/>
      <c r="FQC34" s="557"/>
      <c r="FQD34" s="557"/>
      <c r="FQE34" s="557"/>
      <c r="FQF34" s="557"/>
      <c r="FQG34" s="557"/>
      <c r="FQH34" s="557"/>
      <c r="FQI34" s="557"/>
      <c r="FQJ34" s="557"/>
      <c r="FQK34" s="557"/>
      <c r="FQL34" s="557"/>
      <c r="FQM34" s="557"/>
      <c r="FQN34" s="557"/>
      <c r="FQO34" s="557"/>
      <c r="FQP34" s="557"/>
      <c r="FQQ34" s="557"/>
      <c r="FQR34" s="557"/>
      <c r="FQS34" s="557"/>
      <c r="FQT34" s="557"/>
      <c r="FQU34" s="661"/>
      <c r="FQV34" s="556"/>
      <c r="FQW34" s="557"/>
      <c r="FQX34" s="557"/>
      <c r="FQY34" s="557"/>
      <c r="FQZ34" s="557"/>
      <c r="FRA34" s="557"/>
      <c r="FRB34" s="557"/>
      <c r="FRC34" s="557"/>
      <c r="FRD34" s="557"/>
      <c r="FRE34" s="557"/>
      <c r="FRF34" s="557"/>
      <c r="FRG34" s="557"/>
      <c r="FRH34" s="557"/>
      <c r="FRI34" s="557"/>
      <c r="FRJ34" s="557"/>
      <c r="FRK34" s="557"/>
      <c r="FRL34" s="557"/>
      <c r="FRM34" s="557"/>
      <c r="FRN34" s="557"/>
      <c r="FRO34" s="661"/>
      <c r="FRP34" s="556"/>
      <c r="FRQ34" s="557"/>
      <c r="FRR34" s="557"/>
      <c r="FRS34" s="557"/>
      <c r="FRT34" s="557"/>
      <c r="FRU34" s="557"/>
      <c r="FRV34" s="557"/>
      <c r="FRW34" s="557"/>
      <c r="FRX34" s="557"/>
      <c r="FRY34" s="557"/>
      <c r="FRZ34" s="557"/>
      <c r="FSA34" s="557"/>
      <c r="FSB34" s="557"/>
      <c r="FSC34" s="557"/>
      <c r="FSD34" s="557"/>
      <c r="FSE34" s="557"/>
      <c r="FSF34" s="557"/>
      <c r="FSG34" s="557"/>
      <c r="FSH34" s="557"/>
      <c r="FSI34" s="661"/>
      <c r="FSJ34" s="556"/>
      <c r="FSK34" s="557"/>
      <c r="FSL34" s="557"/>
      <c r="FSM34" s="557"/>
      <c r="FSN34" s="557"/>
      <c r="FSO34" s="557"/>
      <c r="FSP34" s="557"/>
      <c r="FSQ34" s="557"/>
      <c r="FSR34" s="557"/>
      <c r="FSS34" s="557"/>
      <c r="FST34" s="557"/>
      <c r="FSU34" s="557"/>
      <c r="FSV34" s="557"/>
      <c r="FSW34" s="557"/>
      <c r="FSX34" s="557"/>
      <c r="FSY34" s="557"/>
      <c r="FSZ34" s="557"/>
      <c r="FTA34" s="557"/>
      <c r="FTB34" s="557"/>
      <c r="FTC34" s="661"/>
      <c r="FTD34" s="556"/>
      <c r="FTE34" s="557"/>
      <c r="FTF34" s="557"/>
      <c r="FTG34" s="557"/>
      <c r="FTH34" s="557"/>
      <c r="FTI34" s="557"/>
      <c r="FTJ34" s="557"/>
      <c r="FTK34" s="557"/>
      <c r="FTL34" s="557"/>
      <c r="FTM34" s="557"/>
      <c r="FTN34" s="557"/>
      <c r="FTO34" s="557"/>
      <c r="FTP34" s="557"/>
      <c r="FTQ34" s="557"/>
      <c r="FTR34" s="557"/>
      <c r="FTS34" s="557"/>
      <c r="FTT34" s="557"/>
      <c r="FTU34" s="557"/>
      <c r="FTV34" s="557"/>
      <c r="FTW34" s="661"/>
      <c r="FTX34" s="556"/>
      <c r="FTY34" s="557"/>
      <c r="FTZ34" s="557"/>
      <c r="FUA34" s="557"/>
      <c r="FUB34" s="557"/>
      <c r="FUC34" s="557"/>
      <c r="FUD34" s="557"/>
      <c r="FUE34" s="557"/>
      <c r="FUF34" s="557"/>
      <c r="FUG34" s="557"/>
      <c r="FUH34" s="557"/>
      <c r="FUI34" s="557"/>
      <c r="FUJ34" s="557"/>
      <c r="FUK34" s="557"/>
      <c r="FUL34" s="557"/>
      <c r="FUM34" s="557"/>
      <c r="FUN34" s="557"/>
      <c r="FUO34" s="557"/>
      <c r="FUP34" s="557"/>
      <c r="FUQ34" s="661"/>
      <c r="FUR34" s="556"/>
      <c r="FUS34" s="557"/>
      <c r="FUT34" s="557"/>
      <c r="FUU34" s="557"/>
      <c r="FUV34" s="557"/>
      <c r="FUW34" s="557"/>
      <c r="FUX34" s="557"/>
      <c r="FUY34" s="557"/>
      <c r="FUZ34" s="557"/>
      <c r="FVA34" s="557"/>
      <c r="FVB34" s="557"/>
      <c r="FVC34" s="557"/>
      <c r="FVD34" s="557"/>
      <c r="FVE34" s="557"/>
      <c r="FVF34" s="557"/>
      <c r="FVG34" s="557"/>
      <c r="FVH34" s="557"/>
      <c r="FVI34" s="557"/>
      <c r="FVJ34" s="557"/>
      <c r="FVK34" s="661"/>
      <c r="FVL34" s="556"/>
      <c r="FVM34" s="557"/>
      <c r="FVN34" s="557"/>
      <c r="FVO34" s="557"/>
      <c r="FVP34" s="557"/>
      <c r="FVQ34" s="557"/>
      <c r="FVR34" s="557"/>
      <c r="FVS34" s="557"/>
      <c r="FVT34" s="557"/>
      <c r="FVU34" s="557"/>
      <c r="FVV34" s="557"/>
      <c r="FVW34" s="557"/>
      <c r="FVX34" s="557"/>
      <c r="FVY34" s="557"/>
      <c r="FVZ34" s="557"/>
      <c r="FWA34" s="557"/>
      <c r="FWB34" s="557"/>
      <c r="FWC34" s="557"/>
      <c r="FWD34" s="557"/>
      <c r="FWE34" s="661"/>
      <c r="FWF34" s="556"/>
      <c r="FWG34" s="557"/>
      <c r="FWH34" s="557"/>
      <c r="FWI34" s="557"/>
      <c r="FWJ34" s="557"/>
      <c r="FWK34" s="557"/>
      <c r="FWL34" s="557"/>
      <c r="FWM34" s="557"/>
      <c r="FWN34" s="557"/>
      <c r="FWO34" s="557"/>
      <c r="FWP34" s="557"/>
      <c r="FWQ34" s="557"/>
      <c r="FWR34" s="557"/>
      <c r="FWS34" s="557"/>
      <c r="FWT34" s="557"/>
      <c r="FWU34" s="557"/>
      <c r="FWV34" s="557"/>
      <c r="FWW34" s="557"/>
      <c r="FWX34" s="557"/>
      <c r="FWY34" s="661"/>
      <c r="FWZ34" s="556"/>
      <c r="FXA34" s="557"/>
      <c r="FXB34" s="557"/>
      <c r="FXC34" s="557"/>
      <c r="FXD34" s="557"/>
      <c r="FXE34" s="557"/>
      <c r="FXF34" s="557"/>
      <c r="FXG34" s="557"/>
      <c r="FXH34" s="557"/>
      <c r="FXI34" s="557"/>
      <c r="FXJ34" s="557"/>
      <c r="FXK34" s="557"/>
      <c r="FXL34" s="557"/>
      <c r="FXM34" s="557"/>
      <c r="FXN34" s="557"/>
      <c r="FXO34" s="557"/>
      <c r="FXP34" s="557"/>
      <c r="FXQ34" s="557"/>
      <c r="FXR34" s="557"/>
      <c r="FXS34" s="661"/>
      <c r="FXT34" s="556"/>
      <c r="FXU34" s="557"/>
      <c r="FXV34" s="557"/>
      <c r="FXW34" s="557"/>
      <c r="FXX34" s="557"/>
      <c r="FXY34" s="557"/>
      <c r="FXZ34" s="557"/>
      <c r="FYA34" s="557"/>
      <c r="FYB34" s="557"/>
      <c r="FYC34" s="557"/>
      <c r="FYD34" s="557"/>
      <c r="FYE34" s="557"/>
      <c r="FYF34" s="557"/>
      <c r="FYG34" s="557"/>
      <c r="FYH34" s="557"/>
      <c r="FYI34" s="557"/>
      <c r="FYJ34" s="557"/>
      <c r="FYK34" s="557"/>
      <c r="FYL34" s="557"/>
      <c r="FYM34" s="661"/>
      <c r="FYN34" s="556"/>
      <c r="FYO34" s="557"/>
      <c r="FYP34" s="557"/>
      <c r="FYQ34" s="557"/>
      <c r="FYR34" s="557"/>
      <c r="FYS34" s="557"/>
      <c r="FYT34" s="557"/>
      <c r="FYU34" s="557"/>
      <c r="FYV34" s="557"/>
      <c r="FYW34" s="557"/>
      <c r="FYX34" s="557"/>
      <c r="FYY34" s="557"/>
      <c r="FYZ34" s="557"/>
      <c r="FZA34" s="557"/>
      <c r="FZB34" s="557"/>
      <c r="FZC34" s="557"/>
      <c r="FZD34" s="557"/>
      <c r="FZE34" s="557"/>
      <c r="FZF34" s="557"/>
      <c r="FZG34" s="661"/>
      <c r="FZH34" s="556"/>
      <c r="FZI34" s="557"/>
      <c r="FZJ34" s="557"/>
      <c r="FZK34" s="557"/>
      <c r="FZL34" s="557"/>
      <c r="FZM34" s="557"/>
      <c r="FZN34" s="557"/>
      <c r="FZO34" s="557"/>
      <c r="FZP34" s="557"/>
      <c r="FZQ34" s="557"/>
      <c r="FZR34" s="557"/>
      <c r="FZS34" s="557"/>
      <c r="FZT34" s="557"/>
      <c r="FZU34" s="557"/>
      <c r="FZV34" s="557"/>
      <c r="FZW34" s="557"/>
      <c r="FZX34" s="557"/>
      <c r="FZY34" s="557"/>
      <c r="FZZ34" s="557"/>
      <c r="GAA34" s="661"/>
      <c r="GAB34" s="556"/>
      <c r="GAC34" s="557"/>
      <c r="GAD34" s="557"/>
      <c r="GAE34" s="557"/>
      <c r="GAF34" s="557"/>
      <c r="GAG34" s="557"/>
      <c r="GAH34" s="557"/>
      <c r="GAI34" s="557"/>
      <c r="GAJ34" s="557"/>
      <c r="GAK34" s="557"/>
      <c r="GAL34" s="557"/>
      <c r="GAM34" s="557"/>
      <c r="GAN34" s="557"/>
      <c r="GAO34" s="557"/>
      <c r="GAP34" s="557"/>
      <c r="GAQ34" s="557"/>
      <c r="GAR34" s="557"/>
      <c r="GAS34" s="557"/>
      <c r="GAT34" s="557"/>
      <c r="GAU34" s="661"/>
      <c r="GAV34" s="556"/>
      <c r="GAW34" s="557"/>
      <c r="GAX34" s="557"/>
      <c r="GAY34" s="557"/>
      <c r="GAZ34" s="557"/>
      <c r="GBA34" s="557"/>
      <c r="GBB34" s="557"/>
      <c r="GBC34" s="557"/>
      <c r="GBD34" s="557"/>
      <c r="GBE34" s="557"/>
      <c r="GBF34" s="557"/>
      <c r="GBG34" s="557"/>
      <c r="GBH34" s="557"/>
      <c r="GBI34" s="557"/>
      <c r="GBJ34" s="557"/>
      <c r="GBK34" s="557"/>
      <c r="GBL34" s="557"/>
      <c r="GBM34" s="557"/>
      <c r="GBN34" s="557"/>
      <c r="GBO34" s="661"/>
      <c r="GBP34" s="556"/>
      <c r="GBQ34" s="557"/>
      <c r="GBR34" s="557"/>
      <c r="GBS34" s="557"/>
      <c r="GBT34" s="557"/>
      <c r="GBU34" s="557"/>
      <c r="GBV34" s="557"/>
      <c r="GBW34" s="557"/>
      <c r="GBX34" s="557"/>
      <c r="GBY34" s="557"/>
      <c r="GBZ34" s="557"/>
      <c r="GCA34" s="557"/>
      <c r="GCB34" s="557"/>
      <c r="GCC34" s="557"/>
      <c r="GCD34" s="557"/>
      <c r="GCE34" s="557"/>
      <c r="GCF34" s="557"/>
      <c r="GCG34" s="557"/>
      <c r="GCH34" s="557"/>
      <c r="GCI34" s="661"/>
      <c r="GCJ34" s="556"/>
      <c r="GCK34" s="557"/>
      <c r="GCL34" s="557"/>
      <c r="GCM34" s="557"/>
      <c r="GCN34" s="557"/>
      <c r="GCO34" s="557"/>
      <c r="GCP34" s="557"/>
      <c r="GCQ34" s="557"/>
      <c r="GCR34" s="557"/>
      <c r="GCS34" s="557"/>
      <c r="GCT34" s="557"/>
      <c r="GCU34" s="557"/>
      <c r="GCV34" s="557"/>
      <c r="GCW34" s="557"/>
      <c r="GCX34" s="557"/>
      <c r="GCY34" s="557"/>
      <c r="GCZ34" s="557"/>
      <c r="GDA34" s="557"/>
      <c r="GDB34" s="557"/>
      <c r="GDC34" s="661"/>
      <c r="GDD34" s="556"/>
      <c r="GDE34" s="557"/>
      <c r="GDF34" s="557"/>
      <c r="GDG34" s="557"/>
      <c r="GDH34" s="557"/>
      <c r="GDI34" s="557"/>
      <c r="GDJ34" s="557"/>
      <c r="GDK34" s="557"/>
      <c r="GDL34" s="557"/>
      <c r="GDM34" s="557"/>
      <c r="GDN34" s="557"/>
      <c r="GDO34" s="557"/>
      <c r="GDP34" s="557"/>
      <c r="GDQ34" s="557"/>
      <c r="GDR34" s="557"/>
      <c r="GDS34" s="557"/>
      <c r="GDT34" s="557"/>
      <c r="GDU34" s="557"/>
      <c r="GDV34" s="557"/>
      <c r="GDW34" s="661"/>
      <c r="GDX34" s="556"/>
      <c r="GDY34" s="557"/>
      <c r="GDZ34" s="557"/>
      <c r="GEA34" s="557"/>
      <c r="GEB34" s="557"/>
      <c r="GEC34" s="557"/>
      <c r="GED34" s="557"/>
      <c r="GEE34" s="557"/>
      <c r="GEF34" s="557"/>
      <c r="GEG34" s="557"/>
      <c r="GEH34" s="557"/>
      <c r="GEI34" s="557"/>
      <c r="GEJ34" s="557"/>
      <c r="GEK34" s="557"/>
      <c r="GEL34" s="557"/>
      <c r="GEM34" s="557"/>
      <c r="GEN34" s="557"/>
      <c r="GEO34" s="557"/>
      <c r="GEP34" s="557"/>
      <c r="GEQ34" s="661"/>
      <c r="GER34" s="556"/>
      <c r="GES34" s="557"/>
      <c r="GET34" s="557"/>
      <c r="GEU34" s="557"/>
      <c r="GEV34" s="557"/>
      <c r="GEW34" s="557"/>
      <c r="GEX34" s="557"/>
      <c r="GEY34" s="557"/>
      <c r="GEZ34" s="557"/>
      <c r="GFA34" s="557"/>
      <c r="GFB34" s="557"/>
      <c r="GFC34" s="557"/>
      <c r="GFD34" s="557"/>
      <c r="GFE34" s="557"/>
      <c r="GFF34" s="557"/>
      <c r="GFG34" s="557"/>
      <c r="GFH34" s="557"/>
      <c r="GFI34" s="557"/>
      <c r="GFJ34" s="557"/>
      <c r="GFK34" s="661"/>
      <c r="GFL34" s="556"/>
      <c r="GFM34" s="557"/>
      <c r="GFN34" s="557"/>
      <c r="GFO34" s="557"/>
      <c r="GFP34" s="557"/>
      <c r="GFQ34" s="557"/>
      <c r="GFR34" s="557"/>
      <c r="GFS34" s="557"/>
      <c r="GFT34" s="557"/>
      <c r="GFU34" s="557"/>
      <c r="GFV34" s="557"/>
      <c r="GFW34" s="557"/>
      <c r="GFX34" s="557"/>
      <c r="GFY34" s="557"/>
      <c r="GFZ34" s="557"/>
      <c r="GGA34" s="557"/>
      <c r="GGB34" s="557"/>
      <c r="GGC34" s="557"/>
      <c r="GGD34" s="557"/>
      <c r="GGE34" s="661"/>
      <c r="GGF34" s="556"/>
      <c r="GGG34" s="557"/>
      <c r="GGH34" s="557"/>
      <c r="GGI34" s="557"/>
      <c r="GGJ34" s="557"/>
      <c r="GGK34" s="557"/>
      <c r="GGL34" s="557"/>
      <c r="GGM34" s="557"/>
      <c r="GGN34" s="557"/>
      <c r="GGO34" s="557"/>
      <c r="GGP34" s="557"/>
      <c r="GGQ34" s="557"/>
      <c r="GGR34" s="557"/>
      <c r="GGS34" s="557"/>
      <c r="GGT34" s="557"/>
      <c r="GGU34" s="557"/>
      <c r="GGV34" s="557"/>
      <c r="GGW34" s="557"/>
      <c r="GGX34" s="557"/>
      <c r="GGY34" s="661"/>
      <c r="GGZ34" s="556"/>
      <c r="GHA34" s="557"/>
      <c r="GHB34" s="557"/>
      <c r="GHC34" s="557"/>
      <c r="GHD34" s="557"/>
      <c r="GHE34" s="557"/>
      <c r="GHF34" s="557"/>
      <c r="GHG34" s="557"/>
      <c r="GHH34" s="557"/>
      <c r="GHI34" s="557"/>
      <c r="GHJ34" s="557"/>
      <c r="GHK34" s="557"/>
      <c r="GHL34" s="557"/>
      <c r="GHM34" s="557"/>
      <c r="GHN34" s="557"/>
      <c r="GHO34" s="557"/>
      <c r="GHP34" s="557"/>
      <c r="GHQ34" s="557"/>
      <c r="GHR34" s="557"/>
      <c r="GHS34" s="661"/>
      <c r="GHT34" s="556"/>
      <c r="GHU34" s="557"/>
      <c r="GHV34" s="557"/>
      <c r="GHW34" s="557"/>
      <c r="GHX34" s="557"/>
      <c r="GHY34" s="557"/>
      <c r="GHZ34" s="557"/>
      <c r="GIA34" s="557"/>
      <c r="GIB34" s="557"/>
      <c r="GIC34" s="557"/>
      <c r="GID34" s="557"/>
      <c r="GIE34" s="557"/>
      <c r="GIF34" s="557"/>
      <c r="GIG34" s="557"/>
      <c r="GIH34" s="557"/>
      <c r="GII34" s="557"/>
      <c r="GIJ34" s="557"/>
      <c r="GIK34" s="557"/>
      <c r="GIL34" s="557"/>
      <c r="GIM34" s="661"/>
      <c r="GIN34" s="556"/>
      <c r="GIO34" s="557"/>
      <c r="GIP34" s="557"/>
      <c r="GIQ34" s="557"/>
      <c r="GIR34" s="557"/>
      <c r="GIS34" s="557"/>
      <c r="GIT34" s="557"/>
      <c r="GIU34" s="557"/>
      <c r="GIV34" s="557"/>
      <c r="GIW34" s="557"/>
      <c r="GIX34" s="557"/>
      <c r="GIY34" s="557"/>
      <c r="GIZ34" s="557"/>
      <c r="GJA34" s="557"/>
      <c r="GJB34" s="557"/>
      <c r="GJC34" s="557"/>
      <c r="GJD34" s="557"/>
      <c r="GJE34" s="557"/>
      <c r="GJF34" s="557"/>
      <c r="GJG34" s="661"/>
      <c r="GJH34" s="556"/>
      <c r="GJI34" s="557"/>
      <c r="GJJ34" s="557"/>
      <c r="GJK34" s="557"/>
      <c r="GJL34" s="557"/>
      <c r="GJM34" s="557"/>
      <c r="GJN34" s="557"/>
      <c r="GJO34" s="557"/>
      <c r="GJP34" s="557"/>
      <c r="GJQ34" s="557"/>
      <c r="GJR34" s="557"/>
      <c r="GJS34" s="557"/>
      <c r="GJT34" s="557"/>
      <c r="GJU34" s="557"/>
      <c r="GJV34" s="557"/>
      <c r="GJW34" s="557"/>
      <c r="GJX34" s="557"/>
      <c r="GJY34" s="557"/>
      <c r="GJZ34" s="557"/>
      <c r="GKA34" s="661"/>
      <c r="GKB34" s="556"/>
      <c r="GKC34" s="557"/>
      <c r="GKD34" s="557"/>
      <c r="GKE34" s="557"/>
      <c r="GKF34" s="557"/>
      <c r="GKG34" s="557"/>
      <c r="GKH34" s="557"/>
      <c r="GKI34" s="557"/>
      <c r="GKJ34" s="557"/>
      <c r="GKK34" s="557"/>
      <c r="GKL34" s="557"/>
      <c r="GKM34" s="557"/>
      <c r="GKN34" s="557"/>
      <c r="GKO34" s="557"/>
      <c r="GKP34" s="557"/>
      <c r="GKQ34" s="557"/>
      <c r="GKR34" s="557"/>
      <c r="GKS34" s="557"/>
      <c r="GKT34" s="557"/>
      <c r="GKU34" s="661"/>
      <c r="GKV34" s="556"/>
      <c r="GKW34" s="557"/>
      <c r="GKX34" s="557"/>
      <c r="GKY34" s="557"/>
      <c r="GKZ34" s="557"/>
      <c r="GLA34" s="557"/>
      <c r="GLB34" s="557"/>
      <c r="GLC34" s="557"/>
      <c r="GLD34" s="557"/>
      <c r="GLE34" s="557"/>
      <c r="GLF34" s="557"/>
      <c r="GLG34" s="557"/>
      <c r="GLH34" s="557"/>
      <c r="GLI34" s="557"/>
      <c r="GLJ34" s="557"/>
      <c r="GLK34" s="557"/>
      <c r="GLL34" s="557"/>
      <c r="GLM34" s="557"/>
      <c r="GLN34" s="557"/>
      <c r="GLO34" s="661"/>
      <c r="GLP34" s="556"/>
      <c r="GLQ34" s="557"/>
      <c r="GLR34" s="557"/>
      <c r="GLS34" s="557"/>
      <c r="GLT34" s="557"/>
      <c r="GLU34" s="557"/>
      <c r="GLV34" s="557"/>
      <c r="GLW34" s="557"/>
      <c r="GLX34" s="557"/>
      <c r="GLY34" s="557"/>
      <c r="GLZ34" s="557"/>
      <c r="GMA34" s="557"/>
      <c r="GMB34" s="557"/>
      <c r="GMC34" s="557"/>
      <c r="GMD34" s="557"/>
      <c r="GME34" s="557"/>
      <c r="GMF34" s="557"/>
      <c r="GMG34" s="557"/>
      <c r="GMH34" s="557"/>
      <c r="GMI34" s="661"/>
      <c r="GMJ34" s="556"/>
      <c r="GMK34" s="557"/>
      <c r="GML34" s="557"/>
      <c r="GMM34" s="557"/>
      <c r="GMN34" s="557"/>
      <c r="GMO34" s="557"/>
      <c r="GMP34" s="557"/>
      <c r="GMQ34" s="557"/>
      <c r="GMR34" s="557"/>
      <c r="GMS34" s="557"/>
      <c r="GMT34" s="557"/>
      <c r="GMU34" s="557"/>
      <c r="GMV34" s="557"/>
      <c r="GMW34" s="557"/>
      <c r="GMX34" s="557"/>
      <c r="GMY34" s="557"/>
      <c r="GMZ34" s="557"/>
      <c r="GNA34" s="557"/>
      <c r="GNB34" s="557"/>
      <c r="GNC34" s="661"/>
      <c r="GND34" s="556"/>
      <c r="GNE34" s="557"/>
      <c r="GNF34" s="557"/>
      <c r="GNG34" s="557"/>
      <c r="GNH34" s="557"/>
      <c r="GNI34" s="557"/>
      <c r="GNJ34" s="557"/>
      <c r="GNK34" s="557"/>
      <c r="GNL34" s="557"/>
      <c r="GNM34" s="557"/>
      <c r="GNN34" s="557"/>
      <c r="GNO34" s="557"/>
      <c r="GNP34" s="557"/>
      <c r="GNQ34" s="557"/>
      <c r="GNR34" s="557"/>
      <c r="GNS34" s="557"/>
      <c r="GNT34" s="557"/>
      <c r="GNU34" s="557"/>
      <c r="GNV34" s="557"/>
      <c r="GNW34" s="661"/>
      <c r="GNX34" s="556"/>
      <c r="GNY34" s="557"/>
      <c r="GNZ34" s="557"/>
      <c r="GOA34" s="557"/>
      <c r="GOB34" s="557"/>
      <c r="GOC34" s="557"/>
      <c r="GOD34" s="557"/>
      <c r="GOE34" s="557"/>
      <c r="GOF34" s="557"/>
      <c r="GOG34" s="557"/>
      <c r="GOH34" s="557"/>
      <c r="GOI34" s="557"/>
      <c r="GOJ34" s="557"/>
      <c r="GOK34" s="557"/>
      <c r="GOL34" s="557"/>
      <c r="GOM34" s="557"/>
      <c r="GON34" s="557"/>
      <c r="GOO34" s="557"/>
      <c r="GOP34" s="557"/>
      <c r="GOQ34" s="661"/>
      <c r="GOR34" s="556"/>
      <c r="GOS34" s="557"/>
      <c r="GOT34" s="557"/>
      <c r="GOU34" s="557"/>
      <c r="GOV34" s="557"/>
      <c r="GOW34" s="557"/>
      <c r="GOX34" s="557"/>
      <c r="GOY34" s="557"/>
      <c r="GOZ34" s="557"/>
      <c r="GPA34" s="557"/>
      <c r="GPB34" s="557"/>
      <c r="GPC34" s="557"/>
      <c r="GPD34" s="557"/>
      <c r="GPE34" s="557"/>
      <c r="GPF34" s="557"/>
      <c r="GPG34" s="557"/>
      <c r="GPH34" s="557"/>
      <c r="GPI34" s="557"/>
      <c r="GPJ34" s="557"/>
      <c r="GPK34" s="661"/>
      <c r="GPL34" s="556"/>
      <c r="GPM34" s="557"/>
      <c r="GPN34" s="557"/>
      <c r="GPO34" s="557"/>
      <c r="GPP34" s="557"/>
      <c r="GPQ34" s="557"/>
      <c r="GPR34" s="557"/>
      <c r="GPS34" s="557"/>
      <c r="GPT34" s="557"/>
      <c r="GPU34" s="557"/>
      <c r="GPV34" s="557"/>
      <c r="GPW34" s="557"/>
      <c r="GPX34" s="557"/>
      <c r="GPY34" s="557"/>
      <c r="GPZ34" s="557"/>
      <c r="GQA34" s="557"/>
      <c r="GQB34" s="557"/>
      <c r="GQC34" s="557"/>
      <c r="GQD34" s="557"/>
      <c r="GQE34" s="661"/>
      <c r="GQF34" s="556"/>
      <c r="GQG34" s="557"/>
      <c r="GQH34" s="557"/>
      <c r="GQI34" s="557"/>
      <c r="GQJ34" s="557"/>
      <c r="GQK34" s="557"/>
      <c r="GQL34" s="557"/>
      <c r="GQM34" s="557"/>
      <c r="GQN34" s="557"/>
      <c r="GQO34" s="557"/>
      <c r="GQP34" s="557"/>
      <c r="GQQ34" s="557"/>
      <c r="GQR34" s="557"/>
      <c r="GQS34" s="557"/>
      <c r="GQT34" s="557"/>
      <c r="GQU34" s="557"/>
      <c r="GQV34" s="557"/>
      <c r="GQW34" s="557"/>
      <c r="GQX34" s="557"/>
      <c r="GQY34" s="661"/>
      <c r="GQZ34" s="556"/>
      <c r="GRA34" s="557"/>
      <c r="GRB34" s="557"/>
      <c r="GRC34" s="557"/>
      <c r="GRD34" s="557"/>
      <c r="GRE34" s="557"/>
      <c r="GRF34" s="557"/>
      <c r="GRG34" s="557"/>
      <c r="GRH34" s="557"/>
      <c r="GRI34" s="557"/>
      <c r="GRJ34" s="557"/>
      <c r="GRK34" s="557"/>
      <c r="GRL34" s="557"/>
      <c r="GRM34" s="557"/>
      <c r="GRN34" s="557"/>
      <c r="GRO34" s="557"/>
      <c r="GRP34" s="557"/>
      <c r="GRQ34" s="557"/>
      <c r="GRR34" s="557"/>
      <c r="GRS34" s="661"/>
      <c r="GRT34" s="556"/>
      <c r="GRU34" s="557"/>
      <c r="GRV34" s="557"/>
      <c r="GRW34" s="557"/>
      <c r="GRX34" s="557"/>
      <c r="GRY34" s="557"/>
      <c r="GRZ34" s="557"/>
      <c r="GSA34" s="557"/>
      <c r="GSB34" s="557"/>
      <c r="GSC34" s="557"/>
      <c r="GSD34" s="557"/>
      <c r="GSE34" s="557"/>
      <c r="GSF34" s="557"/>
      <c r="GSG34" s="557"/>
      <c r="GSH34" s="557"/>
      <c r="GSI34" s="557"/>
      <c r="GSJ34" s="557"/>
      <c r="GSK34" s="557"/>
      <c r="GSL34" s="557"/>
      <c r="GSM34" s="661"/>
      <c r="GSN34" s="556"/>
      <c r="GSO34" s="557"/>
      <c r="GSP34" s="557"/>
      <c r="GSQ34" s="557"/>
      <c r="GSR34" s="557"/>
      <c r="GSS34" s="557"/>
      <c r="GST34" s="557"/>
      <c r="GSU34" s="557"/>
      <c r="GSV34" s="557"/>
      <c r="GSW34" s="557"/>
      <c r="GSX34" s="557"/>
      <c r="GSY34" s="557"/>
      <c r="GSZ34" s="557"/>
      <c r="GTA34" s="557"/>
      <c r="GTB34" s="557"/>
      <c r="GTC34" s="557"/>
      <c r="GTD34" s="557"/>
      <c r="GTE34" s="557"/>
      <c r="GTF34" s="557"/>
      <c r="GTG34" s="661"/>
      <c r="GTH34" s="556"/>
      <c r="GTI34" s="557"/>
      <c r="GTJ34" s="557"/>
      <c r="GTK34" s="557"/>
      <c r="GTL34" s="557"/>
      <c r="GTM34" s="557"/>
      <c r="GTN34" s="557"/>
      <c r="GTO34" s="557"/>
      <c r="GTP34" s="557"/>
      <c r="GTQ34" s="557"/>
      <c r="GTR34" s="557"/>
      <c r="GTS34" s="557"/>
      <c r="GTT34" s="557"/>
      <c r="GTU34" s="557"/>
      <c r="GTV34" s="557"/>
      <c r="GTW34" s="557"/>
      <c r="GTX34" s="557"/>
      <c r="GTY34" s="557"/>
      <c r="GTZ34" s="557"/>
      <c r="GUA34" s="661"/>
      <c r="GUB34" s="556"/>
      <c r="GUC34" s="557"/>
      <c r="GUD34" s="557"/>
      <c r="GUE34" s="557"/>
      <c r="GUF34" s="557"/>
      <c r="GUG34" s="557"/>
      <c r="GUH34" s="557"/>
      <c r="GUI34" s="557"/>
      <c r="GUJ34" s="557"/>
      <c r="GUK34" s="557"/>
      <c r="GUL34" s="557"/>
      <c r="GUM34" s="557"/>
      <c r="GUN34" s="557"/>
      <c r="GUO34" s="557"/>
      <c r="GUP34" s="557"/>
      <c r="GUQ34" s="557"/>
      <c r="GUR34" s="557"/>
      <c r="GUS34" s="557"/>
      <c r="GUT34" s="557"/>
      <c r="GUU34" s="661"/>
      <c r="GUV34" s="556"/>
      <c r="GUW34" s="557"/>
      <c r="GUX34" s="557"/>
      <c r="GUY34" s="557"/>
      <c r="GUZ34" s="557"/>
      <c r="GVA34" s="557"/>
      <c r="GVB34" s="557"/>
      <c r="GVC34" s="557"/>
      <c r="GVD34" s="557"/>
      <c r="GVE34" s="557"/>
      <c r="GVF34" s="557"/>
      <c r="GVG34" s="557"/>
      <c r="GVH34" s="557"/>
      <c r="GVI34" s="557"/>
      <c r="GVJ34" s="557"/>
      <c r="GVK34" s="557"/>
      <c r="GVL34" s="557"/>
      <c r="GVM34" s="557"/>
      <c r="GVN34" s="557"/>
      <c r="GVO34" s="661"/>
      <c r="GVP34" s="556"/>
      <c r="GVQ34" s="557"/>
      <c r="GVR34" s="557"/>
      <c r="GVS34" s="557"/>
      <c r="GVT34" s="557"/>
      <c r="GVU34" s="557"/>
      <c r="GVV34" s="557"/>
      <c r="GVW34" s="557"/>
      <c r="GVX34" s="557"/>
      <c r="GVY34" s="557"/>
      <c r="GVZ34" s="557"/>
      <c r="GWA34" s="557"/>
      <c r="GWB34" s="557"/>
      <c r="GWC34" s="557"/>
      <c r="GWD34" s="557"/>
      <c r="GWE34" s="557"/>
      <c r="GWF34" s="557"/>
      <c r="GWG34" s="557"/>
      <c r="GWH34" s="557"/>
      <c r="GWI34" s="661"/>
      <c r="GWJ34" s="556"/>
      <c r="GWK34" s="557"/>
      <c r="GWL34" s="557"/>
      <c r="GWM34" s="557"/>
      <c r="GWN34" s="557"/>
      <c r="GWO34" s="557"/>
      <c r="GWP34" s="557"/>
      <c r="GWQ34" s="557"/>
      <c r="GWR34" s="557"/>
      <c r="GWS34" s="557"/>
      <c r="GWT34" s="557"/>
      <c r="GWU34" s="557"/>
      <c r="GWV34" s="557"/>
      <c r="GWW34" s="557"/>
      <c r="GWX34" s="557"/>
      <c r="GWY34" s="557"/>
      <c r="GWZ34" s="557"/>
      <c r="GXA34" s="557"/>
      <c r="GXB34" s="557"/>
      <c r="GXC34" s="661"/>
      <c r="GXD34" s="556"/>
      <c r="GXE34" s="557"/>
      <c r="GXF34" s="557"/>
      <c r="GXG34" s="557"/>
      <c r="GXH34" s="557"/>
      <c r="GXI34" s="557"/>
      <c r="GXJ34" s="557"/>
      <c r="GXK34" s="557"/>
      <c r="GXL34" s="557"/>
      <c r="GXM34" s="557"/>
      <c r="GXN34" s="557"/>
      <c r="GXO34" s="557"/>
      <c r="GXP34" s="557"/>
      <c r="GXQ34" s="557"/>
      <c r="GXR34" s="557"/>
      <c r="GXS34" s="557"/>
      <c r="GXT34" s="557"/>
      <c r="GXU34" s="557"/>
      <c r="GXV34" s="557"/>
      <c r="GXW34" s="661"/>
      <c r="GXX34" s="556"/>
      <c r="GXY34" s="557"/>
      <c r="GXZ34" s="557"/>
      <c r="GYA34" s="557"/>
      <c r="GYB34" s="557"/>
      <c r="GYC34" s="557"/>
      <c r="GYD34" s="557"/>
      <c r="GYE34" s="557"/>
      <c r="GYF34" s="557"/>
      <c r="GYG34" s="557"/>
      <c r="GYH34" s="557"/>
      <c r="GYI34" s="557"/>
      <c r="GYJ34" s="557"/>
      <c r="GYK34" s="557"/>
      <c r="GYL34" s="557"/>
      <c r="GYM34" s="557"/>
      <c r="GYN34" s="557"/>
      <c r="GYO34" s="557"/>
      <c r="GYP34" s="557"/>
      <c r="GYQ34" s="661"/>
      <c r="GYR34" s="556"/>
      <c r="GYS34" s="557"/>
      <c r="GYT34" s="557"/>
      <c r="GYU34" s="557"/>
      <c r="GYV34" s="557"/>
      <c r="GYW34" s="557"/>
      <c r="GYX34" s="557"/>
      <c r="GYY34" s="557"/>
      <c r="GYZ34" s="557"/>
      <c r="GZA34" s="557"/>
      <c r="GZB34" s="557"/>
      <c r="GZC34" s="557"/>
      <c r="GZD34" s="557"/>
      <c r="GZE34" s="557"/>
      <c r="GZF34" s="557"/>
      <c r="GZG34" s="557"/>
      <c r="GZH34" s="557"/>
      <c r="GZI34" s="557"/>
      <c r="GZJ34" s="557"/>
      <c r="GZK34" s="661"/>
      <c r="GZL34" s="556"/>
      <c r="GZM34" s="557"/>
      <c r="GZN34" s="557"/>
      <c r="GZO34" s="557"/>
      <c r="GZP34" s="557"/>
      <c r="GZQ34" s="557"/>
      <c r="GZR34" s="557"/>
      <c r="GZS34" s="557"/>
      <c r="GZT34" s="557"/>
      <c r="GZU34" s="557"/>
      <c r="GZV34" s="557"/>
      <c r="GZW34" s="557"/>
      <c r="GZX34" s="557"/>
      <c r="GZY34" s="557"/>
      <c r="GZZ34" s="557"/>
      <c r="HAA34" s="557"/>
      <c r="HAB34" s="557"/>
      <c r="HAC34" s="557"/>
      <c r="HAD34" s="557"/>
      <c r="HAE34" s="661"/>
      <c r="HAF34" s="556"/>
      <c r="HAG34" s="557"/>
      <c r="HAH34" s="557"/>
      <c r="HAI34" s="557"/>
      <c r="HAJ34" s="557"/>
      <c r="HAK34" s="557"/>
      <c r="HAL34" s="557"/>
      <c r="HAM34" s="557"/>
      <c r="HAN34" s="557"/>
      <c r="HAO34" s="557"/>
      <c r="HAP34" s="557"/>
      <c r="HAQ34" s="557"/>
      <c r="HAR34" s="557"/>
      <c r="HAS34" s="557"/>
      <c r="HAT34" s="557"/>
      <c r="HAU34" s="557"/>
      <c r="HAV34" s="557"/>
      <c r="HAW34" s="557"/>
      <c r="HAX34" s="557"/>
      <c r="HAY34" s="661"/>
      <c r="HAZ34" s="556"/>
      <c r="HBA34" s="557"/>
      <c r="HBB34" s="557"/>
      <c r="HBC34" s="557"/>
      <c r="HBD34" s="557"/>
      <c r="HBE34" s="557"/>
      <c r="HBF34" s="557"/>
      <c r="HBG34" s="557"/>
      <c r="HBH34" s="557"/>
      <c r="HBI34" s="557"/>
      <c r="HBJ34" s="557"/>
      <c r="HBK34" s="557"/>
      <c r="HBL34" s="557"/>
      <c r="HBM34" s="557"/>
      <c r="HBN34" s="557"/>
      <c r="HBO34" s="557"/>
      <c r="HBP34" s="557"/>
      <c r="HBQ34" s="557"/>
      <c r="HBR34" s="557"/>
      <c r="HBS34" s="661"/>
      <c r="HBT34" s="556"/>
      <c r="HBU34" s="557"/>
      <c r="HBV34" s="557"/>
      <c r="HBW34" s="557"/>
      <c r="HBX34" s="557"/>
      <c r="HBY34" s="557"/>
      <c r="HBZ34" s="557"/>
      <c r="HCA34" s="557"/>
      <c r="HCB34" s="557"/>
      <c r="HCC34" s="557"/>
      <c r="HCD34" s="557"/>
      <c r="HCE34" s="557"/>
      <c r="HCF34" s="557"/>
      <c r="HCG34" s="557"/>
      <c r="HCH34" s="557"/>
      <c r="HCI34" s="557"/>
      <c r="HCJ34" s="557"/>
      <c r="HCK34" s="557"/>
      <c r="HCL34" s="557"/>
      <c r="HCM34" s="661"/>
      <c r="HCN34" s="556"/>
      <c r="HCO34" s="557"/>
      <c r="HCP34" s="557"/>
      <c r="HCQ34" s="557"/>
      <c r="HCR34" s="557"/>
      <c r="HCS34" s="557"/>
      <c r="HCT34" s="557"/>
      <c r="HCU34" s="557"/>
      <c r="HCV34" s="557"/>
      <c r="HCW34" s="557"/>
      <c r="HCX34" s="557"/>
      <c r="HCY34" s="557"/>
      <c r="HCZ34" s="557"/>
      <c r="HDA34" s="557"/>
      <c r="HDB34" s="557"/>
      <c r="HDC34" s="557"/>
      <c r="HDD34" s="557"/>
      <c r="HDE34" s="557"/>
      <c r="HDF34" s="557"/>
      <c r="HDG34" s="661"/>
      <c r="HDH34" s="556"/>
      <c r="HDI34" s="557"/>
      <c r="HDJ34" s="557"/>
      <c r="HDK34" s="557"/>
      <c r="HDL34" s="557"/>
      <c r="HDM34" s="557"/>
      <c r="HDN34" s="557"/>
      <c r="HDO34" s="557"/>
      <c r="HDP34" s="557"/>
      <c r="HDQ34" s="557"/>
      <c r="HDR34" s="557"/>
      <c r="HDS34" s="557"/>
      <c r="HDT34" s="557"/>
      <c r="HDU34" s="557"/>
      <c r="HDV34" s="557"/>
      <c r="HDW34" s="557"/>
      <c r="HDX34" s="557"/>
      <c r="HDY34" s="557"/>
      <c r="HDZ34" s="557"/>
      <c r="HEA34" s="661"/>
      <c r="HEB34" s="556"/>
      <c r="HEC34" s="557"/>
      <c r="HED34" s="557"/>
      <c r="HEE34" s="557"/>
      <c r="HEF34" s="557"/>
      <c r="HEG34" s="557"/>
      <c r="HEH34" s="557"/>
      <c r="HEI34" s="557"/>
      <c r="HEJ34" s="557"/>
      <c r="HEK34" s="557"/>
      <c r="HEL34" s="557"/>
      <c r="HEM34" s="557"/>
      <c r="HEN34" s="557"/>
      <c r="HEO34" s="557"/>
      <c r="HEP34" s="557"/>
      <c r="HEQ34" s="557"/>
      <c r="HER34" s="557"/>
      <c r="HES34" s="557"/>
      <c r="HET34" s="557"/>
      <c r="HEU34" s="661"/>
      <c r="HEV34" s="556"/>
      <c r="HEW34" s="557"/>
      <c r="HEX34" s="557"/>
      <c r="HEY34" s="557"/>
      <c r="HEZ34" s="557"/>
      <c r="HFA34" s="557"/>
      <c r="HFB34" s="557"/>
      <c r="HFC34" s="557"/>
      <c r="HFD34" s="557"/>
      <c r="HFE34" s="557"/>
      <c r="HFF34" s="557"/>
      <c r="HFG34" s="557"/>
      <c r="HFH34" s="557"/>
      <c r="HFI34" s="557"/>
      <c r="HFJ34" s="557"/>
      <c r="HFK34" s="557"/>
      <c r="HFL34" s="557"/>
      <c r="HFM34" s="557"/>
      <c r="HFN34" s="557"/>
      <c r="HFO34" s="661"/>
      <c r="HFP34" s="556"/>
      <c r="HFQ34" s="557"/>
      <c r="HFR34" s="557"/>
      <c r="HFS34" s="557"/>
      <c r="HFT34" s="557"/>
      <c r="HFU34" s="557"/>
      <c r="HFV34" s="557"/>
      <c r="HFW34" s="557"/>
      <c r="HFX34" s="557"/>
      <c r="HFY34" s="557"/>
      <c r="HFZ34" s="557"/>
      <c r="HGA34" s="557"/>
      <c r="HGB34" s="557"/>
      <c r="HGC34" s="557"/>
      <c r="HGD34" s="557"/>
      <c r="HGE34" s="557"/>
      <c r="HGF34" s="557"/>
      <c r="HGG34" s="557"/>
      <c r="HGH34" s="557"/>
      <c r="HGI34" s="661"/>
      <c r="HGJ34" s="556"/>
      <c r="HGK34" s="557"/>
      <c r="HGL34" s="557"/>
      <c r="HGM34" s="557"/>
      <c r="HGN34" s="557"/>
      <c r="HGO34" s="557"/>
      <c r="HGP34" s="557"/>
      <c r="HGQ34" s="557"/>
      <c r="HGR34" s="557"/>
      <c r="HGS34" s="557"/>
      <c r="HGT34" s="557"/>
      <c r="HGU34" s="557"/>
      <c r="HGV34" s="557"/>
      <c r="HGW34" s="557"/>
      <c r="HGX34" s="557"/>
      <c r="HGY34" s="557"/>
      <c r="HGZ34" s="557"/>
      <c r="HHA34" s="557"/>
      <c r="HHB34" s="557"/>
      <c r="HHC34" s="661"/>
      <c r="HHD34" s="556"/>
      <c r="HHE34" s="557"/>
      <c r="HHF34" s="557"/>
      <c r="HHG34" s="557"/>
      <c r="HHH34" s="557"/>
      <c r="HHI34" s="557"/>
      <c r="HHJ34" s="557"/>
      <c r="HHK34" s="557"/>
      <c r="HHL34" s="557"/>
      <c r="HHM34" s="557"/>
      <c r="HHN34" s="557"/>
      <c r="HHO34" s="557"/>
      <c r="HHP34" s="557"/>
      <c r="HHQ34" s="557"/>
      <c r="HHR34" s="557"/>
      <c r="HHS34" s="557"/>
      <c r="HHT34" s="557"/>
      <c r="HHU34" s="557"/>
      <c r="HHV34" s="557"/>
      <c r="HHW34" s="661"/>
      <c r="HHX34" s="556"/>
      <c r="HHY34" s="557"/>
      <c r="HHZ34" s="557"/>
      <c r="HIA34" s="557"/>
      <c r="HIB34" s="557"/>
      <c r="HIC34" s="557"/>
      <c r="HID34" s="557"/>
      <c r="HIE34" s="557"/>
      <c r="HIF34" s="557"/>
      <c r="HIG34" s="557"/>
      <c r="HIH34" s="557"/>
      <c r="HII34" s="557"/>
      <c r="HIJ34" s="557"/>
      <c r="HIK34" s="557"/>
      <c r="HIL34" s="557"/>
      <c r="HIM34" s="557"/>
      <c r="HIN34" s="557"/>
      <c r="HIO34" s="557"/>
      <c r="HIP34" s="557"/>
      <c r="HIQ34" s="661"/>
      <c r="HIR34" s="556"/>
      <c r="HIS34" s="557"/>
      <c r="HIT34" s="557"/>
      <c r="HIU34" s="557"/>
      <c r="HIV34" s="557"/>
      <c r="HIW34" s="557"/>
      <c r="HIX34" s="557"/>
      <c r="HIY34" s="557"/>
      <c r="HIZ34" s="557"/>
      <c r="HJA34" s="557"/>
      <c r="HJB34" s="557"/>
      <c r="HJC34" s="557"/>
      <c r="HJD34" s="557"/>
      <c r="HJE34" s="557"/>
      <c r="HJF34" s="557"/>
      <c r="HJG34" s="557"/>
      <c r="HJH34" s="557"/>
      <c r="HJI34" s="557"/>
      <c r="HJJ34" s="557"/>
      <c r="HJK34" s="661"/>
      <c r="HJL34" s="556"/>
      <c r="HJM34" s="557"/>
      <c r="HJN34" s="557"/>
      <c r="HJO34" s="557"/>
      <c r="HJP34" s="557"/>
      <c r="HJQ34" s="557"/>
      <c r="HJR34" s="557"/>
      <c r="HJS34" s="557"/>
      <c r="HJT34" s="557"/>
      <c r="HJU34" s="557"/>
      <c r="HJV34" s="557"/>
      <c r="HJW34" s="557"/>
      <c r="HJX34" s="557"/>
      <c r="HJY34" s="557"/>
      <c r="HJZ34" s="557"/>
      <c r="HKA34" s="557"/>
      <c r="HKB34" s="557"/>
      <c r="HKC34" s="557"/>
      <c r="HKD34" s="557"/>
      <c r="HKE34" s="661"/>
      <c r="HKF34" s="556"/>
      <c r="HKG34" s="557"/>
      <c r="HKH34" s="557"/>
      <c r="HKI34" s="557"/>
      <c r="HKJ34" s="557"/>
      <c r="HKK34" s="557"/>
      <c r="HKL34" s="557"/>
      <c r="HKM34" s="557"/>
      <c r="HKN34" s="557"/>
      <c r="HKO34" s="557"/>
      <c r="HKP34" s="557"/>
      <c r="HKQ34" s="557"/>
      <c r="HKR34" s="557"/>
      <c r="HKS34" s="557"/>
      <c r="HKT34" s="557"/>
      <c r="HKU34" s="557"/>
      <c r="HKV34" s="557"/>
      <c r="HKW34" s="557"/>
      <c r="HKX34" s="557"/>
      <c r="HKY34" s="661"/>
      <c r="HKZ34" s="556"/>
      <c r="HLA34" s="557"/>
      <c r="HLB34" s="557"/>
      <c r="HLC34" s="557"/>
      <c r="HLD34" s="557"/>
      <c r="HLE34" s="557"/>
      <c r="HLF34" s="557"/>
      <c r="HLG34" s="557"/>
      <c r="HLH34" s="557"/>
      <c r="HLI34" s="557"/>
      <c r="HLJ34" s="557"/>
      <c r="HLK34" s="557"/>
      <c r="HLL34" s="557"/>
      <c r="HLM34" s="557"/>
      <c r="HLN34" s="557"/>
      <c r="HLO34" s="557"/>
      <c r="HLP34" s="557"/>
      <c r="HLQ34" s="557"/>
      <c r="HLR34" s="557"/>
      <c r="HLS34" s="661"/>
      <c r="HLT34" s="556"/>
      <c r="HLU34" s="557"/>
      <c r="HLV34" s="557"/>
      <c r="HLW34" s="557"/>
      <c r="HLX34" s="557"/>
      <c r="HLY34" s="557"/>
      <c r="HLZ34" s="557"/>
      <c r="HMA34" s="557"/>
      <c r="HMB34" s="557"/>
      <c r="HMC34" s="557"/>
      <c r="HMD34" s="557"/>
      <c r="HME34" s="557"/>
      <c r="HMF34" s="557"/>
      <c r="HMG34" s="557"/>
      <c r="HMH34" s="557"/>
      <c r="HMI34" s="557"/>
      <c r="HMJ34" s="557"/>
      <c r="HMK34" s="557"/>
      <c r="HML34" s="557"/>
      <c r="HMM34" s="661"/>
      <c r="HMN34" s="556"/>
      <c r="HMO34" s="557"/>
      <c r="HMP34" s="557"/>
      <c r="HMQ34" s="557"/>
      <c r="HMR34" s="557"/>
      <c r="HMS34" s="557"/>
      <c r="HMT34" s="557"/>
      <c r="HMU34" s="557"/>
      <c r="HMV34" s="557"/>
      <c r="HMW34" s="557"/>
      <c r="HMX34" s="557"/>
      <c r="HMY34" s="557"/>
      <c r="HMZ34" s="557"/>
      <c r="HNA34" s="557"/>
      <c r="HNB34" s="557"/>
      <c r="HNC34" s="557"/>
      <c r="HND34" s="557"/>
      <c r="HNE34" s="557"/>
      <c r="HNF34" s="557"/>
      <c r="HNG34" s="661"/>
      <c r="HNH34" s="556"/>
      <c r="HNI34" s="557"/>
      <c r="HNJ34" s="557"/>
      <c r="HNK34" s="557"/>
      <c r="HNL34" s="557"/>
      <c r="HNM34" s="557"/>
      <c r="HNN34" s="557"/>
      <c r="HNO34" s="557"/>
      <c r="HNP34" s="557"/>
      <c r="HNQ34" s="557"/>
      <c r="HNR34" s="557"/>
      <c r="HNS34" s="557"/>
      <c r="HNT34" s="557"/>
      <c r="HNU34" s="557"/>
      <c r="HNV34" s="557"/>
      <c r="HNW34" s="557"/>
      <c r="HNX34" s="557"/>
      <c r="HNY34" s="557"/>
      <c r="HNZ34" s="557"/>
      <c r="HOA34" s="661"/>
      <c r="HOB34" s="556"/>
      <c r="HOC34" s="557"/>
      <c r="HOD34" s="557"/>
      <c r="HOE34" s="557"/>
      <c r="HOF34" s="557"/>
      <c r="HOG34" s="557"/>
      <c r="HOH34" s="557"/>
      <c r="HOI34" s="557"/>
      <c r="HOJ34" s="557"/>
      <c r="HOK34" s="557"/>
      <c r="HOL34" s="557"/>
      <c r="HOM34" s="557"/>
      <c r="HON34" s="557"/>
      <c r="HOO34" s="557"/>
      <c r="HOP34" s="557"/>
      <c r="HOQ34" s="557"/>
      <c r="HOR34" s="557"/>
      <c r="HOS34" s="557"/>
      <c r="HOT34" s="557"/>
      <c r="HOU34" s="661"/>
      <c r="HOV34" s="556"/>
      <c r="HOW34" s="557"/>
      <c r="HOX34" s="557"/>
      <c r="HOY34" s="557"/>
      <c r="HOZ34" s="557"/>
      <c r="HPA34" s="557"/>
      <c r="HPB34" s="557"/>
      <c r="HPC34" s="557"/>
      <c r="HPD34" s="557"/>
      <c r="HPE34" s="557"/>
      <c r="HPF34" s="557"/>
      <c r="HPG34" s="557"/>
      <c r="HPH34" s="557"/>
      <c r="HPI34" s="557"/>
      <c r="HPJ34" s="557"/>
      <c r="HPK34" s="557"/>
      <c r="HPL34" s="557"/>
      <c r="HPM34" s="557"/>
      <c r="HPN34" s="557"/>
      <c r="HPO34" s="661"/>
      <c r="HPP34" s="556"/>
      <c r="HPQ34" s="557"/>
      <c r="HPR34" s="557"/>
      <c r="HPS34" s="557"/>
      <c r="HPT34" s="557"/>
      <c r="HPU34" s="557"/>
      <c r="HPV34" s="557"/>
      <c r="HPW34" s="557"/>
      <c r="HPX34" s="557"/>
      <c r="HPY34" s="557"/>
      <c r="HPZ34" s="557"/>
      <c r="HQA34" s="557"/>
      <c r="HQB34" s="557"/>
      <c r="HQC34" s="557"/>
      <c r="HQD34" s="557"/>
      <c r="HQE34" s="557"/>
      <c r="HQF34" s="557"/>
      <c r="HQG34" s="557"/>
      <c r="HQH34" s="557"/>
      <c r="HQI34" s="661"/>
      <c r="HQJ34" s="556"/>
      <c r="HQK34" s="557"/>
      <c r="HQL34" s="557"/>
      <c r="HQM34" s="557"/>
      <c r="HQN34" s="557"/>
      <c r="HQO34" s="557"/>
      <c r="HQP34" s="557"/>
      <c r="HQQ34" s="557"/>
      <c r="HQR34" s="557"/>
      <c r="HQS34" s="557"/>
      <c r="HQT34" s="557"/>
      <c r="HQU34" s="557"/>
      <c r="HQV34" s="557"/>
      <c r="HQW34" s="557"/>
      <c r="HQX34" s="557"/>
      <c r="HQY34" s="557"/>
      <c r="HQZ34" s="557"/>
      <c r="HRA34" s="557"/>
      <c r="HRB34" s="557"/>
      <c r="HRC34" s="661"/>
      <c r="HRD34" s="556"/>
      <c r="HRE34" s="557"/>
      <c r="HRF34" s="557"/>
      <c r="HRG34" s="557"/>
      <c r="HRH34" s="557"/>
      <c r="HRI34" s="557"/>
      <c r="HRJ34" s="557"/>
      <c r="HRK34" s="557"/>
      <c r="HRL34" s="557"/>
      <c r="HRM34" s="557"/>
      <c r="HRN34" s="557"/>
      <c r="HRO34" s="557"/>
      <c r="HRP34" s="557"/>
      <c r="HRQ34" s="557"/>
      <c r="HRR34" s="557"/>
      <c r="HRS34" s="557"/>
      <c r="HRT34" s="557"/>
      <c r="HRU34" s="557"/>
      <c r="HRV34" s="557"/>
      <c r="HRW34" s="661"/>
      <c r="HRX34" s="556"/>
      <c r="HRY34" s="557"/>
      <c r="HRZ34" s="557"/>
      <c r="HSA34" s="557"/>
      <c r="HSB34" s="557"/>
      <c r="HSC34" s="557"/>
      <c r="HSD34" s="557"/>
      <c r="HSE34" s="557"/>
      <c r="HSF34" s="557"/>
      <c r="HSG34" s="557"/>
      <c r="HSH34" s="557"/>
      <c r="HSI34" s="557"/>
      <c r="HSJ34" s="557"/>
      <c r="HSK34" s="557"/>
      <c r="HSL34" s="557"/>
      <c r="HSM34" s="557"/>
      <c r="HSN34" s="557"/>
      <c r="HSO34" s="557"/>
      <c r="HSP34" s="557"/>
      <c r="HSQ34" s="661"/>
      <c r="HSR34" s="556"/>
      <c r="HSS34" s="557"/>
      <c r="HST34" s="557"/>
      <c r="HSU34" s="557"/>
      <c r="HSV34" s="557"/>
      <c r="HSW34" s="557"/>
      <c r="HSX34" s="557"/>
      <c r="HSY34" s="557"/>
      <c r="HSZ34" s="557"/>
      <c r="HTA34" s="557"/>
      <c r="HTB34" s="557"/>
      <c r="HTC34" s="557"/>
      <c r="HTD34" s="557"/>
      <c r="HTE34" s="557"/>
      <c r="HTF34" s="557"/>
      <c r="HTG34" s="557"/>
      <c r="HTH34" s="557"/>
      <c r="HTI34" s="557"/>
      <c r="HTJ34" s="557"/>
      <c r="HTK34" s="661"/>
      <c r="HTL34" s="556"/>
      <c r="HTM34" s="557"/>
      <c r="HTN34" s="557"/>
      <c r="HTO34" s="557"/>
      <c r="HTP34" s="557"/>
      <c r="HTQ34" s="557"/>
      <c r="HTR34" s="557"/>
      <c r="HTS34" s="557"/>
      <c r="HTT34" s="557"/>
      <c r="HTU34" s="557"/>
      <c r="HTV34" s="557"/>
      <c r="HTW34" s="557"/>
      <c r="HTX34" s="557"/>
      <c r="HTY34" s="557"/>
      <c r="HTZ34" s="557"/>
      <c r="HUA34" s="557"/>
      <c r="HUB34" s="557"/>
      <c r="HUC34" s="557"/>
      <c r="HUD34" s="557"/>
      <c r="HUE34" s="661"/>
      <c r="HUF34" s="556"/>
      <c r="HUG34" s="557"/>
      <c r="HUH34" s="557"/>
      <c r="HUI34" s="557"/>
      <c r="HUJ34" s="557"/>
      <c r="HUK34" s="557"/>
      <c r="HUL34" s="557"/>
      <c r="HUM34" s="557"/>
      <c r="HUN34" s="557"/>
      <c r="HUO34" s="557"/>
      <c r="HUP34" s="557"/>
      <c r="HUQ34" s="557"/>
      <c r="HUR34" s="557"/>
      <c r="HUS34" s="557"/>
      <c r="HUT34" s="557"/>
      <c r="HUU34" s="557"/>
      <c r="HUV34" s="557"/>
      <c r="HUW34" s="557"/>
      <c r="HUX34" s="557"/>
      <c r="HUY34" s="661"/>
      <c r="HUZ34" s="556"/>
      <c r="HVA34" s="557"/>
      <c r="HVB34" s="557"/>
      <c r="HVC34" s="557"/>
      <c r="HVD34" s="557"/>
      <c r="HVE34" s="557"/>
      <c r="HVF34" s="557"/>
      <c r="HVG34" s="557"/>
      <c r="HVH34" s="557"/>
      <c r="HVI34" s="557"/>
      <c r="HVJ34" s="557"/>
      <c r="HVK34" s="557"/>
      <c r="HVL34" s="557"/>
      <c r="HVM34" s="557"/>
      <c r="HVN34" s="557"/>
      <c r="HVO34" s="557"/>
      <c r="HVP34" s="557"/>
      <c r="HVQ34" s="557"/>
      <c r="HVR34" s="557"/>
      <c r="HVS34" s="661"/>
      <c r="HVT34" s="556"/>
      <c r="HVU34" s="557"/>
      <c r="HVV34" s="557"/>
      <c r="HVW34" s="557"/>
      <c r="HVX34" s="557"/>
      <c r="HVY34" s="557"/>
      <c r="HVZ34" s="557"/>
      <c r="HWA34" s="557"/>
      <c r="HWB34" s="557"/>
      <c r="HWC34" s="557"/>
      <c r="HWD34" s="557"/>
      <c r="HWE34" s="557"/>
      <c r="HWF34" s="557"/>
      <c r="HWG34" s="557"/>
      <c r="HWH34" s="557"/>
      <c r="HWI34" s="557"/>
      <c r="HWJ34" s="557"/>
      <c r="HWK34" s="557"/>
      <c r="HWL34" s="557"/>
      <c r="HWM34" s="661"/>
      <c r="HWN34" s="556"/>
      <c r="HWO34" s="557"/>
      <c r="HWP34" s="557"/>
      <c r="HWQ34" s="557"/>
      <c r="HWR34" s="557"/>
      <c r="HWS34" s="557"/>
      <c r="HWT34" s="557"/>
      <c r="HWU34" s="557"/>
      <c r="HWV34" s="557"/>
      <c r="HWW34" s="557"/>
      <c r="HWX34" s="557"/>
      <c r="HWY34" s="557"/>
      <c r="HWZ34" s="557"/>
      <c r="HXA34" s="557"/>
      <c r="HXB34" s="557"/>
      <c r="HXC34" s="557"/>
      <c r="HXD34" s="557"/>
      <c r="HXE34" s="557"/>
      <c r="HXF34" s="557"/>
      <c r="HXG34" s="661"/>
      <c r="HXH34" s="556"/>
      <c r="HXI34" s="557"/>
      <c r="HXJ34" s="557"/>
      <c r="HXK34" s="557"/>
      <c r="HXL34" s="557"/>
      <c r="HXM34" s="557"/>
      <c r="HXN34" s="557"/>
      <c r="HXO34" s="557"/>
      <c r="HXP34" s="557"/>
      <c r="HXQ34" s="557"/>
      <c r="HXR34" s="557"/>
      <c r="HXS34" s="557"/>
      <c r="HXT34" s="557"/>
      <c r="HXU34" s="557"/>
      <c r="HXV34" s="557"/>
      <c r="HXW34" s="557"/>
      <c r="HXX34" s="557"/>
      <c r="HXY34" s="557"/>
      <c r="HXZ34" s="557"/>
      <c r="HYA34" s="661"/>
      <c r="HYB34" s="556"/>
      <c r="HYC34" s="557"/>
      <c r="HYD34" s="557"/>
      <c r="HYE34" s="557"/>
      <c r="HYF34" s="557"/>
      <c r="HYG34" s="557"/>
      <c r="HYH34" s="557"/>
      <c r="HYI34" s="557"/>
      <c r="HYJ34" s="557"/>
      <c r="HYK34" s="557"/>
      <c r="HYL34" s="557"/>
      <c r="HYM34" s="557"/>
      <c r="HYN34" s="557"/>
      <c r="HYO34" s="557"/>
      <c r="HYP34" s="557"/>
      <c r="HYQ34" s="557"/>
      <c r="HYR34" s="557"/>
      <c r="HYS34" s="557"/>
      <c r="HYT34" s="557"/>
      <c r="HYU34" s="661"/>
      <c r="HYV34" s="556"/>
      <c r="HYW34" s="557"/>
      <c r="HYX34" s="557"/>
      <c r="HYY34" s="557"/>
      <c r="HYZ34" s="557"/>
      <c r="HZA34" s="557"/>
      <c r="HZB34" s="557"/>
      <c r="HZC34" s="557"/>
      <c r="HZD34" s="557"/>
      <c r="HZE34" s="557"/>
      <c r="HZF34" s="557"/>
      <c r="HZG34" s="557"/>
      <c r="HZH34" s="557"/>
      <c r="HZI34" s="557"/>
      <c r="HZJ34" s="557"/>
      <c r="HZK34" s="557"/>
      <c r="HZL34" s="557"/>
      <c r="HZM34" s="557"/>
      <c r="HZN34" s="557"/>
      <c r="HZO34" s="661"/>
      <c r="HZP34" s="556"/>
      <c r="HZQ34" s="557"/>
      <c r="HZR34" s="557"/>
      <c r="HZS34" s="557"/>
      <c r="HZT34" s="557"/>
      <c r="HZU34" s="557"/>
      <c r="HZV34" s="557"/>
      <c r="HZW34" s="557"/>
      <c r="HZX34" s="557"/>
      <c r="HZY34" s="557"/>
      <c r="HZZ34" s="557"/>
      <c r="IAA34" s="557"/>
      <c r="IAB34" s="557"/>
      <c r="IAC34" s="557"/>
      <c r="IAD34" s="557"/>
      <c r="IAE34" s="557"/>
      <c r="IAF34" s="557"/>
      <c r="IAG34" s="557"/>
      <c r="IAH34" s="557"/>
      <c r="IAI34" s="661"/>
      <c r="IAJ34" s="556"/>
      <c r="IAK34" s="557"/>
      <c r="IAL34" s="557"/>
      <c r="IAM34" s="557"/>
      <c r="IAN34" s="557"/>
      <c r="IAO34" s="557"/>
      <c r="IAP34" s="557"/>
      <c r="IAQ34" s="557"/>
      <c r="IAR34" s="557"/>
      <c r="IAS34" s="557"/>
      <c r="IAT34" s="557"/>
      <c r="IAU34" s="557"/>
      <c r="IAV34" s="557"/>
      <c r="IAW34" s="557"/>
      <c r="IAX34" s="557"/>
      <c r="IAY34" s="557"/>
      <c r="IAZ34" s="557"/>
      <c r="IBA34" s="557"/>
      <c r="IBB34" s="557"/>
      <c r="IBC34" s="661"/>
      <c r="IBD34" s="556"/>
      <c r="IBE34" s="557"/>
      <c r="IBF34" s="557"/>
      <c r="IBG34" s="557"/>
      <c r="IBH34" s="557"/>
      <c r="IBI34" s="557"/>
      <c r="IBJ34" s="557"/>
      <c r="IBK34" s="557"/>
      <c r="IBL34" s="557"/>
      <c r="IBM34" s="557"/>
      <c r="IBN34" s="557"/>
      <c r="IBO34" s="557"/>
      <c r="IBP34" s="557"/>
      <c r="IBQ34" s="557"/>
      <c r="IBR34" s="557"/>
      <c r="IBS34" s="557"/>
      <c r="IBT34" s="557"/>
      <c r="IBU34" s="557"/>
      <c r="IBV34" s="557"/>
      <c r="IBW34" s="661"/>
      <c r="IBX34" s="556"/>
      <c r="IBY34" s="557"/>
      <c r="IBZ34" s="557"/>
      <c r="ICA34" s="557"/>
      <c r="ICB34" s="557"/>
      <c r="ICC34" s="557"/>
      <c r="ICD34" s="557"/>
      <c r="ICE34" s="557"/>
      <c r="ICF34" s="557"/>
      <c r="ICG34" s="557"/>
      <c r="ICH34" s="557"/>
      <c r="ICI34" s="557"/>
      <c r="ICJ34" s="557"/>
      <c r="ICK34" s="557"/>
      <c r="ICL34" s="557"/>
      <c r="ICM34" s="557"/>
      <c r="ICN34" s="557"/>
      <c r="ICO34" s="557"/>
      <c r="ICP34" s="557"/>
      <c r="ICQ34" s="661"/>
      <c r="ICR34" s="556"/>
      <c r="ICS34" s="557"/>
      <c r="ICT34" s="557"/>
      <c r="ICU34" s="557"/>
      <c r="ICV34" s="557"/>
      <c r="ICW34" s="557"/>
      <c r="ICX34" s="557"/>
      <c r="ICY34" s="557"/>
      <c r="ICZ34" s="557"/>
      <c r="IDA34" s="557"/>
      <c r="IDB34" s="557"/>
      <c r="IDC34" s="557"/>
      <c r="IDD34" s="557"/>
      <c r="IDE34" s="557"/>
      <c r="IDF34" s="557"/>
      <c r="IDG34" s="557"/>
      <c r="IDH34" s="557"/>
      <c r="IDI34" s="557"/>
      <c r="IDJ34" s="557"/>
      <c r="IDK34" s="661"/>
      <c r="IDL34" s="556"/>
      <c r="IDM34" s="557"/>
      <c r="IDN34" s="557"/>
      <c r="IDO34" s="557"/>
      <c r="IDP34" s="557"/>
      <c r="IDQ34" s="557"/>
      <c r="IDR34" s="557"/>
      <c r="IDS34" s="557"/>
      <c r="IDT34" s="557"/>
      <c r="IDU34" s="557"/>
      <c r="IDV34" s="557"/>
      <c r="IDW34" s="557"/>
      <c r="IDX34" s="557"/>
      <c r="IDY34" s="557"/>
      <c r="IDZ34" s="557"/>
      <c r="IEA34" s="557"/>
      <c r="IEB34" s="557"/>
      <c r="IEC34" s="557"/>
      <c r="IED34" s="557"/>
      <c r="IEE34" s="661"/>
      <c r="IEF34" s="556"/>
      <c r="IEG34" s="557"/>
      <c r="IEH34" s="557"/>
      <c r="IEI34" s="557"/>
      <c r="IEJ34" s="557"/>
      <c r="IEK34" s="557"/>
      <c r="IEL34" s="557"/>
      <c r="IEM34" s="557"/>
      <c r="IEN34" s="557"/>
      <c r="IEO34" s="557"/>
      <c r="IEP34" s="557"/>
      <c r="IEQ34" s="557"/>
      <c r="IER34" s="557"/>
      <c r="IES34" s="557"/>
      <c r="IET34" s="557"/>
      <c r="IEU34" s="557"/>
      <c r="IEV34" s="557"/>
      <c r="IEW34" s="557"/>
      <c r="IEX34" s="557"/>
      <c r="IEY34" s="661"/>
      <c r="IEZ34" s="556"/>
      <c r="IFA34" s="557"/>
      <c r="IFB34" s="557"/>
      <c r="IFC34" s="557"/>
      <c r="IFD34" s="557"/>
      <c r="IFE34" s="557"/>
      <c r="IFF34" s="557"/>
      <c r="IFG34" s="557"/>
      <c r="IFH34" s="557"/>
      <c r="IFI34" s="557"/>
      <c r="IFJ34" s="557"/>
      <c r="IFK34" s="557"/>
      <c r="IFL34" s="557"/>
      <c r="IFM34" s="557"/>
      <c r="IFN34" s="557"/>
      <c r="IFO34" s="557"/>
      <c r="IFP34" s="557"/>
      <c r="IFQ34" s="557"/>
      <c r="IFR34" s="557"/>
      <c r="IFS34" s="661"/>
      <c r="IFT34" s="556"/>
      <c r="IFU34" s="557"/>
      <c r="IFV34" s="557"/>
      <c r="IFW34" s="557"/>
      <c r="IFX34" s="557"/>
      <c r="IFY34" s="557"/>
      <c r="IFZ34" s="557"/>
      <c r="IGA34" s="557"/>
      <c r="IGB34" s="557"/>
      <c r="IGC34" s="557"/>
      <c r="IGD34" s="557"/>
      <c r="IGE34" s="557"/>
      <c r="IGF34" s="557"/>
      <c r="IGG34" s="557"/>
      <c r="IGH34" s="557"/>
      <c r="IGI34" s="557"/>
      <c r="IGJ34" s="557"/>
      <c r="IGK34" s="557"/>
      <c r="IGL34" s="557"/>
      <c r="IGM34" s="661"/>
      <c r="IGN34" s="556"/>
      <c r="IGO34" s="557"/>
      <c r="IGP34" s="557"/>
      <c r="IGQ34" s="557"/>
      <c r="IGR34" s="557"/>
      <c r="IGS34" s="557"/>
      <c r="IGT34" s="557"/>
      <c r="IGU34" s="557"/>
      <c r="IGV34" s="557"/>
      <c r="IGW34" s="557"/>
      <c r="IGX34" s="557"/>
      <c r="IGY34" s="557"/>
      <c r="IGZ34" s="557"/>
      <c r="IHA34" s="557"/>
      <c r="IHB34" s="557"/>
      <c r="IHC34" s="557"/>
      <c r="IHD34" s="557"/>
      <c r="IHE34" s="557"/>
      <c r="IHF34" s="557"/>
      <c r="IHG34" s="661"/>
      <c r="IHH34" s="556"/>
      <c r="IHI34" s="557"/>
      <c r="IHJ34" s="557"/>
      <c r="IHK34" s="557"/>
      <c r="IHL34" s="557"/>
      <c r="IHM34" s="557"/>
      <c r="IHN34" s="557"/>
      <c r="IHO34" s="557"/>
      <c r="IHP34" s="557"/>
      <c r="IHQ34" s="557"/>
      <c r="IHR34" s="557"/>
      <c r="IHS34" s="557"/>
      <c r="IHT34" s="557"/>
      <c r="IHU34" s="557"/>
      <c r="IHV34" s="557"/>
      <c r="IHW34" s="557"/>
      <c r="IHX34" s="557"/>
      <c r="IHY34" s="557"/>
      <c r="IHZ34" s="557"/>
      <c r="IIA34" s="661"/>
      <c r="IIB34" s="556"/>
      <c r="IIC34" s="557"/>
      <c r="IID34" s="557"/>
      <c r="IIE34" s="557"/>
      <c r="IIF34" s="557"/>
      <c r="IIG34" s="557"/>
      <c r="IIH34" s="557"/>
      <c r="III34" s="557"/>
      <c r="IIJ34" s="557"/>
      <c r="IIK34" s="557"/>
      <c r="IIL34" s="557"/>
      <c r="IIM34" s="557"/>
      <c r="IIN34" s="557"/>
      <c r="IIO34" s="557"/>
      <c r="IIP34" s="557"/>
      <c r="IIQ34" s="557"/>
      <c r="IIR34" s="557"/>
      <c r="IIS34" s="557"/>
      <c r="IIT34" s="557"/>
      <c r="IIU34" s="661"/>
      <c r="IIV34" s="556"/>
      <c r="IIW34" s="557"/>
      <c r="IIX34" s="557"/>
      <c r="IIY34" s="557"/>
      <c r="IIZ34" s="557"/>
      <c r="IJA34" s="557"/>
      <c r="IJB34" s="557"/>
      <c r="IJC34" s="557"/>
      <c r="IJD34" s="557"/>
      <c r="IJE34" s="557"/>
      <c r="IJF34" s="557"/>
      <c r="IJG34" s="557"/>
      <c r="IJH34" s="557"/>
      <c r="IJI34" s="557"/>
      <c r="IJJ34" s="557"/>
      <c r="IJK34" s="557"/>
      <c r="IJL34" s="557"/>
      <c r="IJM34" s="557"/>
      <c r="IJN34" s="557"/>
      <c r="IJO34" s="661"/>
      <c r="IJP34" s="556"/>
      <c r="IJQ34" s="557"/>
      <c r="IJR34" s="557"/>
      <c r="IJS34" s="557"/>
      <c r="IJT34" s="557"/>
      <c r="IJU34" s="557"/>
      <c r="IJV34" s="557"/>
      <c r="IJW34" s="557"/>
      <c r="IJX34" s="557"/>
      <c r="IJY34" s="557"/>
      <c r="IJZ34" s="557"/>
      <c r="IKA34" s="557"/>
      <c r="IKB34" s="557"/>
      <c r="IKC34" s="557"/>
      <c r="IKD34" s="557"/>
      <c r="IKE34" s="557"/>
      <c r="IKF34" s="557"/>
      <c r="IKG34" s="557"/>
      <c r="IKH34" s="557"/>
      <c r="IKI34" s="661"/>
      <c r="IKJ34" s="556"/>
      <c r="IKK34" s="557"/>
      <c r="IKL34" s="557"/>
      <c r="IKM34" s="557"/>
      <c r="IKN34" s="557"/>
      <c r="IKO34" s="557"/>
      <c r="IKP34" s="557"/>
      <c r="IKQ34" s="557"/>
      <c r="IKR34" s="557"/>
      <c r="IKS34" s="557"/>
      <c r="IKT34" s="557"/>
      <c r="IKU34" s="557"/>
      <c r="IKV34" s="557"/>
      <c r="IKW34" s="557"/>
      <c r="IKX34" s="557"/>
      <c r="IKY34" s="557"/>
      <c r="IKZ34" s="557"/>
      <c r="ILA34" s="557"/>
      <c r="ILB34" s="557"/>
      <c r="ILC34" s="661"/>
      <c r="ILD34" s="556"/>
      <c r="ILE34" s="557"/>
      <c r="ILF34" s="557"/>
      <c r="ILG34" s="557"/>
      <c r="ILH34" s="557"/>
      <c r="ILI34" s="557"/>
      <c r="ILJ34" s="557"/>
      <c r="ILK34" s="557"/>
      <c r="ILL34" s="557"/>
      <c r="ILM34" s="557"/>
      <c r="ILN34" s="557"/>
      <c r="ILO34" s="557"/>
      <c r="ILP34" s="557"/>
      <c r="ILQ34" s="557"/>
      <c r="ILR34" s="557"/>
      <c r="ILS34" s="557"/>
      <c r="ILT34" s="557"/>
      <c r="ILU34" s="557"/>
      <c r="ILV34" s="557"/>
      <c r="ILW34" s="661"/>
      <c r="ILX34" s="556"/>
      <c r="ILY34" s="557"/>
      <c r="ILZ34" s="557"/>
      <c r="IMA34" s="557"/>
      <c r="IMB34" s="557"/>
      <c r="IMC34" s="557"/>
      <c r="IMD34" s="557"/>
      <c r="IME34" s="557"/>
      <c r="IMF34" s="557"/>
      <c r="IMG34" s="557"/>
      <c r="IMH34" s="557"/>
      <c r="IMI34" s="557"/>
      <c r="IMJ34" s="557"/>
      <c r="IMK34" s="557"/>
      <c r="IML34" s="557"/>
      <c r="IMM34" s="557"/>
      <c r="IMN34" s="557"/>
      <c r="IMO34" s="557"/>
      <c r="IMP34" s="557"/>
      <c r="IMQ34" s="661"/>
      <c r="IMR34" s="556"/>
      <c r="IMS34" s="557"/>
      <c r="IMT34" s="557"/>
      <c r="IMU34" s="557"/>
      <c r="IMV34" s="557"/>
      <c r="IMW34" s="557"/>
      <c r="IMX34" s="557"/>
      <c r="IMY34" s="557"/>
      <c r="IMZ34" s="557"/>
      <c r="INA34" s="557"/>
      <c r="INB34" s="557"/>
      <c r="INC34" s="557"/>
      <c r="IND34" s="557"/>
      <c r="INE34" s="557"/>
      <c r="INF34" s="557"/>
      <c r="ING34" s="557"/>
      <c r="INH34" s="557"/>
      <c r="INI34" s="557"/>
      <c r="INJ34" s="557"/>
      <c r="INK34" s="661"/>
      <c r="INL34" s="556"/>
      <c r="INM34" s="557"/>
      <c r="INN34" s="557"/>
      <c r="INO34" s="557"/>
      <c r="INP34" s="557"/>
      <c r="INQ34" s="557"/>
      <c r="INR34" s="557"/>
      <c r="INS34" s="557"/>
      <c r="INT34" s="557"/>
      <c r="INU34" s="557"/>
      <c r="INV34" s="557"/>
      <c r="INW34" s="557"/>
      <c r="INX34" s="557"/>
      <c r="INY34" s="557"/>
      <c r="INZ34" s="557"/>
      <c r="IOA34" s="557"/>
      <c r="IOB34" s="557"/>
      <c r="IOC34" s="557"/>
      <c r="IOD34" s="557"/>
      <c r="IOE34" s="661"/>
      <c r="IOF34" s="556"/>
      <c r="IOG34" s="557"/>
      <c r="IOH34" s="557"/>
      <c r="IOI34" s="557"/>
      <c r="IOJ34" s="557"/>
      <c r="IOK34" s="557"/>
      <c r="IOL34" s="557"/>
      <c r="IOM34" s="557"/>
      <c r="ION34" s="557"/>
      <c r="IOO34" s="557"/>
      <c r="IOP34" s="557"/>
      <c r="IOQ34" s="557"/>
      <c r="IOR34" s="557"/>
      <c r="IOS34" s="557"/>
      <c r="IOT34" s="557"/>
      <c r="IOU34" s="557"/>
      <c r="IOV34" s="557"/>
      <c r="IOW34" s="557"/>
      <c r="IOX34" s="557"/>
      <c r="IOY34" s="661"/>
      <c r="IOZ34" s="556"/>
      <c r="IPA34" s="557"/>
      <c r="IPB34" s="557"/>
      <c r="IPC34" s="557"/>
      <c r="IPD34" s="557"/>
      <c r="IPE34" s="557"/>
      <c r="IPF34" s="557"/>
      <c r="IPG34" s="557"/>
      <c r="IPH34" s="557"/>
      <c r="IPI34" s="557"/>
      <c r="IPJ34" s="557"/>
      <c r="IPK34" s="557"/>
      <c r="IPL34" s="557"/>
      <c r="IPM34" s="557"/>
      <c r="IPN34" s="557"/>
      <c r="IPO34" s="557"/>
      <c r="IPP34" s="557"/>
      <c r="IPQ34" s="557"/>
      <c r="IPR34" s="557"/>
      <c r="IPS34" s="661"/>
      <c r="IPT34" s="556"/>
      <c r="IPU34" s="557"/>
      <c r="IPV34" s="557"/>
      <c r="IPW34" s="557"/>
      <c r="IPX34" s="557"/>
      <c r="IPY34" s="557"/>
      <c r="IPZ34" s="557"/>
      <c r="IQA34" s="557"/>
      <c r="IQB34" s="557"/>
      <c r="IQC34" s="557"/>
      <c r="IQD34" s="557"/>
      <c r="IQE34" s="557"/>
      <c r="IQF34" s="557"/>
      <c r="IQG34" s="557"/>
      <c r="IQH34" s="557"/>
      <c r="IQI34" s="557"/>
      <c r="IQJ34" s="557"/>
      <c r="IQK34" s="557"/>
      <c r="IQL34" s="557"/>
      <c r="IQM34" s="661"/>
      <c r="IQN34" s="556"/>
      <c r="IQO34" s="557"/>
      <c r="IQP34" s="557"/>
      <c r="IQQ34" s="557"/>
      <c r="IQR34" s="557"/>
      <c r="IQS34" s="557"/>
      <c r="IQT34" s="557"/>
      <c r="IQU34" s="557"/>
      <c r="IQV34" s="557"/>
      <c r="IQW34" s="557"/>
      <c r="IQX34" s="557"/>
      <c r="IQY34" s="557"/>
      <c r="IQZ34" s="557"/>
      <c r="IRA34" s="557"/>
      <c r="IRB34" s="557"/>
      <c r="IRC34" s="557"/>
      <c r="IRD34" s="557"/>
      <c r="IRE34" s="557"/>
      <c r="IRF34" s="557"/>
      <c r="IRG34" s="661"/>
      <c r="IRH34" s="556"/>
      <c r="IRI34" s="557"/>
      <c r="IRJ34" s="557"/>
      <c r="IRK34" s="557"/>
      <c r="IRL34" s="557"/>
      <c r="IRM34" s="557"/>
      <c r="IRN34" s="557"/>
      <c r="IRO34" s="557"/>
      <c r="IRP34" s="557"/>
      <c r="IRQ34" s="557"/>
      <c r="IRR34" s="557"/>
      <c r="IRS34" s="557"/>
      <c r="IRT34" s="557"/>
      <c r="IRU34" s="557"/>
      <c r="IRV34" s="557"/>
      <c r="IRW34" s="557"/>
      <c r="IRX34" s="557"/>
      <c r="IRY34" s="557"/>
      <c r="IRZ34" s="557"/>
      <c r="ISA34" s="661"/>
      <c r="ISB34" s="556"/>
      <c r="ISC34" s="557"/>
      <c r="ISD34" s="557"/>
      <c r="ISE34" s="557"/>
      <c r="ISF34" s="557"/>
      <c r="ISG34" s="557"/>
      <c r="ISH34" s="557"/>
      <c r="ISI34" s="557"/>
      <c r="ISJ34" s="557"/>
      <c r="ISK34" s="557"/>
      <c r="ISL34" s="557"/>
      <c r="ISM34" s="557"/>
      <c r="ISN34" s="557"/>
      <c r="ISO34" s="557"/>
      <c r="ISP34" s="557"/>
      <c r="ISQ34" s="557"/>
      <c r="ISR34" s="557"/>
      <c r="ISS34" s="557"/>
      <c r="IST34" s="557"/>
      <c r="ISU34" s="661"/>
      <c r="ISV34" s="556"/>
      <c r="ISW34" s="557"/>
      <c r="ISX34" s="557"/>
      <c r="ISY34" s="557"/>
      <c r="ISZ34" s="557"/>
      <c r="ITA34" s="557"/>
      <c r="ITB34" s="557"/>
      <c r="ITC34" s="557"/>
      <c r="ITD34" s="557"/>
      <c r="ITE34" s="557"/>
      <c r="ITF34" s="557"/>
      <c r="ITG34" s="557"/>
      <c r="ITH34" s="557"/>
      <c r="ITI34" s="557"/>
      <c r="ITJ34" s="557"/>
      <c r="ITK34" s="557"/>
      <c r="ITL34" s="557"/>
      <c r="ITM34" s="557"/>
      <c r="ITN34" s="557"/>
      <c r="ITO34" s="661"/>
      <c r="ITP34" s="556"/>
      <c r="ITQ34" s="557"/>
      <c r="ITR34" s="557"/>
      <c r="ITS34" s="557"/>
      <c r="ITT34" s="557"/>
      <c r="ITU34" s="557"/>
      <c r="ITV34" s="557"/>
      <c r="ITW34" s="557"/>
      <c r="ITX34" s="557"/>
      <c r="ITY34" s="557"/>
      <c r="ITZ34" s="557"/>
      <c r="IUA34" s="557"/>
      <c r="IUB34" s="557"/>
      <c r="IUC34" s="557"/>
      <c r="IUD34" s="557"/>
      <c r="IUE34" s="557"/>
      <c r="IUF34" s="557"/>
      <c r="IUG34" s="557"/>
      <c r="IUH34" s="557"/>
      <c r="IUI34" s="661"/>
      <c r="IUJ34" s="556"/>
      <c r="IUK34" s="557"/>
      <c r="IUL34" s="557"/>
      <c r="IUM34" s="557"/>
      <c r="IUN34" s="557"/>
      <c r="IUO34" s="557"/>
      <c r="IUP34" s="557"/>
      <c r="IUQ34" s="557"/>
      <c r="IUR34" s="557"/>
      <c r="IUS34" s="557"/>
      <c r="IUT34" s="557"/>
      <c r="IUU34" s="557"/>
      <c r="IUV34" s="557"/>
      <c r="IUW34" s="557"/>
      <c r="IUX34" s="557"/>
      <c r="IUY34" s="557"/>
      <c r="IUZ34" s="557"/>
      <c r="IVA34" s="557"/>
      <c r="IVB34" s="557"/>
      <c r="IVC34" s="661"/>
      <c r="IVD34" s="556"/>
      <c r="IVE34" s="557"/>
      <c r="IVF34" s="557"/>
      <c r="IVG34" s="557"/>
      <c r="IVH34" s="557"/>
      <c r="IVI34" s="557"/>
      <c r="IVJ34" s="557"/>
      <c r="IVK34" s="557"/>
      <c r="IVL34" s="557"/>
      <c r="IVM34" s="557"/>
      <c r="IVN34" s="557"/>
      <c r="IVO34" s="557"/>
      <c r="IVP34" s="557"/>
      <c r="IVQ34" s="557"/>
      <c r="IVR34" s="557"/>
      <c r="IVS34" s="557"/>
      <c r="IVT34" s="557"/>
      <c r="IVU34" s="557"/>
      <c r="IVV34" s="557"/>
      <c r="IVW34" s="661"/>
      <c r="IVX34" s="556"/>
      <c r="IVY34" s="557"/>
      <c r="IVZ34" s="557"/>
      <c r="IWA34" s="557"/>
      <c r="IWB34" s="557"/>
      <c r="IWC34" s="557"/>
      <c r="IWD34" s="557"/>
      <c r="IWE34" s="557"/>
      <c r="IWF34" s="557"/>
      <c r="IWG34" s="557"/>
      <c r="IWH34" s="557"/>
      <c r="IWI34" s="557"/>
      <c r="IWJ34" s="557"/>
      <c r="IWK34" s="557"/>
      <c r="IWL34" s="557"/>
      <c r="IWM34" s="557"/>
      <c r="IWN34" s="557"/>
      <c r="IWO34" s="557"/>
      <c r="IWP34" s="557"/>
      <c r="IWQ34" s="661"/>
      <c r="IWR34" s="556"/>
      <c r="IWS34" s="557"/>
      <c r="IWT34" s="557"/>
      <c r="IWU34" s="557"/>
      <c r="IWV34" s="557"/>
      <c r="IWW34" s="557"/>
      <c r="IWX34" s="557"/>
      <c r="IWY34" s="557"/>
      <c r="IWZ34" s="557"/>
      <c r="IXA34" s="557"/>
      <c r="IXB34" s="557"/>
      <c r="IXC34" s="557"/>
      <c r="IXD34" s="557"/>
      <c r="IXE34" s="557"/>
      <c r="IXF34" s="557"/>
      <c r="IXG34" s="557"/>
      <c r="IXH34" s="557"/>
      <c r="IXI34" s="557"/>
      <c r="IXJ34" s="557"/>
      <c r="IXK34" s="661"/>
      <c r="IXL34" s="556"/>
      <c r="IXM34" s="557"/>
      <c r="IXN34" s="557"/>
      <c r="IXO34" s="557"/>
      <c r="IXP34" s="557"/>
      <c r="IXQ34" s="557"/>
      <c r="IXR34" s="557"/>
      <c r="IXS34" s="557"/>
      <c r="IXT34" s="557"/>
      <c r="IXU34" s="557"/>
      <c r="IXV34" s="557"/>
      <c r="IXW34" s="557"/>
      <c r="IXX34" s="557"/>
      <c r="IXY34" s="557"/>
      <c r="IXZ34" s="557"/>
      <c r="IYA34" s="557"/>
      <c r="IYB34" s="557"/>
      <c r="IYC34" s="557"/>
      <c r="IYD34" s="557"/>
      <c r="IYE34" s="661"/>
      <c r="IYF34" s="556"/>
      <c r="IYG34" s="557"/>
      <c r="IYH34" s="557"/>
      <c r="IYI34" s="557"/>
      <c r="IYJ34" s="557"/>
      <c r="IYK34" s="557"/>
      <c r="IYL34" s="557"/>
      <c r="IYM34" s="557"/>
      <c r="IYN34" s="557"/>
      <c r="IYO34" s="557"/>
      <c r="IYP34" s="557"/>
      <c r="IYQ34" s="557"/>
      <c r="IYR34" s="557"/>
      <c r="IYS34" s="557"/>
      <c r="IYT34" s="557"/>
      <c r="IYU34" s="557"/>
      <c r="IYV34" s="557"/>
      <c r="IYW34" s="557"/>
      <c r="IYX34" s="557"/>
      <c r="IYY34" s="661"/>
      <c r="IYZ34" s="556"/>
      <c r="IZA34" s="557"/>
      <c r="IZB34" s="557"/>
      <c r="IZC34" s="557"/>
      <c r="IZD34" s="557"/>
      <c r="IZE34" s="557"/>
      <c r="IZF34" s="557"/>
      <c r="IZG34" s="557"/>
      <c r="IZH34" s="557"/>
      <c r="IZI34" s="557"/>
      <c r="IZJ34" s="557"/>
      <c r="IZK34" s="557"/>
      <c r="IZL34" s="557"/>
      <c r="IZM34" s="557"/>
      <c r="IZN34" s="557"/>
      <c r="IZO34" s="557"/>
      <c r="IZP34" s="557"/>
      <c r="IZQ34" s="557"/>
      <c r="IZR34" s="557"/>
      <c r="IZS34" s="661"/>
      <c r="IZT34" s="556"/>
      <c r="IZU34" s="557"/>
      <c r="IZV34" s="557"/>
      <c r="IZW34" s="557"/>
      <c r="IZX34" s="557"/>
      <c r="IZY34" s="557"/>
      <c r="IZZ34" s="557"/>
      <c r="JAA34" s="557"/>
      <c r="JAB34" s="557"/>
      <c r="JAC34" s="557"/>
      <c r="JAD34" s="557"/>
      <c r="JAE34" s="557"/>
      <c r="JAF34" s="557"/>
      <c r="JAG34" s="557"/>
      <c r="JAH34" s="557"/>
      <c r="JAI34" s="557"/>
      <c r="JAJ34" s="557"/>
      <c r="JAK34" s="557"/>
      <c r="JAL34" s="557"/>
      <c r="JAM34" s="661"/>
      <c r="JAN34" s="556"/>
      <c r="JAO34" s="557"/>
      <c r="JAP34" s="557"/>
      <c r="JAQ34" s="557"/>
      <c r="JAR34" s="557"/>
      <c r="JAS34" s="557"/>
      <c r="JAT34" s="557"/>
      <c r="JAU34" s="557"/>
      <c r="JAV34" s="557"/>
      <c r="JAW34" s="557"/>
      <c r="JAX34" s="557"/>
      <c r="JAY34" s="557"/>
      <c r="JAZ34" s="557"/>
      <c r="JBA34" s="557"/>
      <c r="JBB34" s="557"/>
      <c r="JBC34" s="557"/>
      <c r="JBD34" s="557"/>
      <c r="JBE34" s="557"/>
      <c r="JBF34" s="557"/>
      <c r="JBG34" s="661"/>
      <c r="JBH34" s="556"/>
      <c r="JBI34" s="557"/>
      <c r="JBJ34" s="557"/>
      <c r="JBK34" s="557"/>
      <c r="JBL34" s="557"/>
      <c r="JBM34" s="557"/>
      <c r="JBN34" s="557"/>
      <c r="JBO34" s="557"/>
      <c r="JBP34" s="557"/>
      <c r="JBQ34" s="557"/>
      <c r="JBR34" s="557"/>
      <c r="JBS34" s="557"/>
      <c r="JBT34" s="557"/>
      <c r="JBU34" s="557"/>
      <c r="JBV34" s="557"/>
      <c r="JBW34" s="557"/>
      <c r="JBX34" s="557"/>
      <c r="JBY34" s="557"/>
      <c r="JBZ34" s="557"/>
      <c r="JCA34" s="661"/>
      <c r="JCB34" s="556"/>
      <c r="JCC34" s="557"/>
      <c r="JCD34" s="557"/>
      <c r="JCE34" s="557"/>
      <c r="JCF34" s="557"/>
      <c r="JCG34" s="557"/>
      <c r="JCH34" s="557"/>
      <c r="JCI34" s="557"/>
      <c r="JCJ34" s="557"/>
      <c r="JCK34" s="557"/>
      <c r="JCL34" s="557"/>
      <c r="JCM34" s="557"/>
      <c r="JCN34" s="557"/>
      <c r="JCO34" s="557"/>
      <c r="JCP34" s="557"/>
      <c r="JCQ34" s="557"/>
      <c r="JCR34" s="557"/>
      <c r="JCS34" s="557"/>
      <c r="JCT34" s="557"/>
      <c r="JCU34" s="661"/>
      <c r="JCV34" s="556"/>
      <c r="JCW34" s="557"/>
      <c r="JCX34" s="557"/>
      <c r="JCY34" s="557"/>
      <c r="JCZ34" s="557"/>
      <c r="JDA34" s="557"/>
      <c r="JDB34" s="557"/>
      <c r="JDC34" s="557"/>
      <c r="JDD34" s="557"/>
      <c r="JDE34" s="557"/>
      <c r="JDF34" s="557"/>
      <c r="JDG34" s="557"/>
      <c r="JDH34" s="557"/>
      <c r="JDI34" s="557"/>
      <c r="JDJ34" s="557"/>
      <c r="JDK34" s="557"/>
      <c r="JDL34" s="557"/>
      <c r="JDM34" s="557"/>
      <c r="JDN34" s="557"/>
      <c r="JDO34" s="661"/>
      <c r="JDP34" s="556"/>
      <c r="JDQ34" s="557"/>
      <c r="JDR34" s="557"/>
      <c r="JDS34" s="557"/>
      <c r="JDT34" s="557"/>
      <c r="JDU34" s="557"/>
      <c r="JDV34" s="557"/>
      <c r="JDW34" s="557"/>
      <c r="JDX34" s="557"/>
      <c r="JDY34" s="557"/>
      <c r="JDZ34" s="557"/>
      <c r="JEA34" s="557"/>
      <c r="JEB34" s="557"/>
      <c r="JEC34" s="557"/>
      <c r="JED34" s="557"/>
      <c r="JEE34" s="557"/>
      <c r="JEF34" s="557"/>
      <c r="JEG34" s="557"/>
      <c r="JEH34" s="557"/>
      <c r="JEI34" s="661"/>
      <c r="JEJ34" s="556"/>
      <c r="JEK34" s="557"/>
      <c r="JEL34" s="557"/>
      <c r="JEM34" s="557"/>
      <c r="JEN34" s="557"/>
      <c r="JEO34" s="557"/>
      <c r="JEP34" s="557"/>
      <c r="JEQ34" s="557"/>
      <c r="JER34" s="557"/>
      <c r="JES34" s="557"/>
      <c r="JET34" s="557"/>
      <c r="JEU34" s="557"/>
      <c r="JEV34" s="557"/>
      <c r="JEW34" s="557"/>
      <c r="JEX34" s="557"/>
      <c r="JEY34" s="557"/>
      <c r="JEZ34" s="557"/>
      <c r="JFA34" s="557"/>
      <c r="JFB34" s="557"/>
      <c r="JFC34" s="661"/>
      <c r="JFD34" s="556"/>
      <c r="JFE34" s="557"/>
      <c r="JFF34" s="557"/>
      <c r="JFG34" s="557"/>
      <c r="JFH34" s="557"/>
      <c r="JFI34" s="557"/>
      <c r="JFJ34" s="557"/>
      <c r="JFK34" s="557"/>
      <c r="JFL34" s="557"/>
      <c r="JFM34" s="557"/>
      <c r="JFN34" s="557"/>
      <c r="JFO34" s="557"/>
      <c r="JFP34" s="557"/>
      <c r="JFQ34" s="557"/>
      <c r="JFR34" s="557"/>
      <c r="JFS34" s="557"/>
      <c r="JFT34" s="557"/>
      <c r="JFU34" s="557"/>
      <c r="JFV34" s="557"/>
      <c r="JFW34" s="661"/>
      <c r="JFX34" s="556"/>
      <c r="JFY34" s="557"/>
      <c r="JFZ34" s="557"/>
      <c r="JGA34" s="557"/>
      <c r="JGB34" s="557"/>
      <c r="JGC34" s="557"/>
      <c r="JGD34" s="557"/>
      <c r="JGE34" s="557"/>
      <c r="JGF34" s="557"/>
      <c r="JGG34" s="557"/>
      <c r="JGH34" s="557"/>
      <c r="JGI34" s="557"/>
      <c r="JGJ34" s="557"/>
      <c r="JGK34" s="557"/>
      <c r="JGL34" s="557"/>
      <c r="JGM34" s="557"/>
      <c r="JGN34" s="557"/>
      <c r="JGO34" s="557"/>
      <c r="JGP34" s="557"/>
      <c r="JGQ34" s="661"/>
      <c r="JGR34" s="556"/>
      <c r="JGS34" s="557"/>
      <c r="JGT34" s="557"/>
      <c r="JGU34" s="557"/>
      <c r="JGV34" s="557"/>
      <c r="JGW34" s="557"/>
      <c r="JGX34" s="557"/>
      <c r="JGY34" s="557"/>
      <c r="JGZ34" s="557"/>
      <c r="JHA34" s="557"/>
      <c r="JHB34" s="557"/>
      <c r="JHC34" s="557"/>
      <c r="JHD34" s="557"/>
      <c r="JHE34" s="557"/>
      <c r="JHF34" s="557"/>
      <c r="JHG34" s="557"/>
      <c r="JHH34" s="557"/>
      <c r="JHI34" s="557"/>
      <c r="JHJ34" s="557"/>
      <c r="JHK34" s="661"/>
      <c r="JHL34" s="556"/>
      <c r="JHM34" s="557"/>
      <c r="JHN34" s="557"/>
      <c r="JHO34" s="557"/>
      <c r="JHP34" s="557"/>
      <c r="JHQ34" s="557"/>
      <c r="JHR34" s="557"/>
      <c r="JHS34" s="557"/>
      <c r="JHT34" s="557"/>
      <c r="JHU34" s="557"/>
      <c r="JHV34" s="557"/>
      <c r="JHW34" s="557"/>
      <c r="JHX34" s="557"/>
      <c r="JHY34" s="557"/>
      <c r="JHZ34" s="557"/>
      <c r="JIA34" s="557"/>
      <c r="JIB34" s="557"/>
      <c r="JIC34" s="557"/>
      <c r="JID34" s="557"/>
      <c r="JIE34" s="661"/>
      <c r="JIF34" s="556"/>
      <c r="JIG34" s="557"/>
      <c r="JIH34" s="557"/>
      <c r="JII34" s="557"/>
      <c r="JIJ34" s="557"/>
      <c r="JIK34" s="557"/>
      <c r="JIL34" s="557"/>
      <c r="JIM34" s="557"/>
      <c r="JIN34" s="557"/>
      <c r="JIO34" s="557"/>
      <c r="JIP34" s="557"/>
      <c r="JIQ34" s="557"/>
      <c r="JIR34" s="557"/>
      <c r="JIS34" s="557"/>
      <c r="JIT34" s="557"/>
      <c r="JIU34" s="557"/>
      <c r="JIV34" s="557"/>
      <c r="JIW34" s="557"/>
      <c r="JIX34" s="557"/>
      <c r="JIY34" s="661"/>
      <c r="JIZ34" s="556"/>
      <c r="JJA34" s="557"/>
      <c r="JJB34" s="557"/>
      <c r="JJC34" s="557"/>
      <c r="JJD34" s="557"/>
      <c r="JJE34" s="557"/>
      <c r="JJF34" s="557"/>
      <c r="JJG34" s="557"/>
      <c r="JJH34" s="557"/>
      <c r="JJI34" s="557"/>
      <c r="JJJ34" s="557"/>
      <c r="JJK34" s="557"/>
      <c r="JJL34" s="557"/>
      <c r="JJM34" s="557"/>
      <c r="JJN34" s="557"/>
      <c r="JJO34" s="557"/>
      <c r="JJP34" s="557"/>
      <c r="JJQ34" s="557"/>
      <c r="JJR34" s="557"/>
      <c r="JJS34" s="661"/>
      <c r="JJT34" s="556"/>
      <c r="JJU34" s="557"/>
      <c r="JJV34" s="557"/>
      <c r="JJW34" s="557"/>
      <c r="JJX34" s="557"/>
      <c r="JJY34" s="557"/>
      <c r="JJZ34" s="557"/>
      <c r="JKA34" s="557"/>
      <c r="JKB34" s="557"/>
      <c r="JKC34" s="557"/>
      <c r="JKD34" s="557"/>
      <c r="JKE34" s="557"/>
      <c r="JKF34" s="557"/>
      <c r="JKG34" s="557"/>
      <c r="JKH34" s="557"/>
      <c r="JKI34" s="557"/>
      <c r="JKJ34" s="557"/>
      <c r="JKK34" s="557"/>
      <c r="JKL34" s="557"/>
      <c r="JKM34" s="661"/>
      <c r="JKN34" s="556"/>
      <c r="JKO34" s="557"/>
      <c r="JKP34" s="557"/>
      <c r="JKQ34" s="557"/>
      <c r="JKR34" s="557"/>
      <c r="JKS34" s="557"/>
      <c r="JKT34" s="557"/>
      <c r="JKU34" s="557"/>
      <c r="JKV34" s="557"/>
      <c r="JKW34" s="557"/>
      <c r="JKX34" s="557"/>
      <c r="JKY34" s="557"/>
      <c r="JKZ34" s="557"/>
      <c r="JLA34" s="557"/>
      <c r="JLB34" s="557"/>
      <c r="JLC34" s="557"/>
      <c r="JLD34" s="557"/>
      <c r="JLE34" s="557"/>
      <c r="JLF34" s="557"/>
      <c r="JLG34" s="661"/>
      <c r="JLH34" s="556"/>
      <c r="JLI34" s="557"/>
      <c r="JLJ34" s="557"/>
      <c r="JLK34" s="557"/>
      <c r="JLL34" s="557"/>
      <c r="JLM34" s="557"/>
      <c r="JLN34" s="557"/>
      <c r="JLO34" s="557"/>
      <c r="JLP34" s="557"/>
      <c r="JLQ34" s="557"/>
      <c r="JLR34" s="557"/>
      <c r="JLS34" s="557"/>
      <c r="JLT34" s="557"/>
      <c r="JLU34" s="557"/>
      <c r="JLV34" s="557"/>
      <c r="JLW34" s="557"/>
      <c r="JLX34" s="557"/>
      <c r="JLY34" s="557"/>
      <c r="JLZ34" s="557"/>
      <c r="JMA34" s="661"/>
      <c r="JMB34" s="556"/>
      <c r="JMC34" s="557"/>
      <c r="JMD34" s="557"/>
      <c r="JME34" s="557"/>
      <c r="JMF34" s="557"/>
      <c r="JMG34" s="557"/>
      <c r="JMH34" s="557"/>
      <c r="JMI34" s="557"/>
      <c r="JMJ34" s="557"/>
      <c r="JMK34" s="557"/>
      <c r="JML34" s="557"/>
      <c r="JMM34" s="557"/>
      <c r="JMN34" s="557"/>
      <c r="JMO34" s="557"/>
      <c r="JMP34" s="557"/>
      <c r="JMQ34" s="557"/>
      <c r="JMR34" s="557"/>
      <c r="JMS34" s="557"/>
      <c r="JMT34" s="557"/>
      <c r="JMU34" s="661"/>
      <c r="JMV34" s="556"/>
      <c r="JMW34" s="557"/>
      <c r="JMX34" s="557"/>
      <c r="JMY34" s="557"/>
      <c r="JMZ34" s="557"/>
      <c r="JNA34" s="557"/>
      <c r="JNB34" s="557"/>
      <c r="JNC34" s="557"/>
      <c r="JND34" s="557"/>
      <c r="JNE34" s="557"/>
      <c r="JNF34" s="557"/>
      <c r="JNG34" s="557"/>
      <c r="JNH34" s="557"/>
      <c r="JNI34" s="557"/>
      <c r="JNJ34" s="557"/>
      <c r="JNK34" s="557"/>
      <c r="JNL34" s="557"/>
      <c r="JNM34" s="557"/>
      <c r="JNN34" s="557"/>
      <c r="JNO34" s="661"/>
      <c r="JNP34" s="556"/>
      <c r="JNQ34" s="557"/>
      <c r="JNR34" s="557"/>
      <c r="JNS34" s="557"/>
      <c r="JNT34" s="557"/>
      <c r="JNU34" s="557"/>
      <c r="JNV34" s="557"/>
      <c r="JNW34" s="557"/>
      <c r="JNX34" s="557"/>
      <c r="JNY34" s="557"/>
      <c r="JNZ34" s="557"/>
      <c r="JOA34" s="557"/>
      <c r="JOB34" s="557"/>
      <c r="JOC34" s="557"/>
      <c r="JOD34" s="557"/>
      <c r="JOE34" s="557"/>
      <c r="JOF34" s="557"/>
      <c r="JOG34" s="557"/>
      <c r="JOH34" s="557"/>
      <c r="JOI34" s="661"/>
      <c r="JOJ34" s="556"/>
      <c r="JOK34" s="557"/>
      <c r="JOL34" s="557"/>
      <c r="JOM34" s="557"/>
      <c r="JON34" s="557"/>
      <c r="JOO34" s="557"/>
      <c r="JOP34" s="557"/>
      <c r="JOQ34" s="557"/>
      <c r="JOR34" s="557"/>
      <c r="JOS34" s="557"/>
      <c r="JOT34" s="557"/>
      <c r="JOU34" s="557"/>
      <c r="JOV34" s="557"/>
      <c r="JOW34" s="557"/>
      <c r="JOX34" s="557"/>
      <c r="JOY34" s="557"/>
      <c r="JOZ34" s="557"/>
      <c r="JPA34" s="557"/>
      <c r="JPB34" s="557"/>
      <c r="JPC34" s="661"/>
      <c r="JPD34" s="556"/>
      <c r="JPE34" s="557"/>
      <c r="JPF34" s="557"/>
      <c r="JPG34" s="557"/>
      <c r="JPH34" s="557"/>
      <c r="JPI34" s="557"/>
      <c r="JPJ34" s="557"/>
      <c r="JPK34" s="557"/>
      <c r="JPL34" s="557"/>
      <c r="JPM34" s="557"/>
      <c r="JPN34" s="557"/>
      <c r="JPO34" s="557"/>
      <c r="JPP34" s="557"/>
      <c r="JPQ34" s="557"/>
      <c r="JPR34" s="557"/>
      <c r="JPS34" s="557"/>
      <c r="JPT34" s="557"/>
      <c r="JPU34" s="557"/>
      <c r="JPV34" s="557"/>
      <c r="JPW34" s="661"/>
      <c r="JPX34" s="556"/>
      <c r="JPY34" s="557"/>
      <c r="JPZ34" s="557"/>
      <c r="JQA34" s="557"/>
      <c r="JQB34" s="557"/>
      <c r="JQC34" s="557"/>
      <c r="JQD34" s="557"/>
      <c r="JQE34" s="557"/>
      <c r="JQF34" s="557"/>
      <c r="JQG34" s="557"/>
      <c r="JQH34" s="557"/>
      <c r="JQI34" s="557"/>
      <c r="JQJ34" s="557"/>
      <c r="JQK34" s="557"/>
      <c r="JQL34" s="557"/>
      <c r="JQM34" s="557"/>
      <c r="JQN34" s="557"/>
      <c r="JQO34" s="557"/>
      <c r="JQP34" s="557"/>
      <c r="JQQ34" s="661"/>
      <c r="JQR34" s="556"/>
      <c r="JQS34" s="557"/>
      <c r="JQT34" s="557"/>
      <c r="JQU34" s="557"/>
      <c r="JQV34" s="557"/>
      <c r="JQW34" s="557"/>
      <c r="JQX34" s="557"/>
      <c r="JQY34" s="557"/>
      <c r="JQZ34" s="557"/>
      <c r="JRA34" s="557"/>
      <c r="JRB34" s="557"/>
      <c r="JRC34" s="557"/>
      <c r="JRD34" s="557"/>
      <c r="JRE34" s="557"/>
      <c r="JRF34" s="557"/>
      <c r="JRG34" s="557"/>
      <c r="JRH34" s="557"/>
      <c r="JRI34" s="557"/>
      <c r="JRJ34" s="557"/>
      <c r="JRK34" s="661"/>
      <c r="JRL34" s="556"/>
      <c r="JRM34" s="557"/>
      <c r="JRN34" s="557"/>
      <c r="JRO34" s="557"/>
      <c r="JRP34" s="557"/>
      <c r="JRQ34" s="557"/>
      <c r="JRR34" s="557"/>
      <c r="JRS34" s="557"/>
      <c r="JRT34" s="557"/>
      <c r="JRU34" s="557"/>
      <c r="JRV34" s="557"/>
      <c r="JRW34" s="557"/>
      <c r="JRX34" s="557"/>
      <c r="JRY34" s="557"/>
      <c r="JRZ34" s="557"/>
      <c r="JSA34" s="557"/>
      <c r="JSB34" s="557"/>
      <c r="JSC34" s="557"/>
      <c r="JSD34" s="557"/>
      <c r="JSE34" s="661"/>
      <c r="JSF34" s="556"/>
      <c r="JSG34" s="557"/>
      <c r="JSH34" s="557"/>
      <c r="JSI34" s="557"/>
      <c r="JSJ34" s="557"/>
      <c r="JSK34" s="557"/>
      <c r="JSL34" s="557"/>
      <c r="JSM34" s="557"/>
      <c r="JSN34" s="557"/>
      <c r="JSO34" s="557"/>
      <c r="JSP34" s="557"/>
      <c r="JSQ34" s="557"/>
      <c r="JSR34" s="557"/>
      <c r="JSS34" s="557"/>
      <c r="JST34" s="557"/>
      <c r="JSU34" s="557"/>
      <c r="JSV34" s="557"/>
      <c r="JSW34" s="557"/>
      <c r="JSX34" s="557"/>
      <c r="JSY34" s="661"/>
      <c r="JSZ34" s="556"/>
      <c r="JTA34" s="557"/>
      <c r="JTB34" s="557"/>
      <c r="JTC34" s="557"/>
      <c r="JTD34" s="557"/>
      <c r="JTE34" s="557"/>
      <c r="JTF34" s="557"/>
      <c r="JTG34" s="557"/>
      <c r="JTH34" s="557"/>
      <c r="JTI34" s="557"/>
      <c r="JTJ34" s="557"/>
      <c r="JTK34" s="557"/>
      <c r="JTL34" s="557"/>
      <c r="JTM34" s="557"/>
      <c r="JTN34" s="557"/>
      <c r="JTO34" s="557"/>
      <c r="JTP34" s="557"/>
      <c r="JTQ34" s="557"/>
      <c r="JTR34" s="557"/>
      <c r="JTS34" s="661"/>
      <c r="JTT34" s="556"/>
      <c r="JTU34" s="557"/>
      <c r="JTV34" s="557"/>
      <c r="JTW34" s="557"/>
      <c r="JTX34" s="557"/>
      <c r="JTY34" s="557"/>
      <c r="JTZ34" s="557"/>
      <c r="JUA34" s="557"/>
      <c r="JUB34" s="557"/>
      <c r="JUC34" s="557"/>
      <c r="JUD34" s="557"/>
      <c r="JUE34" s="557"/>
      <c r="JUF34" s="557"/>
      <c r="JUG34" s="557"/>
      <c r="JUH34" s="557"/>
      <c r="JUI34" s="557"/>
      <c r="JUJ34" s="557"/>
      <c r="JUK34" s="557"/>
      <c r="JUL34" s="557"/>
      <c r="JUM34" s="661"/>
      <c r="JUN34" s="556"/>
      <c r="JUO34" s="557"/>
      <c r="JUP34" s="557"/>
      <c r="JUQ34" s="557"/>
      <c r="JUR34" s="557"/>
      <c r="JUS34" s="557"/>
      <c r="JUT34" s="557"/>
      <c r="JUU34" s="557"/>
      <c r="JUV34" s="557"/>
      <c r="JUW34" s="557"/>
      <c r="JUX34" s="557"/>
      <c r="JUY34" s="557"/>
      <c r="JUZ34" s="557"/>
      <c r="JVA34" s="557"/>
      <c r="JVB34" s="557"/>
      <c r="JVC34" s="557"/>
      <c r="JVD34" s="557"/>
      <c r="JVE34" s="557"/>
      <c r="JVF34" s="557"/>
      <c r="JVG34" s="661"/>
      <c r="JVH34" s="556"/>
      <c r="JVI34" s="557"/>
      <c r="JVJ34" s="557"/>
      <c r="JVK34" s="557"/>
      <c r="JVL34" s="557"/>
      <c r="JVM34" s="557"/>
      <c r="JVN34" s="557"/>
      <c r="JVO34" s="557"/>
      <c r="JVP34" s="557"/>
      <c r="JVQ34" s="557"/>
      <c r="JVR34" s="557"/>
      <c r="JVS34" s="557"/>
      <c r="JVT34" s="557"/>
      <c r="JVU34" s="557"/>
      <c r="JVV34" s="557"/>
      <c r="JVW34" s="557"/>
      <c r="JVX34" s="557"/>
      <c r="JVY34" s="557"/>
      <c r="JVZ34" s="557"/>
      <c r="JWA34" s="661"/>
      <c r="JWB34" s="556"/>
      <c r="JWC34" s="557"/>
      <c r="JWD34" s="557"/>
      <c r="JWE34" s="557"/>
      <c r="JWF34" s="557"/>
      <c r="JWG34" s="557"/>
      <c r="JWH34" s="557"/>
      <c r="JWI34" s="557"/>
      <c r="JWJ34" s="557"/>
      <c r="JWK34" s="557"/>
      <c r="JWL34" s="557"/>
      <c r="JWM34" s="557"/>
      <c r="JWN34" s="557"/>
      <c r="JWO34" s="557"/>
      <c r="JWP34" s="557"/>
      <c r="JWQ34" s="557"/>
      <c r="JWR34" s="557"/>
      <c r="JWS34" s="557"/>
      <c r="JWT34" s="557"/>
      <c r="JWU34" s="661"/>
      <c r="JWV34" s="556"/>
      <c r="JWW34" s="557"/>
      <c r="JWX34" s="557"/>
      <c r="JWY34" s="557"/>
      <c r="JWZ34" s="557"/>
      <c r="JXA34" s="557"/>
      <c r="JXB34" s="557"/>
      <c r="JXC34" s="557"/>
      <c r="JXD34" s="557"/>
      <c r="JXE34" s="557"/>
      <c r="JXF34" s="557"/>
      <c r="JXG34" s="557"/>
      <c r="JXH34" s="557"/>
      <c r="JXI34" s="557"/>
      <c r="JXJ34" s="557"/>
      <c r="JXK34" s="557"/>
      <c r="JXL34" s="557"/>
      <c r="JXM34" s="557"/>
      <c r="JXN34" s="557"/>
      <c r="JXO34" s="661"/>
      <c r="JXP34" s="556"/>
      <c r="JXQ34" s="557"/>
      <c r="JXR34" s="557"/>
      <c r="JXS34" s="557"/>
      <c r="JXT34" s="557"/>
      <c r="JXU34" s="557"/>
      <c r="JXV34" s="557"/>
      <c r="JXW34" s="557"/>
      <c r="JXX34" s="557"/>
      <c r="JXY34" s="557"/>
      <c r="JXZ34" s="557"/>
      <c r="JYA34" s="557"/>
      <c r="JYB34" s="557"/>
      <c r="JYC34" s="557"/>
      <c r="JYD34" s="557"/>
      <c r="JYE34" s="557"/>
      <c r="JYF34" s="557"/>
      <c r="JYG34" s="557"/>
      <c r="JYH34" s="557"/>
      <c r="JYI34" s="661"/>
      <c r="JYJ34" s="556"/>
      <c r="JYK34" s="557"/>
      <c r="JYL34" s="557"/>
      <c r="JYM34" s="557"/>
      <c r="JYN34" s="557"/>
      <c r="JYO34" s="557"/>
      <c r="JYP34" s="557"/>
      <c r="JYQ34" s="557"/>
      <c r="JYR34" s="557"/>
      <c r="JYS34" s="557"/>
      <c r="JYT34" s="557"/>
      <c r="JYU34" s="557"/>
      <c r="JYV34" s="557"/>
      <c r="JYW34" s="557"/>
      <c r="JYX34" s="557"/>
      <c r="JYY34" s="557"/>
      <c r="JYZ34" s="557"/>
      <c r="JZA34" s="557"/>
      <c r="JZB34" s="557"/>
      <c r="JZC34" s="661"/>
      <c r="JZD34" s="556"/>
      <c r="JZE34" s="557"/>
      <c r="JZF34" s="557"/>
      <c r="JZG34" s="557"/>
      <c r="JZH34" s="557"/>
      <c r="JZI34" s="557"/>
      <c r="JZJ34" s="557"/>
      <c r="JZK34" s="557"/>
      <c r="JZL34" s="557"/>
      <c r="JZM34" s="557"/>
      <c r="JZN34" s="557"/>
      <c r="JZO34" s="557"/>
      <c r="JZP34" s="557"/>
      <c r="JZQ34" s="557"/>
      <c r="JZR34" s="557"/>
      <c r="JZS34" s="557"/>
      <c r="JZT34" s="557"/>
      <c r="JZU34" s="557"/>
      <c r="JZV34" s="557"/>
      <c r="JZW34" s="661"/>
      <c r="JZX34" s="556"/>
      <c r="JZY34" s="557"/>
      <c r="JZZ34" s="557"/>
      <c r="KAA34" s="557"/>
      <c r="KAB34" s="557"/>
      <c r="KAC34" s="557"/>
      <c r="KAD34" s="557"/>
      <c r="KAE34" s="557"/>
      <c r="KAF34" s="557"/>
      <c r="KAG34" s="557"/>
      <c r="KAH34" s="557"/>
      <c r="KAI34" s="557"/>
      <c r="KAJ34" s="557"/>
      <c r="KAK34" s="557"/>
      <c r="KAL34" s="557"/>
      <c r="KAM34" s="557"/>
      <c r="KAN34" s="557"/>
      <c r="KAO34" s="557"/>
      <c r="KAP34" s="557"/>
      <c r="KAQ34" s="661"/>
      <c r="KAR34" s="556"/>
      <c r="KAS34" s="557"/>
      <c r="KAT34" s="557"/>
      <c r="KAU34" s="557"/>
      <c r="KAV34" s="557"/>
      <c r="KAW34" s="557"/>
      <c r="KAX34" s="557"/>
      <c r="KAY34" s="557"/>
      <c r="KAZ34" s="557"/>
      <c r="KBA34" s="557"/>
      <c r="KBB34" s="557"/>
      <c r="KBC34" s="557"/>
      <c r="KBD34" s="557"/>
      <c r="KBE34" s="557"/>
      <c r="KBF34" s="557"/>
      <c r="KBG34" s="557"/>
      <c r="KBH34" s="557"/>
      <c r="KBI34" s="557"/>
      <c r="KBJ34" s="557"/>
      <c r="KBK34" s="661"/>
      <c r="KBL34" s="556"/>
      <c r="KBM34" s="557"/>
      <c r="KBN34" s="557"/>
      <c r="KBO34" s="557"/>
      <c r="KBP34" s="557"/>
      <c r="KBQ34" s="557"/>
      <c r="KBR34" s="557"/>
      <c r="KBS34" s="557"/>
      <c r="KBT34" s="557"/>
      <c r="KBU34" s="557"/>
      <c r="KBV34" s="557"/>
      <c r="KBW34" s="557"/>
      <c r="KBX34" s="557"/>
      <c r="KBY34" s="557"/>
      <c r="KBZ34" s="557"/>
      <c r="KCA34" s="557"/>
      <c r="KCB34" s="557"/>
      <c r="KCC34" s="557"/>
      <c r="KCD34" s="557"/>
      <c r="KCE34" s="661"/>
      <c r="KCF34" s="556"/>
      <c r="KCG34" s="557"/>
      <c r="KCH34" s="557"/>
      <c r="KCI34" s="557"/>
      <c r="KCJ34" s="557"/>
      <c r="KCK34" s="557"/>
      <c r="KCL34" s="557"/>
      <c r="KCM34" s="557"/>
      <c r="KCN34" s="557"/>
      <c r="KCO34" s="557"/>
      <c r="KCP34" s="557"/>
      <c r="KCQ34" s="557"/>
      <c r="KCR34" s="557"/>
      <c r="KCS34" s="557"/>
      <c r="KCT34" s="557"/>
      <c r="KCU34" s="557"/>
      <c r="KCV34" s="557"/>
      <c r="KCW34" s="557"/>
      <c r="KCX34" s="557"/>
      <c r="KCY34" s="661"/>
      <c r="KCZ34" s="556"/>
      <c r="KDA34" s="557"/>
      <c r="KDB34" s="557"/>
      <c r="KDC34" s="557"/>
      <c r="KDD34" s="557"/>
      <c r="KDE34" s="557"/>
      <c r="KDF34" s="557"/>
      <c r="KDG34" s="557"/>
      <c r="KDH34" s="557"/>
      <c r="KDI34" s="557"/>
      <c r="KDJ34" s="557"/>
      <c r="KDK34" s="557"/>
      <c r="KDL34" s="557"/>
      <c r="KDM34" s="557"/>
      <c r="KDN34" s="557"/>
      <c r="KDO34" s="557"/>
      <c r="KDP34" s="557"/>
      <c r="KDQ34" s="557"/>
      <c r="KDR34" s="557"/>
      <c r="KDS34" s="661"/>
      <c r="KDT34" s="556"/>
      <c r="KDU34" s="557"/>
      <c r="KDV34" s="557"/>
      <c r="KDW34" s="557"/>
      <c r="KDX34" s="557"/>
      <c r="KDY34" s="557"/>
      <c r="KDZ34" s="557"/>
      <c r="KEA34" s="557"/>
      <c r="KEB34" s="557"/>
      <c r="KEC34" s="557"/>
      <c r="KED34" s="557"/>
      <c r="KEE34" s="557"/>
      <c r="KEF34" s="557"/>
      <c r="KEG34" s="557"/>
      <c r="KEH34" s="557"/>
      <c r="KEI34" s="557"/>
      <c r="KEJ34" s="557"/>
      <c r="KEK34" s="557"/>
      <c r="KEL34" s="557"/>
      <c r="KEM34" s="661"/>
      <c r="KEN34" s="556"/>
      <c r="KEO34" s="557"/>
      <c r="KEP34" s="557"/>
      <c r="KEQ34" s="557"/>
      <c r="KER34" s="557"/>
      <c r="KES34" s="557"/>
      <c r="KET34" s="557"/>
      <c r="KEU34" s="557"/>
      <c r="KEV34" s="557"/>
      <c r="KEW34" s="557"/>
      <c r="KEX34" s="557"/>
      <c r="KEY34" s="557"/>
      <c r="KEZ34" s="557"/>
      <c r="KFA34" s="557"/>
      <c r="KFB34" s="557"/>
      <c r="KFC34" s="557"/>
      <c r="KFD34" s="557"/>
      <c r="KFE34" s="557"/>
      <c r="KFF34" s="557"/>
      <c r="KFG34" s="661"/>
      <c r="KFH34" s="556"/>
      <c r="KFI34" s="557"/>
      <c r="KFJ34" s="557"/>
      <c r="KFK34" s="557"/>
      <c r="KFL34" s="557"/>
      <c r="KFM34" s="557"/>
      <c r="KFN34" s="557"/>
      <c r="KFO34" s="557"/>
      <c r="KFP34" s="557"/>
      <c r="KFQ34" s="557"/>
      <c r="KFR34" s="557"/>
      <c r="KFS34" s="557"/>
      <c r="KFT34" s="557"/>
      <c r="KFU34" s="557"/>
      <c r="KFV34" s="557"/>
      <c r="KFW34" s="557"/>
      <c r="KFX34" s="557"/>
      <c r="KFY34" s="557"/>
      <c r="KFZ34" s="557"/>
      <c r="KGA34" s="661"/>
      <c r="KGB34" s="556"/>
      <c r="KGC34" s="557"/>
      <c r="KGD34" s="557"/>
      <c r="KGE34" s="557"/>
      <c r="KGF34" s="557"/>
      <c r="KGG34" s="557"/>
      <c r="KGH34" s="557"/>
      <c r="KGI34" s="557"/>
      <c r="KGJ34" s="557"/>
      <c r="KGK34" s="557"/>
      <c r="KGL34" s="557"/>
      <c r="KGM34" s="557"/>
      <c r="KGN34" s="557"/>
      <c r="KGO34" s="557"/>
      <c r="KGP34" s="557"/>
      <c r="KGQ34" s="557"/>
      <c r="KGR34" s="557"/>
      <c r="KGS34" s="557"/>
      <c r="KGT34" s="557"/>
      <c r="KGU34" s="661"/>
      <c r="KGV34" s="556"/>
      <c r="KGW34" s="557"/>
      <c r="KGX34" s="557"/>
      <c r="KGY34" s="557"/>
      <c r="KGZ34" s="557"/>
      <c r="KHA34" s="557"/>
      <c r="KHB34" s="557"/>
      <c r="KHC34" s="557"/>
      <c r="KHD34" s="557"/>
      <c r="KHE34" s="557"/>
      <c r="KHF34" s="557"/>
      <c r="KHG34" s="557"/>
      <c r="KHH34" s="557"/>
      <c r="KHI34" s="557"/>
      <c r="KHJ34" s="557"/>
      <c r="KHK34" s="557"/>
      <c r="KHL34" s="557"/>
      <c r="KHM34" s="557"/>
      <c r="KHN34" s="557"/>
      <c r="KHO34" s="661"/>
      <c r="KHP34" s="556"/>
      <c r="KHQ34" s="557"/>
      <c r="KHR34" s="557"/>
      <c r="KHS34" s="557"/>
      <c r="KHT34" s="557"/>
      <c r="KHU34" s="557"/>
      <c r="KHV34" s="557"/>
      <c r="KHW34" s="557"/>
      <c r="KHX34" s="557"/>
      <c r="KHY34" s="557"/>
      <c r="KHZ34" s="557"/>
      <c r="KIA34" s="557"/>
      <c r="KIB34" s="557"/>
      <c r="KIC34" s="557"/>
      <c r="KID34" s="557"/>
      <c r="KIE34" s="557"/>
      <c r="KIF34" s="557"/>
      <c r="KIG34" s="557"/>
      <c r="KIH34" s="557"/>
      <c r="KII34" s="661"/>
      <c r="KIJ34" s="556"/>
      <c r="KIK34" s="557"/>
      <c r="KIL34" s="557"/>
      <c r="KIM34" s="557"/>
      <c r="KIN34" s="557"/>
      <c r="KIO34" s="557"/>
      <c r="KIP34" s="557"/>
      <c r="KIQ34" s="557"/>
      <c r="KIR34" s="557"/>
      <c r="KIS34" s="557"/>
      <c r="KIT34" s="557"/>
      <c r="KIU34" s="557"/>
      <c r="KIV34" s="557"/>
      <c r="KIW34" s="557"/>
      <c r="KIX34" s="557"/>
      <c r="KIY34" s="557"/>
      <c r="KIZ34" s="557"/>
      <c r="KJA34" s="557"/>
      <c r="KJB34" s="557"/>
      <c r="KJC34" s="661"/>
      <c r="KJD34" s="556"/>
      <c r="KJE34" s="557"/>
      <c r="KJF34" s="557"/>
      <c r="KJG34" s="557"/>
      <c r="KJH34" s="557"/>
      <c r="KJI34" s="557"/>
      <c r="KJJ34" s="557"/>
      <c r="KJK34" s="557"/>
      <c r="KJL34" s="557"/>
      <c r="KJM34" s="557"/>
      <c r="KJN34" s="557"/>
      <c r="KJO34" s="557"/>
      <c r="KJP34" s="557"/>
      <c r="KJQ34" s="557"/>
      <c r="KJR34" s="557"/>
      <c r="KJS34" s="557"/>
      <c r="KJT34" s="557"/>
      <c r="KJU34" s="557"/>
      <c r="KJV34" s="557"/>
      <c r="KJW34" s="661"/>
      <c r="KJX34" s="556"/>
      <c r="KJY34" s="557"/>
      <c r="KJZ34" s="557"/>
      <c r="KKA34" s="557"/>
      <c r="KKB34" s="557"/>
      <c r="KKC34" s="557"/>
      <c r="KKD34" s="557"/>
      <c r="KKE34" s="557"/>
      <c r="KKF34" s="557"/>
      <c r="KKG34" s="557"/>
      <c r="KKH34" s="557"/>
      <c r="KKI34" s="557"/>
      <c r="KKJ34" s="557"/>
      <c r="KKK34" s="557"/>
      <c r="KKL34" s="557"/>
      <c r="KKM34" s="557"/>
      <c r="KKN34" s="557"/>
      <c r="KKO34" s="557"/>
      <c r="KKP34" s="557"/>
      <c r="KKQ34" s="661"/>
      <c r="KKR34" s="556"/>
      <c r="KKS34" s="557"/>
      <c r="KKT34" s="557"/>
      <c r="KKU34" s="557"/>
      <c r="KKV34" s="557"/>
      <c r="KKW34" s="557"/>
      <c r="KKX34" s="557"/>
      <c r="KKY34" s="557"/>
      <c r="KKZ34" s="557"/>
      <c r="KLA34" s="557"/>
      <c r="KLB34" s="557"/>
      <c r="KLC34" s="557"/>
      <c r="KLD34" s="557"/>
      <c r="KLE34" s="557"/>
      <c r="KLF34" s="557"/>
      <c r="KLG34" s="557"/>
      <c r="KLH34" s="557"/>
      <c r="KLI34" s="557"/>
      <c r="KLJ34" s="557"/>
      <c r="KLK34" s="661"/>
      <c r="KLL34" s="556"/>
      <c r="KLM34" s="557"/>
      <c r="KLN34" s="557"/>
      <c r="KLO34" s="557"/>
      <c r="KLP34" s="557"/>
      <c r="KLQ34" s="557"/>
      <c r="KLR34" s="557"/>
      <c r="KLS34" s="557"/>
      <c r="KLT34" s="557"/>
      <c r="KLU34" s="557"/>
      <c r="KLV34" s="557"/>
      <c r="KLW34" s="557"/>
      <c r="KLX34" s="557"/>
      <c r="KLY34" s="557"/>
      <c r="KLZ34" s="557"/>
      <c r="KMA34" s="557"/>
      <c r="KMB34" s="557"/>
      <c r="KMC34" s="557"/>
      <c r="KMD34" s="557"/>
      <c r="KME34" s="661"/>
      <c r="KMF34" s="556"/>
      <c r="KMG34" s="557"/>
      <c r="KMH34" s="557"/>
      <c r="KMI34" s="557"/>
      <c r="KMJ34" s="557"/>
      <c r="KMK34" s="557"/>
      <c r="KML34" s="557"/>
      <c r="KMM34" s="557"/>
      <c r="KMN34" s="557"/>
      <c r="KMO34" s="557"/>
      <c r="KMP34" s="557"/>
      <c r="KMQ34" s="557"/>
      <c r="KMR34" s="557"/>
      <c r="KMS34" s="557"/>
      <c r="KMT34" s="557"/>
      <c r="KMU34" s="557"/>
      <c r="KMV34" s="557"/>
      <c r="KMW34" s="557"/>
      <c r="KMX34" s="557"/>
      <c r="KMY34" s="661"/>
      <c r="KMZ34" s="556"/>
      <c r="KNA34" s="557"/>
      <c r="KNB34" s="557"/>
      <c r="KNC34" s="557"/>
      <c r="KND34" s="557"/>
      <c r="KNE34" s="557"/>
      <c r="KNF34" s="557"/>
      <c r="KNG34" s="557"/>
      <c r="KNH34" s="557"/>
      <c r="KNI34" s="557"/>
      <c r="KNJ34" s="557"/>
      <c r="KNK34" s="557"/>
      <c r="KNL34" s="557"/>
      <c r="KNM34" s="557"/>
      <c r="KNN34" s="557"/>
      <c r="KNO34" s="557"/>
      <c r="KNP34" s="557"/>
      <c r="KNQ34" s="557"/>
      <c r="KNR34" s="557"/>
      <c r="KNS34" s="661"/>
      <c r="KNT34" s="556"/>
      <c r="KNU34" s="557"/>
      <c r="KNV34" s="557"/>
      <c r="KNW34" s="557"/>
      <c r="KNX34" s="557"/>
      <c r="KNY34" s="557"/>
      <c r="KNZ34" s="557"/>
      <c r="KOA34" s="557"/>
      <c r="KOB34" s="557"/>
      <c r="KOC34" s="557"/>
      <c r="KOD34" s="557"/>
      <c r="KOE34" s="557"/>
      <c r="KOF34" s="557"/>
      <c r="KOG34" s="557"/>
      <c r="KOH34" s="557"/>
      <c r="KOI34" s="557"/>
      <c r="KOJ34" s="557"/>
      <c r="KOK34" s="557"/>
      <c r="KOL34" s="557"/>
      <c r="KOM34" s="661"/>
      <c r="KON34" s="556"/>
      <c r="KOO34" s="557"/>
      <c r="KOP34" s="557"/>
      <c r="KOQ34" s="557"/>
      <c r="KOR34" s="557"/>
      <c r="KOS34" s="557"/>
      <c r="KOT34" s="557"/>
      <c r="KOU34" s="557"/>
      <c r="KOV34" s="557"/>
      <c r="KOW34" s="557"/>
      <c r="KOX34" s="557"/>
      <c r="KOY34" s="557"/>
      <c r="KOZ34" s="557"/>
      <c r="KPA34" s="557"/>
      <c r="KPB34" s="557"/>
      <c r="KPC34" s="557"/>
      <c r="KPD34" s="557"/>
      <c r="KPE34" s="557"/>
      <c r="KPF34" s="557"/>
      <c r="KPG34" s="661"/>
      <c r="KPH34" s="556"/>
      <c r="KPI34" s="557"/>
      <c r="KPJ34" s="557"/>
      <c r="KPK34" s="557"/>
      <c r="KPL34" s="557"/>
      <c r="KPM34" s="557"/>
      <c r="KPN34" s="557"/>
      <c r="KPO34" s="557"/>
      <c r="KPP34" s="557"/>
      <c r="KPQ34" s="557"/>
      <c r="KPR34" s="557"/>
      <c r="KPS34" s="557"/>
      <c r="KPT34" s="557"/>
      <c r="KPU34" s="557"/>
      <c r="KPV34" s="557"/>
      <c r="KPW34" s="557"/>
      <c r="KPX34" s="557"/>
      <c r="KPY34" s="557"/>
      <c r="KPZ34" s="557"/>
      <c r="KQA34" s="661"/>
      <c r="KQB34" s="556"/>
      <c r="KQC34" s="557"/>
      <c r="KQD34" s="557"/>
      <c r="KQE34" s="557"/>
      <c r="KQF34" s="557"/>
      <c r="KQG34" s="557"/>
      <c r="KQH34" s="557"/>
      <c r="KQI34" s="557"/>
      <c r="KQJ34" s="557"/>
      <c r="KQK34" s="557"/>
      <c r="KQL34" s="557"/>
      <c r="KQM34" s="557"/>
      <c r="KQN34" s="557"/>
      <c r="KQO34" s="557"/>
      <c r="KQP34" s="557"/>
      <c r="KQQ34" s="557"/>
      <c r="KQR34" s="557"/>
      <c r="KQS34" s="557"/>
      <c r="KQT34" s="557"/>
      <c r="KQU34" s="661"/>
      <c r="KQV34" s="556"/>
      <c r="KQW34" s="557"/>
      <c r="KQX34" s="557"/>
      <c r="KQY34" s="557"/>
      <c r="KQZ34" s="557"/>
      <c r="KRA34" s="557"/>
      <c r="KRB34" s="557"/>
      <c r="KRC34" s="557"/>
      <c r="KRD34" s="557"/>
      <c r="KRE34" s="557"/>
      <c r="KRF34" s="557"/>
      <c r="KRG34" s="557"/>
      <c r="KRH34" s="557"/>
      <c r="KRI34" s="557"/>
      <c r="KRJ34" s="557"/>
      <c r="KRK34" s="557"/>
      <c r="KRL34" s="557"/>
      <c r="KRM34" s="557"/>
      <c r="KRN34" s="557"/>
      <c r="KRO34" s="661"/>
      <c r="KRP34" s="556"/>
      <c r="KRQ34" s="557"/>
      <c r="KRR34" s="557"/>
      <c r="KRS34" s="557"/>
      <c r="KRT34" s="557"/>
      <c r="KRU34" s="557"/>
      <c r="KRV34" s="557"/>
      <c r="KRW34" s="557"/>
      <c r="KRX34" s="557"/>
      <c r="KRY34" s="557"/>
      <c r="KRZ34" s="557"/>
      <c r="KSA34" s="557"/>
      <c r="KSB34" s="557"/>
      <c r="KSC34" s="557"/>
      <c r="KSD34" s="557"/>
      <c r="KSE34" s="557"/>
      <c r="KSF34" s="557"/>
      <c r="KSG34" s="557"/>
      <c r="KSH34" s="557"/>
      <c r="KSI34" s="661"/>
      <c r="KSJ34" s="556"/>
      <c r="KSK34" s="557"/>
      <c r="KSL34" s="557"/>
      <c r="KSM34" s="557"/>
      <c r="KSN34" s="557"/>
      <c r="KSO34" s="557"/>
      <c r="KSP34" s="557"/>
      <c r="KSQ34" s="557"/>
      <c r="KSR34" s="557"/>
      <c r="KSS34" s="557"/>
      <c r="KST34" s="557"/>
      <c r="KSU34" s="557"/>
      <c r="KSV34" s="557"/>
      <c r="KSW34" s="557"/>
      <c r="KSX34" s="557"/>
      <c r="KSY34" s="557"/>
      <c r="KSZ34" s="557"/>
      <c r="KTA34" s="557"/>
      <c r="KTB34" s="557"/>
      <c r="KTC34" s="661"/>
      <c r="KTD34" s="556"/>
      <c r="KTE34" s="557"/>
      <c r="KTF34" s="557"/>
      <c r="KTG34" s="557"/>
      <c r="KTH34" s="557"/>
      <c r="KTI34" s="557"/>
      <c r="KTJ34" s="557"/>
      <c r="KTK34" s="557"/>
      <c r="KTL34" s="557"/>
      <c r="KTM34" s="557"/>
      <c r="KTN34" s="557"/>
      <c r="KTO34" s="557"/>
      <c r="KTP34" s="557"/>
      <c r="KTQ34" s="557"/>
      <c r="KTR34" s="557"/>
      <c r="KTS34" s="557"/>
      <c r="KTT34" s="557"/>
      <c r="KTU34" s="557"/>
      <c r="KTV34" s="557"/>
      <c r="KTW34" s="661"/>
      <c r="KTX34" s="556"/>
      <c r="KTY34" s="557"/>
      <c r="KTZ34" s="557"/>
      <c r="KUA34" s="557"/>
      <c r="KUB34" s="557"/>
      <c r="KUC34" s="557"/>
      <c r="KUD34" s="557"/>
      <c r="KUE34" s="557"/>
      <c r="KUF34" s="557"/>
      <c r="KUG34" s="557"/>
      <c r="KUH34" s="557"/>
      <c r="KUI34" s="557"/>
      <c r="KUJ34" s="557"/>
      <c r="KUK34" s="557"/>
      <c r="KUL34" s="557"/>
      <c r="KUM34" s="557"/>
      <c r="KUN34" s="557"/>
      <c r="KUO34" s="557"/>
      <c r="KUP34" s="557"/>
      <c r="KUQ34" s="661"/>
      <c r="KUR34" s="556"/>
      <c r="KUS34" s="557"/>
      <c r="KUT34" s="557"/>
      <c r="KUU34" s="557"/>
      <c r="KUV34" s="557"/>
      <c r="KUW34" s="557"/>
      <c r="KUX34" s="557"/>
      <c r="KUY34" s="557"/>
      <c r="KUZ34" s="557"/>
      <c r="KVA34" s="557"/>
      <c r="KVB34" s="557"/>
      <c r="KVC34" s="557"/>
      <c r="KVD34" s="557"/>
      <c r="KVE34" s="557"/>
      <c r="KVF34" s="557"/>
      <c r="KVG34" s="557"/>
      <c r="KVH34" s="557"/>
      <c r="KVI34" s="557"/>
      <c r="KVJ34" s="557"/>
      <c r="KVK34" s="661"/>
      <c r="KVL34" s="556"/>
      <c r="KVM34" s="557"/>
      <c r="KVN34" s="557"/>
      <c r="KVO34" s="557"/>
      <c r="KVP34" s="557"/>
      <c r="KVQ34" s="557"/>
      <c r="KVR34" s="557"/>
      <c r="KVS34" s="557"/>
      <c r="KVT34" s="557"/>
      <c r="KVU34" s="557"/>
      <c r="KVV34" s="557"/>
      <c r="KVW34" s="557"/>
      <c r="KVX34" s="557"/>
      <c r="KVY34" s="557"/>
      <c r="KVZ34" s="557"/>
      <c r="KWA34" s="557"/>
      <c r="KWB34" s="557"/>
      <c r="KWC34" s="557"/>
      <c r="KWD34" s="557"/>
      <c r="KWE34" s="661"/>
      <c r="KWF34" s="556"/>
      <c r="KWG34" s="557"/>
      <c r="KWH34" s="557"/>
      <c r="KWI34" s="557"/>
      <c r="KWJ34" s="557"/>
      <c r="KWK34" s="557"/>
      <c r="KWL34" s="557"/>
      <c r="KWM34" s="557"/>
      <c r="KWN34" s="557"/>
      <c r="KWO34" s="557"/>
      <c r="KWP34" s="557"/>
      <c r="KWQ34" s="557"/>
      <c r="KWR34" s="557"/>
      <c r="KWS34" s="557"/>
      <c r="KWT34" s="557"/>
      <c r="KWU34" s="557"/>
      <c r="KWV34" s="557"/>
      <c r="KWW34" s="557"/>
      <c r="KWX34" s="557"/>
      <c r="KWY34" s="661"/>
      <c r="KWZ34" s="556"/>
      <c r="KXA34" s="557"/>
      <c r="KXB34" s="557"/>
      <c r="KXC34" s="557"/>
      <c r="KXD34" s="557"/>
      <c r="KXE34" s="557"/>
      <c r="KXF34" s="557"/>
      <c r="KXG34" s="557"/>
      <c r="KXH34" s="557"/>
      <c r="KXI34" s="557"/>
      <c r="KXJ34" s="557"/>
      <c r="KXK34" s="557"/>
      <c r="KXL34" s="557"/>
      <c r="KXM34" s="557"/>
      <c r="KXN34" s="557"/>
      <c r="KXO34" s="557"/>
      <c r="KXP34" s="557"/>
      <c r="KXQ34" s="557"/>
      <c r="KXR34" s="557"/>
      <c r="KXS34" s="661"/>
      <c r="KXT34" s="556"/>
      <c r="KXU34" s="557"/>
      <c r="KXV34" s="557"/>
      <c r="KXW34" s="557"/>
      <c r="KXX34" s="557"/>
      <c r="KXY34" s="557"/>
      <c r="KXZ34" s="557"/>
      <c r="KYA34" s="557"/>
      <c r="KYB34" s="557"/>
      <c r="KYC34" s="557"/>
      <c r="KYD34" s="557"/>
      <c r="KYE34" s="557"/>
      <c r="KYF34" s="557"/>
      <c r="KYG34" s="557"/>
      <c r="KYH34" s="557"/>
      <c r="KYI34" s="557"/>
      <c r="KYJ34" s="557"/>
      <c r="KYK34" s="557"/>
      <c r="KYL34" s="557"/>
      <c r="KYM34" s="661"/>
      <c r="KYN34" s="556"/>
      <c r="KYO34" s="557"/>
      <c r="KYP34" s="557"/>
      <c r="KYQ34" s="557"/>
      <c r="KYR34" s="557"/>
      <c r="KYS34" s="557"/>
      <c r="KYT34" s="557"/>
      <c r="KYU34" s="557"/>
      <c r="KYV34" s="557"/>
      <c r="KYW34" s="557"/>
      <c r="KYX34" s="557"/>
      <c r="KYY34" s="557"/>
      <c r="KYZ34" s="557"/>
      <c r="KZA34" s="557"/>
      <c r="KZB34" s="557"/>
      <c r="KZC34" s="557"/>
      <c r="KZD34" s="557"/>
      <c r="KZE34" s="557"/>
      <c r="KZF34" s="557"/>
      <c r="KZG34" s="661"/>
      <c r="KZH34" s="556"/>
      <c r="KZI34" s="557"/>
      <c r="KZJ34" s="557"/>
      <c r="KZK34" s="557"/>
      <c r="KZL34" s="557"/>
      <c r="KZM34" s="557"/>
      <c r="KZN34" s="557"/>
      <c r="KZO34" s="557"/>
      <c r="KZP34" s="557"/>
      <c r="KZQ34" s="557"/>
      <c r="KZR34" s="557"/>
      <c r="KZS34" s="557"/>
      <c r="KZT34" s="557"/>
      <c r="KZU34" s="557"/>
      <c r="KZV34" s="557"/>
      <c r="KZW34" s="557"/>
      <c r="KZX34" s="557"/>
      <c r="KZY34" s="557"/>
      <c r="KZZ34" s="557"/>
      <c r="LAA34" s="661"/>
      <c r="LAB34" s="556"/>
      <c r="LAC34" s="557"/>
      <c r="LAD34" s="557"/>
      <c r="LAE34" s="557"/>
      <c r="LAF34" s="557"/>
      <c r="LAG34" s="557"/>
      <c r="LAH34" s="557"/>
      <c r="LAI34" s="557"/>
      <c r="LAJ34" s="557"/>
      <c r="LAK34" s="557"/>
      <c r="LAL34" s="557"/>
      <c r="LAM34" s="557"/>
      <c r="LAN34" s="557"/>
      <c r="LAO34" s="557"/>
      <c r="LAP34" s="557"/>
      <c r="LAQ34" s="557"/>
      <c r="LAR34" s="557"/>
      <c r="LAS34" s="557"/>
      <c r="LAT34" s="557"/>
      <c r="LAU34" s="661"/>
      <c r="LAV34" s="556"/>
      <c r="LAW34" s="557"/>
      <c r="LAX34" s="557"/>
      <c r="LAY34" s="557"/>
      <c r="LAZ34" s="557"/>
      <c r="LBA34" s="557"/>
      <c r="LBB34" s="557"/>
      <c r="LBC34" s="557"/>
      <c r="LBD34" s="557"/>
      <c r="LBE34" s="557"/>
      <c r="LBF34" s="557"/>
      <c r="LBG34" s="557"/>
      <c r="LBH34" s="557"/>
      <c r="LBI34" s="557"/>
      <c r="LBJ34" s="557"/>
      <c r="LBK34" s="557"/>
      <c r="LBL34" s="557"/>
      <c r="LBM34" s="557"/>
      <c r="LBN34" s="557"/>
      <c r="LBO34" s="661"/>
      <c r="LBP34" s="556"/>
      <c r="LBQ34" s="557"/>
      <c r="LBR34" s="557"/>
      <c r="LBS34" s="557"/>
      <c r="LBT34" s="557"/>
      <c r="LBU34" s="557"/>
      <c r="LBV34" s="557"/>
      <c r="LBW34" s="557"/>
      <c r="LBX34" s="557"/>
      <c r="LBY34" s="557"/>
      <c r="LBZ34" s="557"/>
      <c r="LCA34" s="557"/>
      <c r="LCB34" s="557"/>
      <c r="LCC34" s="557"/>
      <c r="LCD34" s="557"/>
      <c r="LCE34" s="557"/>
      <c r="LCF34" s="557"/>
      <c r="LCG34" s="557"/>
      <c r="LCH34" s="557"/>
      <c r="LCI34" s="661"/>
      <c r="LCJ34" s="556"/>
      <c r="LCK34" s="557"/>
      <c r="LCL34" s="557"/>
      <c r="LCM34" s="557"/>
      <c r="LCN34" s="557"/>
      <c r="LCO34" s="557"/>
      <c r="LCP34" s="557"/>
      <c r="LCQ34" s="557"/>
      <c r="LCR34" s="557"/>
      <c r="LCS34" s="557"/>
      <c r="LCT34" s="557"/>
      <c r="LCU34" s="557"/>
      <c r="LCV34" s="557"/>
      <c r="LCW34" s="557"/>
      <c r="LCX34" s="557"/>
      <c r="LCY34" s="557"/>
      <c r="LCZ34" s="557"/>
      <c r="LDA34" s="557"/>
      <c r="LDB34" s="557"/>
      <c r="LDC34" s="661"/>
      <c r="LDD34" s="556"/>
      <c r="LDE34" s="557"/>
      <c r="LDF34" s="557"/>
      <c r="LDG34" s="557"/>
      <c r="LDH34" s="557"/>
      <c r="LDI34" s="557"/>
      <c r="LDJ34" s="557"/>
      <c r="LDK34" s="557"/>
      <c r="LDL34" s="557"/>
      <c r="LDM34" s="557"/>
      <c r="LDN34" s="557"/>
      <c r="LDO34" s="557"/>
      <c r="LDP34" s="557"/>
      <c r="LDQ34" s="557"/>
      <c r="LDR34" s="557"/>
      <c r="LDS34" s="557"/>
      <c r="LDT34" s="557"/>
      <c r="LDU34" s="557"/>
      <c r="LDV34" s="557"/>
      <c r="LDW34" s="661"/>
      <c r="LDX34" s="556"/>
      <c r="LDY34" s="557"/>
      <c r="LDZ34" s="557"/>
      <c r="LEA34" s="557"/>
      <c r="LEB34" s="557"/>
      <c r="LEC34" s="557"/>
      <c r="LED34" s="557"/>
      <c r="LEE34" s="557"/>
      <c r="LEF34" s="557"/>
      <c r="LEG34" s="557"/>
      <c r="LEH34" s="557"/>
      <c r="LEI34" s="557"/>
      <c r="LEJ34" s="557"/>
      <c r="LEK34" s="557"/>
      <c r="LEL34" s="557"/>
      <c r="LEM34" s="557"/>
      <c r="LEN34" s="557"/>
      <c r="LEO34" s="557"/>
      <c r="LEP34" s="557"/>
      <c r="LEQ34" s="661"/>
      <c r="LER34" s="556"/>
      <c r="LES34" s="557"/>
      <c r="LET34" s="557"/>
      <c r="LEU34" s="557"/>
      <c r="LEV34" s="557"/>
      <c r="LEW34" s="557"/>
      <c r="LEX34" s="557"/>
      <c r="LEY34" s="557"/>
      <c r="LEZ34" s="557"/>
      <c r="LFA34" s="557"/>
      <c r="LFB34" s="557"/>
      <c r="LFC34" s="557"/>
      <c r="LFD34" s="557"/>
      <c r="LFE34" s="557"/>
      <c r="LFF34" s="557"/>
      <c r="LFG34" s="557"/>
      <c r="LFH34" s="557"/>
      <c r="LFI34" s="557"/>
      <c r="LFJ34" s="557"/>
      <c r="LFK34" s="661"/>
      <c r="LFL34" s="556"/>
      <c r="LFM34" s="557"/>
      <c r="LFN34" s="557"/>
      <c r="LFO34" s="557"/>
      <c r="LFP34" s="557"/>
      <c r="LFQ34" s="557"/>
      <c r="LFR34" s="557"/>
      <c r="LFS34" s="557"/>
      <c r="LFT34" s="557"/>
      <c r="LFU34" s="557"/>
      <c r="LFV34" s="557"/>
      <c r="LFW34" s="557"/>
      <c r="LFX34" s="557"/>
      <c r="LFY34" s="557"/>
      <c r="LFZ34" s="557"/>
      <c r="LGA34" s="557"/>
      <c r="LGB34" s="557"/>
      <c r="LGC34" s="557"/>
      <c r="LGD34" s="557"/>
      <c r="LGE34" s="661"/>
      <c r="LGF34" s="556"/>
      <c r="LGG34" s="557"/>
      <c r="LGH34" s="557"/>
      <c r="LGI34" s="557"/>
      <c r="LGJ34" s="557"/>
      <c r="LGK34" s="557"/>
      <c r="LGL34" s="557"/>
      <c r="LGM34" s="557"/>
      <c r="LGN34" s="557"/>
      <c r="LGO34" s="557"/>
      <c r="LGP34" s="557"/>
      <c r="LGQ34" s="557"/>
      <c r="LGR34" s="557"/>
      <c r="LGS34" s="557"/>
      <c r="LGT34" s="557"/>
      <c r="LGU34" s="557"/>
      <c r="LGV34" s="557"/>
      <c r="LGW34" s="557"/>
      <c r="LGX34" s="557"/>
      <c r="LGY34" s="661"/>
      <c r="LGZ34" s="556"/>
      <c r="LHA34" s="557"/>
      <c r="LHB34" s="557"/>
      <c r="LHC34" s="557"/>
      <c r="LHD34" s="557"/>
      <c r="LHE34" s="557"/>
      <c r="LHF34" s="557"/>
      <c r="LHG34" s="557"/>
      <c r="LHH34" s="557"/>
      <c r="LHI34" s="557"/>
      <c r="LHJ34" s="557"/>
      <c r="LHK34" s="557"/>
      <c r="LHL34" s="557"/>
      <c r="LHM34" s="557"/>
      <c r="LHN34" s="557"/>
      <c r="LHO34" s="557"/>
      <c r="LHP34" s="557"/>
      <c r="LHQ34" s="557"/>
      <c r="LHR34" s="557"/>
      <c r="LHS34" s="661"/>
      <c r="LHT34" s="556"/>
      <c r="LHU34" s="557"/>
      <c r="LHV34" s="557"/>
      <c r="LHW34" s="557"/>
      <c r="LHX34" s="557"/>
      <c r="LHY34" s="557"/>
      <c r="LHZ34" s="557"/>
      <c r="LIA34" s="557"/>
      <c r="LIB34" s="557"/>
      <c r="LIC34" s="557"/>
      <c r="LID34" s="557"/>
      <c r="LIE34" s="557"/>
      <c r="LIF34" s="557"/>
      <c r="LIG34" s="557"/>
      <c r="LIH34" s="557"/>
      <c r="LII34" s="557"/>
      <c r="LIJ34" s="557"/>
      <c r="LIK34" s="557"/>
      <c r="LIL34" s="557"/>
      <c r="LIM34" s="661"/>
      <c r="LIN34" s="556"/>
      <c r="LIO34" s="557"/>
      <c r="LIP34" s="557"/>
      <c r="LIQ34" s="557"/>
      <c r="LIR34" s="557"/>
      <c r="LIS34" s="557"/>
      <c r="LIT34" s="557"/>
      <c r="LIU34" s="557"/>
      <c r="LIV34" s="557"/>
      <c r="LIW34" s="557"/>
      <c r="LIX34" s="557"/>
      <c r="LIY34" s="557"/>
      <c r="LIZ34" s="557"/>
      <c r="LJA34" s="557"/>
      <c r="LJB34" s="557"/>
      <c r="LJC34" s="557"/>
      <c r="LJD34" s="557"/>
      <c r="LJE34" s="557"/>
      <c r="LJF34" s="557"/>
      <c r="LJG34" s="661"/>
      <c r="LJH34" s="556"/>
      <c r="LJI34" s="557"/>
      <c r="LJJ34" s="557"/>
      <c r="LJK34" s="557"/>
      <c r="LJL34" s="557"/>
      <c r="LJM34" s="557"/>
      <c r="LJN34" s="557"/>
      <c r="LJO34" s="557"/>
      <c r="LJP34" s="557"/>
      <c r="LJQ34" s="557"/>
      <c r="LJR34" s="557"/>
      <c r="LJS34" s="557"/>
      <c r="LJT34" s="557"/>
      <c r="LJU34" s="557"/>
      <c r="LJV34" s="557"/>
      <c r="LJW34" s="557"/>
      <c r="LJX34" s="557"/>
      <c r="LJY34" s="557"/>
      <c r="LJZ34" s="557"/>
      <c r="LKA34" s="661"/>
      <c r="LKB34" s="556"/>
      <c r="LKC34" s="557"/>
      <c r="LKD34" s="557"/>
      <c r="LKE34" s="557"/>
      <c r="LKF34" s="557"/>
      <c r="LKG34" s="557"/>
      <c r="LKH34" s="557"/>
      <c r="LKI34" s="557"/>
      <c r="LKJ34" s="557"/>
      <c r="LKK34" s="557"/>
      <c r="LKL34" s="557"/>
      <c r="LKM34" s="557"/>
      <c r="LKN34" s="557"/>
      <c r="LKO34" s="557"/>
      <c r="LKP34" s="557"/>
      <c r="LKQ34" s="557"/>
      <c r="LKR34" s="557"/>
      <c r="LKS34" s="557"/>
      <c r="LKT34" s="557"/>
      <c r="LKU34" s="661"/>
      <c r="LKV34" s="556"/>
      <c r="LKW34" s="557"/>
      <c r="LKX34" s="557"/>
      <c r="LKY34" s="557"/>
      <c r="LKZ34" s="557"/>
      <c r="LLA34" s="557"/>
      <c r="LLB34" s="557"/>
      <c r="LLC34" s="557"/>
      <c r="LLD34" s="557"/>
      <c r="LLE34" s="557"/>
      <c r="LLF34" s="557"/>
      <c r="LLG34" s="557"/>
      <c r="LLH34" s="557"/>
      <c r="LLI34" s="557"/>
      <c r="LLJ34" s="557"/>
      <c r="LLK34" s="557"/>
      <c r="LLL34" s="557"/>
      <c r="LLM34" s="557"/>
      <c r="LLN34" s="557"/>
      <c r="LLO34" s="661"/>
      <c r="LLP34" s="556"/>
      <c r="LLQ34" s="557"/>
      <c r="LLR34" s="557"/>
      <c r="LLS34" s="557"/>
      <c r="LLT34" s="557"/>
      <c r="LLU34" s="557"/>
      <c r="LLV34" s="557"/>
      <c r="LLW34" s="557"/>
      <c r="LLX34" s="557"/>
      <c r="LLY34" s="557"/>
      <c r="LLZ34" s="557"/>
      <c r="LMA34" s="557"/>
      <c r="LMB34" s="557"/>
      <c r="LMC34" s="557"/>
      <c r="LMD34" s="557"/>
      <c r="LME34" s="557"/>
      <c r="LMF34" s="557"/>
      <c r="LMG34" s="557"/>
      <c r="LMH34" s="557"/>
      <c r="LMI34" s="661"/>
      <c r="LMJ34" s="556"/>
      <c r="LMK34" s="557"/>
      <c r="LML34" s="557"/>
      <c r="LMM34" s="557"/>
      <c r="LMN34" s="557"/>
      <c r="LMO34" s="557"/>
      <c r="LMP34" s="557"/>
      <c r="LMQ34" s="557"/>
      <c r="LMR34" s="557"/>
      <c r="LMS34" s="557"/>
      <c r="LMT34" s="557"/>
      <c r="LMU34" s="557"/>
      <c r="LMV34" s="557"/>
      <c r="LMW34" s="557"/>
      <c r="LMX34" s="557"/>
      <c r="LMY34" s="557"/>
      <c r="LMZ34" s="557"/>
      <c r="LNA34" s="557"/>
      <c r="LNB34" s="557"/>
      <c r="LNC34" s="661"/>
      <c r="LND34" s="556"/>
      <c r="LNE34" s="557"/>
      <c r="LNF34" s="557"/>
      <c r="LNG34" s="557"/>
      <c r="LNH34" s="557"/>
      <c r="LNI34" s="557"/>
      <c r="LNJ34" s="557"/>
      <c r="LNK34" s="557"/>
      <c r="LNL34" s="557"/>
      <c r="LNM34" s="557"/>
      <c r="LNN34" s="557"/>
      <c r="LNO34" s="557"/>
      <c r="LNP34" s="557"/>
      <c r="LNQ34" s="557"/>
      <c r="LNR34" s="557"/>
      <c r="LNS34" s="557"/>
      <c r="LNT34" s="557"/>
      <c r="LNU34" s="557"/>
      <c r="LNV34" s="557"/>
      <c r="LNW34" s="661"/>
      <c r="LNX34" s="556"/>
      <c r="LNY34" s="557"/>
      <c r="LNZ34" s="557"/>
      <c r="LOA34" s="557"/>
      <c r="LOB34" s="557"/>
      <c r="LOC34" s="557"/>
      <c r="LOD34" s="557"/>
      <c r="LOE34" s="557"/>
      <c r="LOF34" s="557"/>
      <c r="LOG34" s="557"/>
      <c r="LOH34" s="557"/>
      <c r="LOI34" s="557"/>
      <c r="LOJ34" s="557"/>
      <c r="LOK34" s="557"/>
      <c r="LOL34" s="557"/>
      <c r="LOM34" s="557"/>
      <c r="LON34" s="557"/>
      <c r="LOO34" s="557"/>
      <c r="LOP34" s="557"/>
      <c r="LOQ34" s="661"/>
      <c r="LOR34" s="556"/>
      <c r="LOS34" s="557"/>
      <c r="LOT34" s="557"/>
      <c r="LOU34" s="557"/>
      <c r="LOV34" s="557"/>
      <c r="LOW34" s="557"/>
      <c r="LOX34" s="557"/>
      <c r="LOY34" s="557"/>
      <c r="LOZ34" s="557"/>
      <c r="LPA34" s="557"/>
      <c r="LPB34" s="557"/>
      <c r="LPC34" s="557"/>
      <c r="LPD34" s="557"/>
      <c r="LPE34" s="557"/>
      <c r="LPF34" s="557"/>
      <c r="LPG34" s="557"/>
      <c r="LPH34" s="557"/>
      <c r="LPI34" s="557"/>
      <c r="LPJ34" s="557"/>
      <c r="LPK34" s="661"/>
      <c r="LPL34" s="556"/>
      <c r="LPM34" s="557"/>
      <c r="LPN34" s="557"/>
      <c r="LPO34" s="557"/>
      <c r="LPP34" s="557"/>
      <c r="LPQ34" s="557"/>
      <c r="LPR34" s="557"/>
      <c r="LPS34" s="557"/>
      <c r="LPT34" s="557"/>
      <c r="LPU34" s="557"/>
      <c r="LPV34" s="557"/>
      <c r="LPW34" s="557"/>
      <c r="LPX34" s="557"/>
      <c r="LPY34" s="557"/>
      <c r="LPZ34" s="557"/>
      <c r="LQA34" s="557"/>
      <c r="LQB34" s="557"/>
      <c r="LQC34" s="557"/>
      <c r="LQD34" s="557"/>
      <c r="LQE34" s="661"/>
      <c r="LQF34" s="556"/>
      <c r="LQG34" s="557"/>
      <c r="LQH34" s="557"/>
      <c r="LQI34" s="557"/>
      <c r="LQJ34" s="557"/>
      <c r="LQK34" s="557"/>
      <c r="LQL34" s="557"/>
      <c r="LQM34" s="557"/>
      <c r="LQN34" s="557"/>
      <c r="LQO34" s="557"/>
      <c r="LQP34" s="557"/>
      <c r="LQQ34" s="557"/>
      <c r="LQR34" s="557"/>
      <c r="LQS34" s="557"/>
      <c r="LQT34" s="557"/>
      <c r="LQU34" s="557"/>
      <c r="LQV34" s="557"/>
      <c r="LQW34" s="557"/>
      <c r="LQX34" s="557"/>
      <c r="LQY34" s="661"/>
      <c r="LQZ34" s="556"/>
      <c r="LRA34" s="557"/>
      <c r="LRB34" s="557"/>
      <c r="LRC34" s="557"/>
      <c r="LRD34" s="557"/>
      <c r="LRE34" s="557"/>
      <c r="LRF34" s="557"/>
      <c r="LRG34" s="557"/>
      <c r="LRH34" s="557"/>
      <c r="LRI34" s="557"/>
      <c r="LRJ34" s="557"/>
      <c r="LRK34" s="557"/>
      <c r="LRL34" s="557"/>
      <c r="LRM34" s="557"/>
      <c r="LRN34" s="557"/>
      <c r="LRO34" s="557"/>
      <c r="LRP34" s="557"/>
      <c r="LRQ34" s="557"/>
      <c r="LRR34" s="557"/>
      <c r="LRS34" s="661"/>
      <c r="LRT34" s="556"/>
      <c r="LRU34" s="557"/>
      <c r="LRV34" s="557"/>
      <c r="LRW34" s="557"/>
      <c r="LRX34" s="557"/>
      <c r="LRY34" s="557"/>
      <c r="LRZ34" s="557"/>
      <c r="LSA34" s="557"/>
      <c r="LSB34" s="557"/>
      <c r="LSC34" s="557"/>
      <c r="LSD34" s="557"/>
      <c r="LSE34" s="557"/>
      <c r="LSF34" s="557"/>
      <c r="LSG34" s="557"/>
      <c r="LSH34" s="557"/>
      <c r="LSI34" s="557"/>
      <c r="LSJ34" s="557"/>
      <c r="LSK34" s="557"/>
      <c r="LSL34" s="557"/>
      <c r="LSM34" s="661"/>
      <c r="LSN34" s="556"/>
      <c r="LSO34" s="557"/>
      <c r="LSP34" s="557"/>
      <c r="LSQ34" s="557"/>
      <c r="LSR34" s="557"/>
      <c r="LSS34" s="557"/>
      <c r="LST34" s="557"/>
      <c r="LSU34" s="557"/>
      <c r="LSV34" s="557"/>
      <c r="LSW34" s="557"/>
      <c r="LSX34" s="557"/>
      <c r="LSY34" s="557"/>
      <c r="LSZ34" s="557"/>
      <c r="LTA34" s="557"/>
      <c r="LTB34" s="557"/>
      <c r="LTC34" s="557"/>
      <c r="LTD34" s="557"/>
      <c r="LTE34" s="557"/>
      <c r="LTF34" s="557"/>
      <c r="LTG34" s="661"/>
      <c r="LTH34" s="556"/>
      <c r="LTI34" s="557"/>
      <c r="LTJ34" s="557"/>
      <c r="LTK34" s="557"/>
      <c r="LTL34" s="557"/>
      <c r="LTM34" s="557"/>
      <c r="LTN34" s="557"/>
      <c r="LTO34" s="557"/>
      <c r="LTP34" s="557"/>
      <c r="LTQ34" s="557"/>
      <c r="LTR34" s="557"/>
      <c r="LTS34" s="557"/>
      <c r="LTT34" s="557"/>
      <c r="LTU34" s="557"/>
      <c r="LTV34" s="557"/>
      <c r="LTW34" s="557"/>
      <c r="LTX34" s="557"/>
      <c r="LTY34" s="557"/>
      <c r="LTZ34" s="557"/>
      <c r="LUA34" s="661"/>
      <c r="LUB34" s="556"/>
      <c r="LUC34" s="557"/>
      <c r="LUD34" s="557"/>
      <c r="LUE34" s="557"/>
      <c r="LUF34" s="557"/>
      <c r="LUG34" s="557"/>
      <c r="LUH34" s="557"/>
      <c r="LUI34" s="557"/>
      <c r="LUJ34" s="557"/>
      <c r="LUK34" s="557"/>
      <c r="LUL34" s="557"/>
      <c r="LUM34" s="557"/>
      <c r="LUN34" s="557"/>
      <c r="LUO34" s="557"/>
      <c r="LUP34" s="557"/>
      <c r="LUQ34" s="557"/>
      <c r="LUR34" s="557"/>
      <c r="LUS34" s="557"/>
      <c r="LUT34" s="557"/>
      <c r="LUU34" s="661"/>
      <c r="LUV34" s="556"/>
      <c r="LUW34" s="557"/>
      <c r="LUX34" s="557"/>
      <c r="LUY34" s="557"/>
      <c r="LUZ34" s="557"/>
      <c r="LVA34" s="557"/>
      <c r="LVB34" s="557"/>
      <c r="LVC34" s="557"/>
      <c r="LVD34" s="557"/>
      <c r="LVE34" s="557"/>
      <c r="LVF34" s="557"/>
      <c r="LVG34" s="557"/>
      <c r="LVH34" s="557"/>
      <c r="LVI34" s="557"/>
      <c r="LVJ34" s="557"/>
      <c r="LVK34" s="557"/>
      <c r="LVL34" s="557"/>
      <c r="LVM34" s="557"/>
      <c r="LVN34" s="557"/>
      <c r="LVO34" s="661"/>
      <c r="LVP34" s="556"/>
      <c r="LVQ34" s="557"/>
      <c r="LVR34" s="557"/>
      <c r="LVS34" s="557"/>
      <c r="LVT34" s="557"/>
      <c r="LVU34" s="557"/>
      <c r="LVV34" s="557"/>
      <c r="LVW34" s="557"/>
      <c r="LVX34" s="557"/>
      <c r="LVY34" s="557"/>
      <c r="LVZ34" s="557"/>
      <c r="LWA34" s="557"/>
      <c r="LWB34" s="557"/>
      <c r="LWC34" s="557"/>
      <c r="LWD34" s="557"/>
      <c r="LWE34" s="557"/>
      <c r="LWF34" s="557"/>
      <c r="LWG34" s="557"/>
      <c r="LWH34" s="557"/>
      <c r="LWI34" s="661"/>
      <c r="LWJ34" s="556"/>
      <c r="LWK34" s="557"/>
      <c r="LWL34" s="557"/>
      <c r="LWM34" s="557"/>
      <c r="LWN34" s="557"/>
      <c r="LWO34" s="557"/>
      <c r="LWP34" s="557"/>
      <c r="LWQ34" s="557"/>
      <c r="LWR34" s="557"/>
      <c r="LWS34" s="557"/>
      <c r="LWT34" s="557"/>
      <c r="LWU34" s="557"/>
      <c r="LWV34" s="557"/>
      <c r="LWW34" s="557"/>
      <c r="LWX34" s="557"/>
      <c r="LWY34" s="557"/>
      <c r="LWZ34" s="557"/>
      <c r="LXA34" s="557"/>
      <c r="LXB34" s="557"/>
      <c r="LXC34" s="661"/>
      <c r="LXD34" s="556"/>
      <c r="LXE34" s="557"/>
      <c r="LXF34" s="557"/>
      <c r="LXG34" s="557"/>
      <c r="LXH34" s="557"/>
      <c r="LXI34" s="557"/>
      <c r="LXJ34" s="557"/>
      <c r="LXK34" s="557"/>
      <c r="LXL34" s="557"/>
      <c r="LXM34" s="557"/>
      <c r="LXN34" s="557"/>
      <c r="LXO34" s="557"/>
      <c r="LXP34" s="557"/>
      <c r="LXQ34" s="557"/>
      <c r="LXR34" s="557"/>
      <c r="LXS34" s="557"/>
      <c r="LXT34" s="557"/>
      <c r="LXU34" s="557"/>
      <c r="LXV34" s="557"/>
      <c r="LXW34" s="661"/>
      <c r="LXX34" s="556"/>
      <c r="LXY34" s="557"/>
      <c r="LXZ34" s="557"/>
      <c r="LYA34" s="557"/>
      <c r="LYB34" s="557"/>
      <c r="LYC34" s="557"/>
      <c r="LYD34" s="557"/>
      <c r="LYE34" s="557"/>
      <c r="LYF34" s="557"/>
      <c r="LYG34" s="557"/>
      <c r="LYH34" s="557"/>
      <c r="LYI34" s="557"/>
      <c r="LYJ34" s="557"/>
      <c r="LYK34" s="557"/>
      <c r="LYL34" s="557"/>
      <c r="LYM34" s="557"/>
      <c r="LYN34" s="557"/>
      <c r="LYO34" s="557"/>
      <c r="LYP34" s="557"/>
      <c r="LYQ34" s="661"/>
      <c r="LYR34" s="556"/>
      <c r="LYS34" s="557"/>
      <c r="LYT34" s="557"/>
      <c r="LYU34" s="557"/>
      <c r="LYV34" s="557"/>
      <c r="LYW34" s="557"/>
      <c r="LYX34" s="557"/>
      <c r="LYY34" s="557"/>
      <c r="LYZ34" s="557"/>
      <c r="LZA34" s="557"/>
      <c r="LZB34" s="557"/>
      <c r="LZC34" s="557"/>
      <c r="LZD34" s="557"/>
      <c r="LZE34" s="557"/>
      <c r="LZF34" s="557"/>
      <c r="LZG34" s="557"/>
      <c r="LZH34" s="557"/>
      <c r="LZI34" s="557"/>
      <c r="LZJ34" s="557"/>
      <c r="LZK34" s="661"/>
      <c r="LZL34" s="556"/>
      <c r="LZM34" s="557"/>
      <c r="LZN34" s="557"/>
      <c r="LZO34" s="557"/>
      <c r="LZP34" s="557"/>
      <c r="LZQ34" s="557"/>
      <c r="LZR34" s="557"/>
      <c r="LZS34" s="557"/>
      <c r="LZT34" s="557"/>
      <c r="LZU34" s="557"/>
      <c r="LZV34" s="557"/>
      <c r="LZW34" s="557"/>
      <c r="LZX34" s="557"/>
      <c r="LZY34" s="557"/>
      <c r="LZZ34" s="557"/>
      <c r="MAA34" s="557"/>
      <c r="MAB34" s="557"/>
      <c r="MAC34" s="557"/>
      <c r="MAD34" s="557"/>
      <c r="MAE34" s="661"/>
      <c r="MAF34" s="556"/>
      <c r="MAG34" s="557"/>
      <c r="MAH34" s="557"/>
      <c r="MAI34" s="557"/>
      <c r="MAJ34" s="557"/>
      <c r="MAK34" s="557"/>
      <c r="MAL34" s="557"/>
      <c r="MAM34" s="557"/>
      <c r="MAN34" s="557"/>
      <c r="MAO34" s="557"/>
      <c r="MAP34" s="557"/>
      <c r="MAQ34" s="557"/>
      <c r="MAR34" s="557"/>
      <c r="MAS34" s="557"/>
      <c r="MAT34" s="557"/>
      <c r="MAU34" s="557"/>
      <c r="MAV34" s="557"/>
      <c r="MAW34" s="557"/>
      <c r="MAX34" s="557"/>
      <c r="MAY34" s="661"/>
      <c r="MAZ34" s="556"/>
      <c r="MBA34" s="557"/>
      <c r="MBB34" s="557"/>
      <c r="MBC34" s="557"/>
      <c r="MBD34" s="557"/>
      <c r="MBE34" s="557"/>
      <c r="MBF34" s="557"/>
      <c r="MBG34" s="557"/>
      <c r="MBH34" s="557"/>
      <c r="MBI34" s="557"/>
      <c r="MBJ34" s="557"/>
      <c r="MBK34" s="557"/>
      <c r="MBL34" s="557"/>
      <c r="MBM34" s="557"/>
      <c r="MBN34" s="557"/>
      <c r="MBO34" s="557"/>
      <c r="MBP34" s="557"/>
      <c r="MBQ34" s="557"/>
      <c r="MBR34" s="557"/>
      <c r="MBS34" s="661"/>
      <c r="MBT34" s="556"/>
      <c r="MBU34" s="557"/>
      <c r="MBV34" s="557"/>
      <c r="MBW34" s="557"/>
      <c r="MBX34" s="557"/>
      <c r="MBY34" s="557"/>
      <c r="MBZ34" s="557"/>
      <c r="MCA34" s="557"/>
      <c r="MCB34" s="557"/>
      <c r="MCC34" s="557"/>
      <c r="MCD34" s="557"/>
      <c r="MCE34" s="557"/>
      <c r="MCF34" s="557"/>
      <c r="MCG34" s="557"/>
      <c r="MCH34" s="557"/>
      <c r="MCI34" s="557"/>
      <c r="MCJ34" s="557"/>
      <c r="MCK34" s="557"/>
      <c r="MCL34" s="557"/>
      <c r="MCM34" s="661"/>
      <c r="MCN34" s="556"/>
      <c r="MCO34" s="557"/>
      <c r="MCP34" s="557"/>
      <c r="MCQ34" s="557"/>
      <c r="MCR34" s="557"/>
      <c r="MCS34" s="557"/>
      <c r="MCT34" s="557"/>
      <c r="MCU34" s="557"/>
      <c r="MCV34" s="557"/>
      <c r="MCW34" s="557"/>
      <c r="MCX34" s="557"/>
      <c r="MCY34" s="557"/>
      <c r="MCZ34" s="557"/>
      <c r="MDA34" s="557"/>
      <c r="MDB34" s="557"/>
      <c r="MDC34" s="557"/>
      <c r="MDD34" s="557"/>
      <c r="MDE34" s="557"/>
      <c r="MDF34" s="557"/>
      <c r="MDG34" s="661"/>
      <c r="MDH34" s="556"/>
      <c r="MDI34" s="557"/>
      <c r="MDJ34" s="557"/>
      <c r="MDK34" s="557"/>
      <c r="MDL34" s="557"/>
      <c r="MDM34" s="557"/>
      <c r="MDN34" s="557"/>
      <c r="MDO34" s="557"/>
      <c r="MDP34" s="557"/>
      <c r="MDQ34" s="557"/>
      <c r="MDR34" s="557"/>
      <c r="MDS34" s="557"/>
      <c r="MDT34" s="557"/>
      <c r="MDU34" s="557"/>
      <c r="MDV34" s="557"/>
      <c r="MDW34" s="557"/>
      <c r="MDX34" s="557"/>
      <c r="MDY34" s="557"/>
      <c r="MDZ34" s="557"/>
      <c r="MEA34" s="661"/>
      <c r="MEB34" s="556"/>
      <c r="MEC34" s="557"/>
      <c r="MED34" s="557"/>
      <c r="MEE34" s="557"/>
      <c r="MEF34" s="557"/>
      <c r="MEG34" s="557"/>
      <c r="MEH34" s="557"/>
      <c r="MEI34" s="557"/>
      <c r="MEJ34" s="557"/>
      <c r="MEK34" s="557"/>
      <c r="MEL34" s="557"/>
      <c r="MEM34" s="557"/>
      <c r="MEN34" s="557"/>
      <c r="MEO34" s="557"/>
      <c r="MEP34" s="557"/>
      <c r="MEQ34" s="557"/>
      <c r="MER34" s="557"/>
      <c r="MES34" s="557"/>
      <c r="MET34" s="557"/>
      <c r="MEU34" s="661"/>
      <c r="MEV34" s="556"/>
      <c r="MEW34" s="557"/>
      <c r="MEX34" s="557"/>
      <c r="MEY34" s="557"/>
      <c r="MEZ34" s="557"/>
      <c r="MFA34" s="557"/>
      <c r="MFB34" s="557"/>
      <c r="MFC34" s="557"/>
      <c r="MFD34" s="557"/>
      <c r="MFE34" s="557"/>
      <c r="MFF34" s="557"/>
      <c r="MFG34" s="557"/>
      <c r="MFH34" s="557"/>
      <c r="MFI34" s="557"/>
      <c r="MFJ34" s="557"/>
      <c r="MFK34" s="557"/>
      <c r="MFL34" s="557"/>
      <c r="MFM34" s="557"/>
      <c r="MFN34" s="557"/>
      <c r="MFO34" s="661"/>
      <c r="MFP34" s="556"/>
      <c r="MFQ34" s="557"/>
      <c r="MFR34" s="557"/>
      <c r="MFS34" s="557"/>
      <c r="MFT34" s="557"/>
      <c r="MFU34" s="557"/>
      <c r="MFV34" s="557"/>
      <c r="MFW34" s="557"/>
      <c r="MFX34" s="557"/>
      <c r="MFY34" s="557"/>
      <c r="MFZ34" s="557"/>
      <c r="MGA34" s="557"/>
      <c r="MGB34" s="557"/>
      <c r="MGC34" s="557"/>
      <c r="MGD34" s="557"/>
      <c r="MGE34" s="557"/>
      <c r="MGF34" s="557"/>
      <c r="MGG34" s="557"/>
      <c r="MGH34" s="557"/>
      <c r="MGI34" s="661"/>
      <c r="MGJ34" s="556"/>
      <c r="MGK34" s="557"/>
      <c r="MGL34" s="557"/>
      <c r="MGM34" s="557"/>
      <c r="MGN34" s="557"/>
      <c r="MGO34" s="557"/>
      <c r="MGP34" s="557"/>
      <c r="MGQ34" s="557"/>
      <c r="MGR34" s="557"/>
      <c r="MGS34" s="557"/>
      <c r="MGT34" s="557"/>
      <c r="MGU34" s="557"/>
      <c r="MGV34" s="557"/>
      <c r="MGW34" s="557"/>
      <c r="MGX34" s="557"/>
      <c r="MGY34" s="557"/>
      <c r="MGZ34" s="557"/>
      <c r="MHA34" s="557"/>
      <c r="MHB34" s="557"/>
      <c r="MHC34" s="661"/>
      <c r="MHD34" s="556"/>
      <c r="MHE34" s="557"/>
      <c r="MHF34" s="557"/>
      <c r="MHG34" s="557"/>
      <c r="MHH34" s="557"/>
      <c r="MHI34" s="557"/>
      <c r="MHJ34" s="557"/>
      <c r="MHK34" s="557"/>
      <c r="MHL34" s="557"/>
      <c r="MHM34" s="557"/>
      <c r="MHN34" s="557"/>
      <c r="MHO34" s="557"/>
      <c r="MHP34" s="557"/>
      <c r="MHQ34" s="557"/>
      <c r="MHR34" s="557"/>
      <c r="MHS34" s="557"/>
      <c r="MHT34" s="557"/>
      <c r="MHU34" s="557"/>
      <c r="MHV34" s="557"/>
      <c r="MHW34" s="661"/>
      <c r="MHX34" s="556"/>
      <c r="MHY34" s="557"/>
      <c r="MHZ34" s="557"/>
      <c r="MIA34" s="557"/>
      <c r="MIB34" s="557"/>
      <c r="MIC34" s="557"/>
      <c r="MID34" s="557"/>
      <c r="MIE34" s="557"/>
      <c r="MIF34" s="557"/>
      <c r="MIG34" s="557"/>
      <c r="MIH34" s="557"/>
      <c r="MII34" s="557"/>
      <c r="MIJ34" s="557"/>
      <c r="MIK34" s="557"/>
      <c r="MIL34" s="557"/>
      <c r="MIM34" s="557"/>
      <c r="MIN34" s="557"/>
      <c r="MIO34" s="557"/>
      <c r="MIP34" s="557"/>
      <c r="MIQ34" s="661"/>
      <c r="MIR34" s="556"/>
      <c r="MIS34" s="557"/>
      <c r="MIT34" s="557"/>
      <c r="MIU34" s="557"/>
      <c r="MIV34" s="557"/>
      <c r="MIW34" s="557"/>
      <c r="MIX34" s="557"/>
      <c r="MIY34" s="557"/>
      <c r="MIZ34" s="557"/>
      <c r="MJA34" s="557"/>
      <c r="MJB34" s="557"/>
      <c r="MJC34" s="557"/>
      <c r="MJD34" s="557"/>
      <c r="MJE34" s="557"/>
      <c r="MJF34" s="557"/>
      <c r="MJG34" s="557"/>
      <c r="MJH34" s="557"/>
      <c r="MJI34" s="557"/>
      <c r="MJJ34" s="557"/>
      <c r="MJK34" s="661"/>
      <c r="MJL34" s="556"/>
      <c r="MJM34" s="557"/>
      <c r="MJN34" s="557"/>
      <c r="MJO34" s="557"/>
      <c r="MJP34" s="557"/>
      <c r="MJQ34" s="557"/>
      <c r="MJR34" s="557"/>
      <c r="MJS34" s="557"/>
      <c r="MJT34" s="557"/>
      <c r="MJU34" s="557"/>
      <c r="MJV34" s="557"/>
      <c r="MJW34" s="557"/>
      <c r="MJX34" s="557"/>
      <c r="MJY34" s="557"/>
      <c r="MJZ34" s="557"/>
      <c r="MKA34" s="557"/>
      <c r="MKB34" s="557"/>
      <c r="MKC34" s="557"/>
      <c r="MKD34" s="557"/>
      <c r="MKE34" s="661"/>
      <c r="MKF34" s="556"/>
      <c r="MKG34" s="557"/>
      <c r="MKH34" s="557"/>
      <c r="MKI34" s="557"/>
      <c r="MKJ34" s="557"/>
      <c r="MKK34" s="557"/>
      <c r="MKL34" s="557"/>
      <c r="MKM34" s="557"/>
      <c r="MKN34" s="557"/>
      <c r="MKO34" s="557"/>
      <c r="MKP34" s="557"/>
      <c r="MKQ34" s="557"/>
      <c r="MKR34" s="557"/>
      <c r="MKS34" s="557"/>
      <c r="MKT34" s="557"/>
      <c r="MKU34" s="557"/>
      <c r="MKV34" s="557"/>
      <c r="MKW34" s="557"/>
      <c r="MKX34" s="557"/>
      <c r="MKY34" s="661"/>
      <c r="MKZ34" s="556"/>
      <c r="MLA34" s="557"/>
      <c r="MLB34" s="557"/>
      <c r="MLC34" s="557"/>
      <c r="MLD34" s="557"/>
      <c r="MLE34" s="557"/>
      <c r="MLF34" s="557"/>
      <c r="MLG34" s="557"/>
      <c r="MLH34" s="557"/>
      <c r="MLI34" s="557"/>
      <c r="MLJ34" s="557"/>
      <c r="MLK34" s="557"/>
      <c r="MLL34" s="557"/>
      <c r="MLM34" s="557"/>
      <c r="MLN34" s="557"/>
      <c r="MLO34" s="557"/>
      <c r="MLP34" s="557"/>
      <c r="MLQ34" s="557"/>
      <c r="MLR34" s="557"/>
      <c r="MLS34" s="661"/>
      <c r="MLT34" s="556"/>
      <c r="MLU34" s="557"/>
      <c r="MLV34" s="557"/>
      <c r="MLW34" s="557"/>
      <c r="MLX34" s="557"/>
      <c r="MLY34" s="557"/>
      <c r="MLZ34" s="557"/>
      <c r="MMA34" s="557"/>
      <c r="MMB34" s="557"/>
      <c r="MMC34" s="557"/>
      <c r="MMD34" s="557"/>
      <c r="MME34" s="557"/>
      <c r="MMF34" s="557"/>
      <c r="MMG34" s="557"/>
      <c r="MMH34" s="557"/>
      <c r="MMI34" s="557"/>
      <c r="MMJ34" s="557"/>
      <c r="MMK34" s="557"/>
      <c r="MML34" s="557"/>
      <c r="MMM34" s="661"/>
      <c r="MMN34" s="556"/>
      <c r="MMO34" s="557"/>
      <c r="MMP34" s="557"/>
      <c r="MMQ34" s="557"/>
      <c r="MMR34" s="557"/>
      <c r="MMS34" s="557"/>
      <c r="MMT34" s="557"/>
      <c r="MMU34" s="557"/>
      <c r="MMV34" s="557"/>
      <c r="MMW34" s="557"/>
      <c r="MMX34" s="557"/>
      <c r="MMY34" s="557"/>
      <c r="MMZ34" s="557"/>
      <c r="MNA34" s="557"/>
      <c r="MNB34" s="557"/>
      <c r="MNC34" s="557"/>
      <c r="MND34" s="557"/>
      <c r="MNE34" s="557"/>
      <c r="MNF34" s="557"/>
      <c r="MNG34" s="661"/>
      <c r="MNH34" s="556"/>
      <c r="MNI34" s="557"/>
      <c r="MNJ34" s="557"/>
      <c r="MNK34" s="557"/>
      <c r="MNL34" s="557"/>
      <c r="MNM34" s="557"/>
      <c r="MNN34" s="557"/>
      <c r="MNO34" s="557"/>
      <c r="MNP34" s="557"/>
      <c r="MNQ34" s="557"/>
      <c r="MNR34" s="557"/>
      <c r="MNS34" s="557"/>
      <c r="MNT34" s="557"/>
      <c r="MNU34" s="557"/>
      <c r="MNV34" s="557"/>
      <c r="MNW34" s="557"/>
      <c r="MNX34" s="557"/>
      <c r="MNY34" s="557"/>
      <c r="MNZ34" s="557"/>
      <c r="MOA34" s="661"/>
      <c r="MOB34" s="556"/>
      <c r="MOC34" s="557"/>
      <c r="MOD34" s="557"/>
      <c r="MOE34" s="557"/>
      <c r="MOF34" s="557"/>
      <c r="MOG34" s="557"/>
      <c r="MOH34" s="557"/>
      <c r="MOI34" s="557"/>
      <c r="MOJ34" s="557"/>
      <c r="MOK34" s="557"/>
      <c r="MOL34" s="557"/>
      <c r="MOM34" s="557"/>
      <c r="MON34" s="557"/>
      <c r="MOO34" s="557"/>
      <c r="MOP34" s="557"/>
      <c r="MOQ34" s="557"/>
      <c r="MOR34" s="557"/>
      <c r="MOS34" s="557"/>
      <c r="MOT34" s="557"/>
      <c r="MOU34" s="661"/>
      <c r="MOV34" s="556"/>
      <c r="MOW34" s="557"/>
      <c r="MOX34" s="557"/>
      <c r="MOY34" s="557"/>
      <c r="MOZ34" s="557"/>
      <c r="MPA34" s="557"/>
      <c r="MPB34" s="557"/>
      <c r="MPC34" s="557"/>
      <c r="MPD34" s="557"/>
      <c r="MPE34" s="557"/>
      <c r="MPF34" s="557"/>
      <c r="MPG34" s="557"/>
      <c r="MPH34" s="557"/>
      <c r="MPI34" s="557"/>
      <c r="MPJ34" s="557"/>
      <c r="MPK34" s="557"/>
      <c r="MPL34" s="557"/>
      <c r="MPM34" s="557"/>
      <c r="MPN34" s="557"/>
      <c r="MPO34" s="661"/>
      <c r="MPP34" s="556"/>
      <c r="MPQ34" s="557"/>
      <c r="MPR34" s="557"/>
      <c r="MPS34" s="557"/>
      <c r="MPT34" s="557"/>
      <c r="MPU34" s="557"/>
      <c r="MPV34" s="557"/>
      <c r="MPW34" s="557"/>
      <c r="MPX34" s="557"/>
      <c r="MPY34" s="557"/>
      <c r="MPZ34" s="557"/>
      <c r="MQA34" s="557"/>
      <c r="MQB34" s="557"/>
      <c r="MQC34" s="557"/>
      <c r="MQD34" s="557"/>
      <c r="MQE34" s="557"/>
      <c r="MQF34" s="557"/>
      <c r="MQG34" s="557"/>
      <c r="MQH34" s="557"/>
      <c r="MQI34" s="661"/>
      <c r="MQJ34" s="556"/>
      <c r="MQK34" s="557"/>
      <c r="MQL34" s="557"/>
      <c r="MQM34" s="557"/>
      <c r="MQN34" s="557"/>
      <c r="MQO34" s="557"/>
      <c r="MQP34" s="557"/>
      <c r="MQQ34" s="557"/>
      <c r="MQR34" s="557"/>
      <c r="MQS34" s="557"/>
      <c r="MQT34" s="557"/>
      <c r="MQU34" s="557"/>
      <c r="MQV34" s="557"/>
      <c r="MQW34" s="557"/>
      <c r="MQX34" s="557"/>
      <c r="MQY34" s="557"/>
      <c r="MQZ34" s="557"/>
      <c r="MRA34" s="557"/>
      <c r="MRB34" s="557"/>
      <c r="MRC34" s="661"/>
      <c r="MRD34" s="556"/>
      <c r="MRE34" s="557"/>
      <c r="MRF34" s="557"/>
      <c r="MRG34" s="557"/>
      <c r="MRH34" s="557"/>
      <c r="MRI34" s="557"/>
      <c r="MRJ34" s="557"/>
      <c r="MRK34" s="557"/>
      <c r="MRL34" s="557"/>
      <c r="MRM34" s="557"/>
      <c r="MRN34" s="557"/>
      <c r="MRO34" s="557"/>
      <c r="MRP34" s="557"/>
      <c r="MRQ34" s="557"/>
      <c r="MRR34" s="557"/>
      <c r="MRS34" s="557"/>
      <c r="MRT34" s="557"/>
      <c r="MRU34" s="557"/>
      <c r="MRV34" s="557"/>
      <c r="MRW34" s="661"/>
      <c r="MRX34" s="556"/>
      <c r="MRY34" s="557"/>
      <c r="MRZ34" s="557"/>
      <c r="MSA34" s="557"/>
      <c r="MSB34" s="557"/>
      <c r="MSC34" s="557"/>
      <c r="MSD34" s="557"/>
      <c r="MSE34" s="557"/>
      <c r="MSF34" s="557"/>
      <c r="MSG34" s="557"/>
      <c r="MSH34" s="557"/>
      <c r="MSI34" s="557"/>
      <c r="MSJ34" s="557"/>
      <c r="MSK34" s="557"/>
      <c r="MSL34" s="557"/>
      <c r="MSM34" s="557"/>
      <c r="MSN34" s="557"/>
      <c r="MSO34" s="557"/>
      <c r="MSP34" s="557"/>
      <c r="MSQ34" s="661"/>
      <c r="MSR34" s="556"/>
      <c r="MSS34" s="557"/>
      <c r="MST34" s="557"/>
      <c r="MSU34" s="557"/>
      <c r="MSV34" s="557"/>
      <c r="MSW34" s="557"/>
      <c r="MSX34" s="557"/>
      <c r="MSY34" s="557"/>
      <c r="MSZ34" s="557"/>
      <c r="MTA34" s="557"/>
      <c r="MTB34" s="557"/>
      <c r="MTC34" s="557"/>
      <c r="MTD34" s="557"/>
      <c r="MTE34" s="557"/>
      <c r="MTF34" s="557"/>
      <c r="MTG34" s="557"/>
      <c r="MTH34" s="557"/>
      <c r="MTI34" s="557"/>
      <c r="MTJ34" s="557"/>
      <c r="MTK34" s="661"/>
      <c r="MTL34" s="556"/>
      <c r="MTM34" s="557"/>
      <c r="MTN34" s="557"/>
      <c r="MTO34" s="557"/>
      <c r="MTP34" s="557"/>
      <c r="MTQ34" s="557"/>
      <c r="MTR34" s="557"/>
      <c r="MTS34" s="557"/>
      <c r="MTT34" s="557"/>
      <c r="MTU34" s="557"/>
      <c r="MTV34" s="557"/>
      <c r="MTW34" s="557"/>
      <c r="MTX34" s="557"/>
      <c r="MTY34" s="557"/>
      <c r="MTZ34" s="557"/>
      <c r="MUA34" s="557"/>
      <c r="MUB34" s="557"/>
      <c r="MUC34" s="557"/>
      <c r="MUD34" s="557"/>
      <c r="MUE34" s="661"/>
      <c r="MUF34" s="556"/>
      <c r="MUG34" s="557"/>
      <c r="MUH34" s="557"/>
      <c r="MUI34" s="557"/>
      <c r="MUJ34" s="557"/>
      <c r="MUK34" s="557"/>
      <c r="MUL34" s="557"/>
      <c r="MUM34" s="557"/>
      <c r="MUN34" s="557"/>
      <c r="MUO34" s="557"/>
      <c r="MUP34" s="557"/>
      <c r="MUQ34" s="557"/>
      <c r="MUR34" s="557"/>
      <c r="MUS34" s="557"/>
      <c r="MUT34" s="557"/>
      <c r="MUU34" s="557"/>
      <c r="MUV34" s="557"/>
      <c r="MUW34" s="557"/>
      <c r="MUX34" s="557"/>
      <c r="MUY34" s="661"/>
      <c r="MUZ34" s="556"/>
      <c r="MVA34" s="557"/>
      <c r="MVB34" s="557"/>
      <c r="MVC34" s="557"/>
      <c r="MVD34" s="557"/>
      <c r="MVE34" s="557"/>
      <c r="MVF34" s="557"/>
      <c r="MVG34" s="557"/>
      <c r="MVH34" s="557"/>
      <c r="MVI34" s="557"/>
      <c r="MVJ34" s="557"/>
      <c r="MVK34" s="557"/>
      <c r="MVL34" s="557"/>
      <c r="MVM34" s="557"/>
      <c r="MVN34" s="557"/>
      <c r="MVO34" s="557"/>
      <c r="MVP34" s="557"/>
      <c r="MVQ34" s="557"/>
      <c r="MVR34" s="557"/>
      <c r="MVS34" s="661"/>
      <c r="MVT34" s="556"/>
      <c r="MVU34" s="557"/>
      <c r="MVV34" s="557"/>
      <c r="MVW34" s="557"/>
      <c r="MVX34" s="557"/>
      <c r="MVY34" s="557"/>
      <c r="MVZ34" s="557"/>
      <c r="MWA34" s="557"/>
      <c r="MWB34" s="557"/>
      <c r="MWC34" s="557"/>
      <c r="MWD34" s="557"/>
      <c r="MWE34" s="557"/>
      <c r="MWF34" s="557"/>
      <c r="MWG34" s="557"/>
      <c r="MWH34" s="557"/>
      <c r="MWI34" s="557"/>
      <c r="MWJ34" s="557"/>
      <c r="MWK34" s="557"/>
      <c r="MWL34" s="557"/>
      <c r="MWM34" s="661"/>
      <c r="MWN34" s="556"/>
      <c r="MWO34" s="557"/>
      <c r="MWP34" s="557"/>
      <c r="MWQ34" s="557"/>
      <c r="MWR34" s="557"/>
      <c r="MWS34" s="557"/>
      <c r="MWT34" s="557"/>
      <c r="MWU34" s="557"/>
      <c r="MWV34" s="557"/>
      <c r="MWW34" s="557"/>
      <c r="MWX34" s="557"/>
      <c r="MWY34" s="557"/>
      <c r="MWZ34" s="557"/>
      <c r="MXA34" s="557"/>
      <c r="MXB34" s="557"/>
      <c r="MXC34" s="557"/>
      <c r="MXD34" s="557"/>
      <c r="MXE34" s="557"/>
      <c r="MXF34" s="557"/>
      <c r="MXG34" s="661"/>
      <c r="MXH34" s="556"/>
      <c r="MXI34" s="557"/>
      <c r="MXJ34" s="557"/>
      <c r="MXK34" s="557"/>
      <c r="MXL34" s="557"/>
      <c r="MXM34" s="557"/>
      <c r="MXN34" s="557"/>
      <c r="MXO34" s="557"/>
      <c r="MXP34" s="557"/>
      <c r="MXQ34" s="557"/>
      <c r="MXR34" s="557"/>
      <c r="MXS34" s="557"/>
      <c r="MXT34" s="557"/>
      <c r="MXU34" s="557"/>
      <c r="MXV34" s="557"/>
      <c r="MXW34" s="557"/>
      <c r="MXX34" s="557"/>
      <c r="MXY34" s="557"/>
      <c r="MXZ34" s="557"/>
      <c r="MYA34" s="661"/>
      <c r="MYB34" s="556"/>
      <c r="MYC34" s="557"/>
      <c r="MYD34" s="557"/>
      <c r="MYE34" s="557"/>
      <c r="MYF34" s="557"/>
      <c r="MYG34" s="557"/>
      <c r="MYH34" s="557"/>
      <c r="MYI34" s="557"/>
      <c r="MYJ34" s="557"/>
      <c r="MYK34" s="557"/>
      <c r="MYL34" s="557"/>
      <c r="MYM34" s="557"/>
      <c r="MYN34" s="557"/>
      <c r="MYO34" s="557"/>
      <c r="MYP34" s="557"/>
      <c r="MYQ34" s="557"/>
      <c r="MYR34" s="557"/>
      <c r="MYS34" s="557"/>
      <c r="MYT34" s="557"/>
      <c r="MYU34" s="661"/>
      <c r="MYV34" s="556"/>
      <c r="MYW34" s="557"/>
      <c r="MYX34" s="557"/>
      <c r="MYY34" s="557"/>
      <c r="MYZ34" s="557"/>
      <c r="MZA34" s="557"/>
      <c r="MZB34" s="557"/>
      <c r="MZC34" s="557"/>
      <c r="MZD34" s="557"/>
      <c r="MZE34" s="557"/>
      <c r="MZF34" s="557"/>
      <c r="MZG34" s="557"/>
      <c r="MZH34" s="557"/>
      <c r="MZI34" s="557"/>
      <c r="MZJ34" s="557"/>
      <c r="MZK34" s="557"/>
      <c r="MZL34" s="557"/>
      <c r="MZM34" s="557"/>
      <c r="MZN34" s="557"/>
      <c r="MZO34" s="661"/>
      <c r="MZP34" s="556"/>
      <c r="MZQ34" s="557"/>
      <c r="MZR34" s="557"/>
      <c r="MZS34" s="557"/>
      <c r="MZT34" s="557"/>
      <c r="MZU34" s="557"/>
      <c r="MZV34" s="557"/>
      <c r="MZW34" s="557"/>
      <c r="MZX34" s="557"/>
      <c r="MZY34" s="557"/>
      <c r="MZZ34" s="557"/>
      <c r="NAA34" s="557"/>
      <c r="NAB34" s="557"/>
      <c r="NAC34" s="557"/>
      <c r="NAD34" s="557"/>
      <c r="NAE34" s="557"/>
      <c r="NAF34" s="557"/>
      <c r="NAG34" s="557"/>
      <c r="NAH34" s="557"/>
      <c r="NAI34" s="661"/>
      <c r="NAJ34" s="556"/>
      <c r="NAK34" s="557"/>
      <c r="NAL34" s="557"/>
      <c r="NAM34" s="557"/>
      <c r="NAN34" s="557"/>
      <c r="NAO34" s="557"/>
      <c r="NAP34" s="557"/>
      <c r="NAQ34" s="557"/>
      <c r="NAR34" s="557"/>
      <c r="NAS34" s="557"/>
      <c r="NAT34" s="557"/>
      <c r="NAU34" s="557"/>
      <c r="NAV34" s="557"/>
      <c r="NAW34" s="557"/>
      <c r="NAX34" s="557"/>
      <c r="NAY34" s="557"/>
      <c r="NAZ34" s="557"/>
      <c r="NBA34" s="557"/>
      <c r="NBB34" s="557"/>
      <c r="NBC34" s="661"/>
      <c r="NBD34" s="556"/>
      <c r="NBE34" s="557"/>
      <c r="NBF34" s="557"/>
      <c r="NBG34" s="557"/>
      <c r="NBH34" s="557"/>
      <c r="NBI34" s="557"/>
      <c r="NBJ34" s="557"/>
      <c r="NBK34" s="557"/>
      <c r="NBL34" s="557"/>
      <c r="NBM34" s="557"/>
      <c r="NBN34" s="557"/>
      <c r="NBO34" s="557"/>
      <c r="NBP34" s="557"/>
      <c r="NBQ34" s="557"/>
      <c r="NBR34" s="557"/>
      <c r="NBS34" s="557"/>
      <c r="NBT34" s="557"/>
      <c r="NBU34" s="557"/>
      <c r="NBV34" s="557"/>
      <c r="NBW34" s="661"/>
      <c r="NBX34" s="556"/>
      <c r="NBY34" s="557"/>
      <c r="NBZ34" s="557"/>
      <c r="NCA34" s="557"/>
      <c r="NCB34" s="557"/>
      <c r="NCC34" s="557"/>
      <c r="NCD34" s="557"/>
      <c r="NCE34" s="557"/>
      <c r="NCF34" s="557"/>
      <c r="NCG34" s="557"/>
      <c r="NCH34" s="557"/>
      <c r="NCI34" s="557"/>
      <c r="NCJ34" s="557"/>
      <c r="NCK34" s="557"/>
      <c r="NCL34" s="557"/>
      <c r="NCM34" s="557"/>
      <c r="NCN34" s="557"/>
      <c r="NCO34" s="557"/>
      <c r="NCP34" s="557"/>
      <c r="NCQ34" s="661"/>
      <c r="NCR34" s="556"/>
      <c r="NCS34" s="557"/>
      <c r="NCT34" s="557"/>
      <c r="NCU34" s="557"/>
      <c r="NCV34" s="557"/>
      <c r="NCW34" s="557"/>
      <c r="NCX34" s="557"/>
      <c r="NCY34" s="557"/>
      <c r="NCZ34" s="557"/>
      <c r="NDA34" s="557"/>
      <c r="NDB34" s="557"/>
      <c r="NDC34" s="557"/>
      <c r="NDD34" s="557"/>
      <c r="NDE34" s="557"/>
      <c r="NDF34" s="557"/>
      <c r="NDG34" s="557"/>
      <c r="NDH34" s="557"/>
      <c r="NDI34" s="557"/>
      <c r="NDJ34" s="557"/>
      <c r="NDK34" s="661"/>
      <c r="NDL34" s="556"/>
      <c r="NDM34" s="557"/>
      <c r="NDN34" s="557"/>
      <c r="NDO34" s="557"/>
      <c r="NDP34" s="557"/>
      <c r="NDQ34" s="557"/>
      <c r="NDR34" s="557"/>
      <c r="NDS34" s="557"/>
      <c r="NDT34" s="557"/>
      <c r="NDU34" s="557"/>
      <c r="NDV34" s="557"/>
      <c r="NDW34" s="557"/>
      <c r="NDX34" s="557"/>
      <c r="NDY34" s="557"/>
      <c r="NDZ34" s="557"/>
      <c r="NEA34" s="557"/>
      <c r="NEB34" s="557"/>
      <c r="NEC34" s="557"/>
      <c r="NED34" s="557"/>
      <c r="NEE34" s="661"/>
      <c r="NEF34" s="556"/>
      <c r="NEG34" s="557"/>
      <c r="NEH34" s="557"/>
      <c r="NEI34" s="557"/>
      <c r="NEJ34" s="557"/>
      <c r="NEK34" s="557"/>
      <c r="NEL34" s="557"/>
      <c r="NEM34" s="557"/>
      <c r="NEN34" s="557"/>
      <c r="NEO34" s="557"/>
      <c r="NEP34" s="557"/>
      <c r="NEQ34" s="557"/>
      <c r="NER34" s="557"/>
      <c r="NES34" s="557"/>
      <c r="NET34" s="557"/>
      <c r="NEU34" s="557"/>
      <c r="NEV34" s="557"/>
      <c r="NEW34" s="557"/>
      <c r="NEX34" s="557"/>
      <c r="NEY34" s="661"/>
      <c r="NEZ34" s="556"/>
      <c r="NFA34" s="557"/>
      <c r="NFB34" s="557"/>
      <c r="NFC34" s="557"/>
      <c r="NFD34" s="557"/>
      <c r="NFE34" s="557"/>
      <c r="NFF34" s="557"/>
      <c r="NFG34" s="557"/>
      <c r="NFH34" s="557"/>
      <c r="NFI34" s="557"/>
      <c r="NFJ34" s="557"/>
      <c r="NFK34" s="557"/>
      <c r="NFL34" s="557"/>
      <c r="NFM34" s="557"/>
      <c r="NFN34" s="557"/>
      <c r="NFO34" s="557"/>
      <c r="NFP34" s="557"/>
      <c r="NFQ34" s="557"/>
      <c r="NFR34" s="557"/>
      <c r="NFS34" s="661"/>
      <c r="NFT34" s="556"/>
      <c r="NFU34" s="557"/>
      <c r="NFV34" s="557"/>
      <c r="NFW34" s="557"/>
      <c r="NFX34" s="557"/>
      <c r="NFY34" s="557"/>
      <c r="NFZ34" s="557"/>
      <c r="NGA34" s="557"/>
      <c r="NGB34" s="557"/>
      <c r="NGC34" s="557"/>
      <c r="NGD34" s="557"/>
      <c r="NGE34" s="557"/>
      <c r="NGF34" s="557"/>
      <c r="NGG34" s="557"/>
      <c r="NGH34" s="557"/>
      <c r="NGI34" s="557"/>
      <c r="NGJ34" s="557"/>
      <c r="NGK34" s="557"/>
      <c r="NGL34" s="557"/>
      <c r="NGM34" s="661"/>
      <c r="NGN34" s="556"/>
      <c r="NGO34" s="557"/>
      <c r="NGP34" s="557"/>
      <c r="NGQ34" s="557"/>
      <c r="NGR34" s="557"/>
      <c r="NGS34" s="557"/>
      <c r="NGT34" s="557"/>
      <c r="NGU34" s="557"/>
      <c r="NGV34" s="557"/>
      <c r="NGW34" s="557"/>
      <c r="NGX34" s="557"/>
      <c r="NGY34" s="557"/>
      <c r="NGZ34" s="557"/>
      <c r="NHA34" s="557"/>
      <c r="NHB34" s="557"/>
      <c r="NHC34" s="557"/>
      <c r="NHD34" s="557"/>
      <c r="NHE34" s="557"/>
      <c r="NHF34" s="557"/>
      <c r="NHG34" s="661"/>
      <c r="NHH34" s="556"/>
      <c r="NHI34" s="557"/>
      <c r="NHJ34" s="557"/>
      <c r="NHK34" s="557"/>
      <c r="NHL34" s="557"/>
      <c r="NHM34" s="557"/>
      <c r="NHN34" s="557"/>
      <c r="NHO34" s="557"/>
      <c r="NHP34" s="557"/>
      <c r="NHQ34" s="557"/>
      <c r="NHR34" s="557"/>
      <c r="NHS34" s="557"/>
      <c r="NHT34" s="557"/>
      <c r="NHU34" s="557"/>
      <c r="NHV34" s="557"/>
      <c r="NHW34" s="557"/>
      <c r="NHX34" s="557"/>
      <c r="NHY34" s="557"/>
      <c r="NHZ34" s="557"/>
      <c r="NIA34" s="661"/>
      <c r="NIB34" s="556"/>
      <c r="NIC34" s="557"/>
      <c r="NID34" s="557"/>
      <c r="NIE34" s="557"/>
      <c r="NIF34" s="557"/>
      <c r="NIG34" s="557"/>
      <c r="NIH34" s="557"/>
      <c r="NII34" s="557"/>
      <c r="NIJ34" s="557"/>
      <c r="NIK34" s="557"/>
      <c r="NIL34" s="557"/>
      <c r="NIM34" s="557"/>
      <c r="NIN34" s="557"/>
      <c r="NIO34" s="557"/>
      <c r="NIP34" s="557"/>
      <c r="NIQ34" s="557"/>
      <c r="NIR34" s="557"/>
      <c r="NIS34" s="557"/>
      <c r="NIT34" s="557"/>
      <c r="NIU34" s="661"/>
      <c r="NIV34" s="556"/>
      <c r="NIW34" s="557"/>
      <c r="NIX34" s="557"/>
      <c r="NIY34" s="557"/>
      <c r="NIZ34" s="557"/>
      <c r="NJA34" s="557"/>
      <c r="NJB34" s="557"/>
      <c r="NJC34" s="557"/>
      <c r="NJD34" s="557"/>
      <c r="NJE34" s="557"/>
      <c r="NJF34" s="557"/>
      <c r="NJG34" s="557"/>
      <c r="NJH34" s="557"/>
      <c r="NJI34" s="557"/>
      <c r="NJJ34" s="557"/>
      <c r="NJK34" s="557"/>
      <c r="NJL34" s="557"/>
      <c r="NJM34" s="557"/>
      <c r="NJN34" s="557"/>
      <c r="NJO34" s="661"/>
      <c r="NJP34" s="556"/>
      <c r="NJQ34" s="557"/>
      <c r="NJR34" s="557"/>
      <c r="NJS34" s="557"/>
      <c r="NJT34" s="557"/>
      <c r="NJU34" s="557"/>
      <c r="NJV34" s="557"/>
      <c r="NJW34" s="557"/>
      <c r="NJX34" s="557"/>
      <c r="NJY34" s="557"/>
      <c r="NJZ34" s="557"/>
      <c r="NKA34" s="557"/>
      <c r="NKB34" s="557"/>
      <c r="NKC34" s="557"/>
      <c r="NKD34" s="557"/>
      <c r="NKE34" s="557"/>
      <c r="NKF34" s="557"/>
      <c r="NKG34" s="557"/>
      <c r="NKH34" s="557"/>
      <c r="NKI34" s="661"/>
      <c r="NKJ34" s="556"/>
      <c r="NKK34" s="557"/>
      <c r="NKL34" s="557"/>
      <c r="NKM34" s="557"/>
      <c r="NKN34" s="557"/>
      <c r="NKO34" s="557"/>
      <c r="NKP34" s="557"/>
      <c r="NKQ34" s="557"/>
      <c r="NKR34" s="557"/>
      <c r="NKS34" s="557"/>
      <c r="NKT34" s="557"/>
      <c r="NKU34" s="557"/>
      <c r="NKV34" s="557"/>
      <c r="NKW34" s="557"/>
      <c r="NKX34" s="557"/>
      <c r="NKY34" s="557"/>
      <c r="NKZ34" s="557"/>
      <c r="NLA34" s="557"/>
      <c r="NLB34" s="557"/>
      <c r="NLC34" s="661"/>
      <c r="NLD34" s="556"/>
      <c r="NLE34" s="557"/>
      <c r="NLF34" s="557"/>
      <c r="NLG34" s="557"/>
      <c r="NLH34" s="557"/>
      <c r="NLI34" s="557"/>
      <c r="NLJ34" s="557"/>
      <c r="NLK34" s="557"/>
      <c r="NLL34" s="557"/>
      <c r="NLM34" s="557"/>
      <c r="NLN34" s="557"/>
      <c r="NLO34" s="557"/>
      <c r="NLP34" s="557"/>
      <c r="NLQ34" s="557"/>
      <c r="NLR34" s="557"/>
      <c r="NLS34" s="557"/>
      <c r="NLT34" s="557"/>
      <c r="NLU34" s="557"/>
      <c r="NLV34" s="557"/>
      <c r="NLW34" s="661"/>
      <c r="NLX34" s="556"/>
      <c r="NLY34" s="557"/>
      <c r="NLZ34" s="557"/>
      <c r="NMA34" s="557"/>
      <c r="NMB34" s="557"/>
      <c r="NMC34" s="557"/>
      <c r="NMD34" s="557"/>
      <c r="NME34" s="557"/>
      <c r="NMF34" s="557"/>
      <c r="NMG34" s="557"/>
      <c r="NMH34" s="557"/>
      <c r="NMI34" s="557"/>
      <c r="NMJ34" s="557"/>
      <c r="NMK34" s="557"/>
      <c r="NML34" s="557"/>
      <c r="NMM34" s="557"/>
      <c r="NMN34" s="557"/>
      <c r="NMO34" s="557"/>
      <c r="NMP34" s="557"/>
      <c r="NMQ34" s="661"/>
      <c r="NMR34" s="556"/>
      <c r="NMS34" s="557"/>
      <c r="NMT34" s="557"/>
      <c r="NMU34" s="557"/>
      <c r="NMV34" s="557"/>
      <c r="NMW34" s="557"/>
      <c r="NMX34" s="557"/>
      <c r="NMY34" s="557"/>
      <c r="NMZ34" s="557"/>
      <c r="NNA34" s="557"/>
      <c r="NNB34" s="557"/>
      <c r="NNC34" s="557"/>
      <c r="NND34" s="557"/>
      <c r="NNE34" s="557"/>
      <c r="NNF34" s="557"/>
      <c r="NNG34" s="557"/>
      <c r="NNH34" s="557"/>
      <c r="NNI34" s="557"/>
      <c r="NNJ34" s="557"/>
      <c r="NNK34" s="661"/>
      <c r="NNL34" s="556"/>
      <c r="NNM34" s="557"/>
      <c r="NNN34" s="557"/>
      <c r="NNO34" s="557"/>
      <c r="NNP34" s="557"/>
      <c r="NNQ34" s="557"/>
      <c r="NNR34" s="557"/>
      <c r="NNS34" s="557"/>
      <c r="NNT34" s="557"/>
      <c r="NNU34" s="557"/>
      <c r="NNV34" s="557"/>
      <c r="NNW34" s="557"/>
      <c r="NNX34" s="557"/>
      <c r="NNY34" s="557"/>
      <c r="NNZ34" s="557"/>
      <c r="NOA34" s="557"/>
      <c r="NOB34" s="557"/>
      <c r="NOC34" s="557"/>
      <c r="NOD34" s="557"/>
      <c r="NOE34" s="661"/>
      <c r="NOF34" s="556"/>
      <c r="NOG34" s="557"/>
      <c r="NOH34" s="557"/>
      <c r="NOI34" s="557"/>
      <c r="NOJ34" s="557"/>
      <c r="NOK34" s="557"/>
      <c r="NOL34" s="557"/>
      <c r="NOM34" s="557"/>
      <c r="NON34" s="557"/>
      <c r="NOO34" s="557"/>
      <c r="NOP34" s="557"/>
      <c r="NOQ34" s="557"/>
      <c r="NOR34" s="557"/>
      <c r="NOS34" s="557"/>
      <c r="NOT34" s="557"/>
      <c r="NOU34" s="557"/>
      <c r="NOV34" s="557"/>
      <c r="NOW34" s="557"/>
      <c r="NOX34" s="557"/>
      <c r="NOY34" s="661"/>
      <c r="NOZ34" s="556"/>
      <c r="NPA34" s="557"/>
      <c r="NPB34" s="557"/>
      <c r="NPC34" s="557"/>
      <c r="NPD34" s="557"/>
      <c r="NPE34" s="557"/>
      <c r="NPF34" s="557"/>
      <c r="NPG34" s="557"/>
      <c r="NPH34" s="557"/>
      <c r="NPI34" s="557"/>
      <c r="NPJ34" s="557"/>
      <c r="NPK34" s="557"/>
      <c r="NPL34" s="557"/>
      <c r="NPM34" s="557"/>
      <c r="NPN34" s="557"/>
      <c r="NPO34" s="557"/>
      <c r="NPP34" s="557"/>
      <c r="NPQ34" s="557"/>
      <c r="NPR34" s="557"/>
      <c r="NPS34" s="661"/>
      <c r="NPT34" s="556"/>
      <c r="NPU34" s="557"/>
      <c r="NPV34" s="557"/>
      <c r="NPW34" s="557"/>
      <c r="NPX34" s="557"/>
      <c r="NPY34" s="557"/>
      <c r="NPZ34" s="557"/>
      <c r="NQA34" s="557"/>
      <c r="NQB34" s="557"/>
      <c r="NQC34" s="557"/>
      <c r="NQD34" s="557"/>
      <c r="NQE34" s="557"/>
      <c r="NQF34" s="557"/>
      <c r="NQG34" s="557"/>
      <c r="NQH34" s="557"/>
      <c r="NQI34" s="557"/>
      <c r="NQJ34" s="557"/>
      <c r="NQK34" s="557"/>
      <c r="NQL34" s="557"/>
      <c r="NQM34" s="661"/>
      <c r="NQN34" s="556"/>
      <c r="NQO34" s="557"/>
      <c r="NQP34" s="557"/>
      <c r="NQQ34" s="557"/>
      <c r="NQR34" s="557"/>
      <c r="NQS34" s="557"/>
      <c r="NQT34" s="557"/>
      <c r="NQU34" s="557"/>
      <c r="NQV34" s="557"/>
      <c r="NQW34" s="557"/>
      <c r="NQX34" s="557"/>
      <c r="NQY34" s="557"/>
      <c r="NQZ34" s="557"/>
      <c r="NRA34" s="557"/>
      <c r="NRB34" s="557"/>
      <c r="NRC34" s="557"/>
      <c r="NRD34" s="557"/>
      <c r="NRE34" s="557"/>
      <c r="NRF34" s="557"/>
      <c r="NRG34" s="661"/>
      <c r="NRH34" s="556"/>
      <c r="NRI34" s="557"/>
      <c r="NRJ34" s="557"/>
      <c r="NRK34" s="557"/>
      <c r="NRL34" s="557"/>
      <c r="NRM34" s="557"/>
      <c r="NRN34" s="557"/>
      <c r="NRO34" s="557"/>
      <c r="NRP34" s="557"/>
      <c r="NRQ34" s="557"/>
      <c r="NRR34" s="557"/>
      <c r="NRS34" s="557"/>
      <c r="NRT34" s="557"/>
      <c r="NRU34" s="557"/>
      <c r="NRV34" s="557"/>
      <c r="NRW34" s="557"/>
      <c r="NRX34" s="557"/>
      <c r="NRY34" s="557"/>
      <c r="NRZ34" s="557"/>
      <c r="NSA34" s="661"/>
      <c r="NSB34" s="556"/>
      <c r="NSC34" s="557"/>
      <c r="NSD34" s="557"/>
      <c r="NSE34" s="557"/>
      <c r="NSF34" s="557"/>
      <c r="NSG34" s="557"/>
      <c r="NSH34" s="557"/>
      <c r="NSI34" s="557"/>
      <c r="NSJ34" s="557"/>
      <c r="NSK34" s="557"/>
      <c r="NSL34" s="557"/>
      <c r="NSM34" s="557"/>
      <c r="NSN34" s="557"/>
      <c r="NSO34" s="557"/>
      <c r="NSP34" s="557"/>
      <c r="NSQ34" s="557"/>
      <c r="NSR34" s="557"/>
      <c r="NSS34" s="557"/>
      <c r="NST34" s="557"/>
      <c r="NSU34" s="661"/>
      <c r="NSV34" s="556"/>
      <c r="NSW34" s="557"/>
      <c r="NSX34" s="557"/>
      <c r="NSY34" s="557"/>
      <c r="NSZ34" s="557"/>
      <c r="NTA34" s="557"/>
      <c r="NTB34" s="557"/>
      <c r="NTC34" s="557"/>
      <c r="NTD34" s="557"/>
      <c r="NTE34" s="557"/>
      <c r="NTF34" s="557"/>
      <c r="NTG34" s="557"/>
      <c r="NTH34" s="557"/>
      <c r="NTI34" s="557"/>
      <c r="NTJ34" s="557"/>
      <c r="NTK34" s="557"/>
      <c r="NTL34" s="557"/>
      <c r="NTM34" s="557"/>
      <c r="NTN34" s="557"/>
      <c r="NTO34" s="661"/>
      <c r="NTP34" s="556"/>
      <c r="NTQ34" s="557"/>
      <c r="NTR34" s="557"/>
      <c r="NTS34" s="557"/>
      <c r="NTT34" s="557"/>
      <c r="NTU34" s="557"/>
      <c r="NTV34" s="557"/>
      <c r="NTW34" s="557"/>
      <c r="NTX34" s="557"/>
      <c r="NTY34" s="557"/>
      <c r="NTZ34" s="557"/>
      <c r="NUA34" s="557"/>
      <c r="NUB34" s="557"/>
      <c r="NUC34" s="557"/>
      <c r="NUD34" s="557"/>
      <c r="NUE34" s="557"/>
      <c r="NUF34" s="557"/>
      <c r="NUG34" s="557"/>
      <c r="NUH34" s="557"/>
      <c r="NUI34" s="661"/>
      <c r="NUJ34" s="556"/>
      <c r="NUK34" s="557"/>
      <c r="NUL34" s="557"/>
      <c r="NUM34" s="557"/>
      <c r="NUN34" s="557"/>
      <c r="NUO34" s="557"/>
      <c r="NUP34" s="557"/>
      <c r="NUQ34" s="557"/>
      <c r="NUR34" s="557"/>
      <c r="NUS34" s="557"/>
      <c r="NUT34" s="557"/>
      <c r="NUU34" s="557"/>
      <c r="NUV34" s="557"/>
      <c r="NUW34" s="557"/>
      <c r="NUX34" s="557"/>
      <c r="NUY34" s="557"/>
      <c r="NUZ34" s="557"/>
      <c r="NVA34" s="557"/>
      <c r="NVB34" s="557"/>
      <c r="NVC34" s="661"/>
      <c r="NVD34" s="556"/>
      <c r="NVE34" s="557"/>
      <c r="NVF34" s="557"/>
      <c r="NVG34" s="557"/>
      <c r="NVH34" s="557"/>
      <c r="NVI34" s="557"/>
      <c r="NVJ34" s="557"/>
      <c r="NVK34" s="557"/>
      <c r="NVL34" s="557"/>
      <c r="NVM34" s="557"/>
      <c r="NVN34" s="557"/>
      <c r="NVO34" s="557"/>
      <c r="NVP34" s="557"/>
      <c r="NVQ34" s="557"/>
      <c r="NVR34" s="557"/>
      <c r="NVS34" s="557"/>
      <c r="NVT34" s="557"/>
      <c r="NVU34" s="557"/>
      <c r="NVV34" s="557"/>
      <c r="NVW34" s="661"/>
      <c r="NVX34" s="556"/>
      <c r="NVY34" s="557"/>
      <c r="NVZ34" s="557"/>
      <c r="NWA34" s="557"/>
      <c r="NWB34" s="557"/>
      <c r="NWC34" s="557"/>
      <c r="NWD34" s="557"/>
      <c r="NWE34" s="557"/>
      <c r="NWF34" s="557"/>
      <c r="NWG34" s="557"/>
      <c r="NWH34" s="557"/>
      <c r="NWI34" s="557"/>
      <c r="NWJ34" s="557"/>
      <c r="NWK34" s="557"/>
      <c r="NWL34" s="557"/>
      <c r="NWM34" s="557"/>
      <c r="NWN34" s="557"/>
      <c r="NWO34" s="557"/>
      <c r="NWP34" s="557"/>
      <c r="NWQ34" s="661"/>
      <c r="NWR34" s="556"/>
      <c r="NWS34" s="557"/>
      <c r="NWT34" s="557"/>
      <c r="NWU34" s="557"/>
      <c r="NWV34" s="557"/>
      <c r="NWW34" s="557"/>
      <c r="NWX34" s="557"/>
      <c r="NWY34" s="557"/>
      <c r="NWZ34" s="557"/>
      <c r="NXA34" s="557"/>
      <c r="NXB34" s="557"/>
      <c r="NXC34" s="557"/>
      <c r="NXD34" s="557"/>
      <c r="NXE34" s="557"/>
      <c r="NXF34" s="557"/>
      <c r="NXG34" s="557"/>
      <c r="NXH34" s="557"/>
      <c r="NXI34" s="557"/>
      <c r="NXJ34" s="557"/>
      <c r="NXK34" s="661"/>
      <c r="NXL34" s="556"/>
      <c r="NXM34" s="557"/>
      <c r="NXN34" s="557"/>
      <c r="NXO34" s="557"/>
      <c r="NXP34" s="557"/>
      <c r="NXQ34" s="557"/>
      <c r="NXR34" s="557"/>
      <c r="NXS34" s="557"/>
      <c r="NXT34" s="557"/>
      <c r="NXU34" s="557"/>
      <c r="NXV34" s="557"/>
      <c r="NXW34" s="557"/>
      <c r="NXX34" s="557"/>
      <c r="NXY34" s="557"/>
      <c r="NXZ34" s="557"/>
      <c r="NYA34" s="557"/>
      <c r="NYB34" s="557"/>
      <c r="NYC34" s="557"/>
      <c r="NYD34" s="557"/>
      <c r="NYE34" s="661"/>
      <c r="NYF34" s="556"/>
      <c r="NYG34" s="557"/>
      <c r="NYH34" s="557"/>
      <c r="NYI34" s="557"/>
      <c r="NYJ34" s="557"/>
      <c r="NYK34" s="557"/>
      <c r="NYL34" s="557"/>
      <c r="NYM34" s="557"/>
      <c r="NYN34" s="557"/>
      <c r="NYO34" s="557"/>
      <c r="NYP34" s="557"/>
      <c r="NYQ34" s="557"/>
      <c r="NYR34" s="557"/>
      <c r="NYS34" s="557"/>
      <c r="NYT34" s="557"/>
      <c r="NYU34" s="557"/>
      <c r="NYV34" s="557"/>
      <c r="NYW34" s="557"/>
      <c r="NYX34" s="557"/>
      <c r="NYY34" s="661"/>
      <c r="NYZ34" s="556"/>
      <c r="NZA34" s="557"/>
      <c r="NZB34" s="557"/>
      <c r="NZC34" s="557"/>
      <c r="NZD34" s="557"/>
      <c r="NZE34" s="557"/>
      <c r="NZF34" s="557"/>
      <c r="NZG34" s="557"/>
      <c r="NZH34" s="557"/>
      <c r="NZI34" s="557"/>
      <c r="NZJ34" s="557"/>
      <c r="NZK34" s="557"/>
      <c r="NZL34" s="557"/>
      <c r="NZM34" s="557"/>
      <c r="NZN34" s="557"/>
      <c r="NZO34" s="557"/>
      <c r="NZP34" s="557"/>
      <c r="NZQ34" s="557"/>
      <c r="NZR34" s="557"/>
      <c r="NZS34" s="661"/>
      <c r="NZT34" s="556"/>
      <c r="NZU34" s="557"/>
      <c r="NZV34" s="557"/>
      <c r="NZW34" s="557"/>
      <c r="NZX34" s="557"/>
      <c r="NZY34" s="557"/>
      <c r="NZZ34" s="557"/>
      <c r="OAA34" s="557"/>
      <c r="OAB34" s="557"/>
      <c r="OAC34" s="557"/>
      <c r="OAD34" s="557"/>
      <c r="OAE34" s="557"/>
      <c r="OAF34" s="557"/>
      <c r="OAG34" s="557"/>
      <c r="OAH34" s="557"/>
      <c r="OAI34" s="557"/>
      <c r="OAJ34" s="557"/>
      <c r="OAK34" s="557"/>
      <c r="OAL34" s="557"/>
      <c r="OAM34" s="661"/>
      <c r="OAN34" s="556"/>
      <c r="OAO34" s="557"/>
      <c r="OAP34" s="557"/>
      <c r="OAQ34" s="557"/>
      <c r="OAR34" s="557"/>
      <c r="OAS34" s="557"/>
      <c r="OAT34" s="557"/>
      <c r="OAU34" s="557"/>
      <c r="OAV34" s="557"/>
      <c r="OAW34" s="557"/>
      <c r="OAX34" s="557"/>
      <c r="OAY34" s="557"/>
      <c r="OAZ34" s="557"/>
      <c r="OBA34" s="557"/>
      <c r="OBB34" s="557"/>
      <c r="OBC34" s="557"/>
      <c r="OBD34" s="557"/>
      <c r="OBE34" s="557"/>
      <c r="OBF34" s="557"/>
      <c r="OBG34" s="661"/>
      <c r="OBH34" s="556"/>
      <c r="OBI34" s="557"/>
      <c r="OBJ34" s="557"/>
      <c r="OBK34" s="557"/>
      <c r="OBL34" s="557"/>
      <c r="OBM34" s="557"/>
      <c r="OBN34" s="557"/>
      <c r="OBO34" s="557"/>
      <c r="OBP34" s="557"/>
      <c r="OBQ34" s="557"/>
      <c r="OBR34" s="557"/>
      <c r="OBS34" s="557"/>
      <c r="OBT34" s="557"/>
      <c r="OBU34" s="557"/>
      <c r="OBV34" s="557"/>
      <c r="OBW34" s="557"/>
      <c r="OBX34" s="557"/>
      <c r="OBY34" s="557"/>
      <c r="OBZ34" s="557"/>
      <c r="OCA34" s="661"/>
      <c r="OCB34" s="556"/>
      <c r="OCC34" s="557"/>
      <c r="OCD34" s="557"/>
      <c r="OCE34" s="557"/>
      <c r="OCF34" s="557"/>
      <c r="OCG34" s="557"/>
      <c r="OCH34" s="557"/>
      <c r="OCI34" s="557"/>
      <c r="OCJ34" s="557"/>
      <c r="OCK34" s="557"/>
      <c r="OCL34" s="557"/>
      <c r="OCM34" s="557"/>
      <c r="OCN34" s="557"/>
      <c r="OCO34" s="557"/>
      <c r="OCP34" s="557"/>
      <c r="OCQ34" s="557"/>
      <c r="OCR34" s="557"/>
      <c r="OCS34" s="557"/>
      <c r="OCT34" s="557"/>
      <c r="OCU34" s="661"/>
      <c r="OCV34" s="556"/>
      <c r="OCW34" s="557"/>
      <c r="OCX34" s="557"/>
      <c r="OCY34" s="557"/>
      <c r="OCZ34" s="557"/>
      <c r="ODA34" s="557"/>
      <c r="ODB34" s="557"/>
      <c r="ODC34" s="557"/>
      <c r="ODD34" s="557"/>
      <c r="ODE34" s="557"/>
      <c r="ODF34" s="557"/>
      <c r="ODG34" s="557"/>
      <c r="ODH34" s="557"/>
      <c r="ODI34" s="557"/>
      <c r="ODJ34" s="557"/>
      <c r="ODK34" s="557"/>
      <c r="ODL34" s="557"/>
      <c r="ODM34" s="557"/>
      <c r="ODN34" s="557"/>
      <c r="ODO34" s="661"/>
      <c r="ODP34" s="556"/>
      <c r="ODQ34" s="557"/>
      <c r="ODR34" s="557"/>
      <c r="ODS34" s="557"/>
      <c r="ODT34" s="557"/>
      <c r="ODU34" s="557"/>
      <c r="ODV34" s="557"/>
      <c r="ODW34" s="557"/>
      <c r="ODX34" s="557"/>
      <c r="ODY34" s="557"/>
      <c r="ODZ34" s="557"/>
      <c r="OEA34" s="557"/>
      <c r="OEB34" s="557"/>
      <c r="OEC34" s="557"/>
      <c r="OED34" s="557"/>
      <c r="OEE34" s="557"/>
      <c r="OEF34" s="557"/>
      <c r="OEG34" s="557"/>
      <c r="OEH34" s="557"/>
      <c r="OEI34" s="661"/>
      <c r="OEJ34" s="556"/>
      <c r="OEK34" s="557"/>
      <c r="OEL34" s="557"/>
      <c r="OEM34" s="557"/>
      <c r="OEN34" s="557"/>
      <c r="OEO34" s="557"/>
      <c r="OEP34" s="557"/>
      <c r="OEQ34" s="557"/>
      <c r="OER34" s="557"/>
      <c r="OES34" s="557"/>
      <c r="OET34" s="557"/>
      <c r="OEU34" s="557"/>
      <c r="OEV34" s="557"/>
      <c r="OEW34" s="557"/>
      <c r="OEX34" s="557"/>
      <c r="OEY34" s="557"/>
      <c r="OEZ34" s="557"/>
      <c r="OFA34" s="557"/>
      <c r="OFB34" s="557"/>
      <c r="OFC34" s="661"/>
      <c r="OFD34" s="556"/>
      <c r="OFE34" s="557"/>
      <c r="OFF34" s="557"/>
      <c r="OFG34" s="557"/>
      <c r="OFH34" s="557"/>
      <c r="OFI34" s="557"/>
      <c r="OFJ34" s="557"/>
      <c r="OFK34" s="557"/>
      <c r="OFL34" s="557"/>
      <c r="OFM34" s="557"/>
      <c r="OFN34" s="557"/>
      <c r="OFO34" s="557"/>
      <c r="OFP34" s="557"/>
      <c r="OFQ34" s="557"/>
      <c r="OFR34" s="557"/>
      <c r="OFS34" s="557"/>
      <c r="OFT34" s="557"/>
      <c r="OFU34" s="557"/>
      <c r="OFV34" s="557"/>
      <c r="OFW34" s="661"/>
      <c r="OFX34" s="556"/>
      <c r="OFY34" s="557"/>
      <c r="OFZ34" s="557"/>
      <c r="OGA34" s="557"/>
      <c r="OGB34" s="557"/>
      <c r="OGC34" s="557"/>
      <c r="OGD34" s="557"/>
      <c r="OGE34" s="557"/>
      <c r="OGF34" s="557"/>
      <c r="OGG34" s="557"/>
      <c r="OGH34" s="557"/>
      <c r="OGI34" s="557"/>
      <c r="OGJ34" s="557"/>
      <c r="OGK34" s="557"/>
      <c r="OGL34" s="557"/>
      <c r="OGM34" s="557"/>
      <c r="OGN34" s="557"/>
      <c r="OGO34" s="557"/>
      <c r="OGP34" s="557"/>
      <c r="OGQ34" s="661"/>
      <c r="OGR34" s="556"/>
      <c r="OGS34" s="557"/>
      <c r="OGT34" s="557"/>
      <c r="OGU34" s="557"/>
      <c r="OGV34" s="557"/>
      <c r="OGW34" s="557"/>
      <c r="OGX34" s="557"/>
      <c r="OGY34" s="557"/>
      <c r="OGZ34" s="557"/>
      <c r="OHA34" s="557"/>
      <c r="OHB34" s="557"/>
      <c r="OHC34" s="557"/>
      <c r="OHD34" s="557"/>
      <c r="OHE34" s="557"/>
      <c r="OHF34" s="557"/>
      <c r="OHG34" s="557"/>
      <c r="OHH34" s="557"/>
      <c r="OHI34" s="557"/>
      <c r="OHJ34" s="557"/>
      <c r="OHK34" s="661"/>
      <c r="OHL34" s="556"/>
      <c r="OHM34" s="557"/>
      <c r="OHN34" s="557"/>
      <c r="OHO34" s="557"/>
      <c r="OHP34" s="557"/>
      <c r="OHQ34" s="557"/>
      <c r="OHR34" s="557"/>
      <c r="OHS34" s="557"/>
      <c r="OHT34" s="557"/>
      <c r="OHU34" s="557"/>
      <c r="OHV34" s="557"/>
      <c r="OHW34" s="557"/>
      <c r="OHX34" s="557"/>
      <c r="OHY34" s="557"/>
      <c r="OHZ34" s="557"/>
      <c r="OIA34" s="557"/>
      <c r="OIB34" s="557"/>
      <c r="OIC34" s="557"/>
      <c r="OID34" s="557"/>
      <c r="OIE34" s="661"/>
      <c r="OIF34" s="556"/>
      <c r="OIG34" s="557"/>
      <c r="OIH34" s="557"/>
      <c r="OII34" s="557"/>
      <c r="OIJ34" s="557"/>
      <c r="OIK34" s="557"/>
      <c r="OIL34" s="557"/>
      <c r="OIM34" s="557"/>
      <c r="OIN34" s="557"/>
      <c r="OIO34" s="557"/>
      <c r="OIP34" s="557"/>
      <c r="OIQ34" s="557"/>
      <c r="OIR34" s="557"/>
      <c r="OIS34" s="557"/>
      <c r="OIT34" s="557"/>
      <c r="OIU34" s="557"/>
      <c r="OIV34" s="557"/>
      <c r="OIW34" s="557"/>
      <c r="OIX34" s="557"/>
      <c r="OIY34" s="661"/>
      <c r="OIZ34" s="556"/>
      <c r="OJA34" s="557"/>
      <c r="OJB34" s="557"/>
      <c r="OJC34" s="557"/>
      <c r="OJD34" s="557"/>
      <c r="OJE34" s="557"/>
      <c r="OJF34" s="557"/>
      <c r="OJG34" s="557"/>
      <c r="OJH34" s="557"/>
      <c r="OJI34" s="557"/>
      <c r="OJJ34" s="557"/>
      <c r="OJK34" s="557"/>
      <c r="OJL34" s="557"/>
      <c r="OJM34" s="557"/>
      <c r="OJN34" s="557"/>
      <c r="OJO34" s="557"/>
      <c r="OJP34" s="557"/>
      <c r="OJQ34" s="557"/>
      <c r="OJR34" s="557"/>
      <c r="OJS34" s="661"/>
      <c r="OJT34" s="556"/>
      <c r="OJU34" s="557"/>
      <c r="OJV34" s="557"/>
      <c r="OJW34" s="557"/>
      <c r="OJX34" s="557"/>
      <c r="OJY34" s="557"/>
      <c r="OJZ34" s="557"/>
      <c r="OKA34" s="557"/>
      <c r="OKB34" s="557"/>
      <c r="OKC34" s="557"/>
      <c r="OKD34" s="557"/>
      <c r="OKE34" s="557"/>
      <c r="OKF34" s="557"/>
      <c r="OKG34" s="557"/>
      <c r="OKH34" s="557"/>
      <c r="OKI34" s="557"/>
      <c r="OKJ34" s="557"/>
      <c r="OKK34" s="557"/>
      <c r="OKL34" s="557"/>
      <c r="OKM34" s="661"/>
      <c r="OKN34" s="556"/>
      <c r="OKO34" s="557"/>
      <c r="OKP34" s="557"/>
      <c r="OKQ34" s="557"/>
      <c r="OKR34" s="557"/>
      <c r="OKS34" s="557"/>
      <c r="OKT34" s="557"/>
      <c r="OKU34" s="557"/>
      <c r="OKV34" s="557"/>
      <c r="OKW34" s="557"/>
      <c r="OKX34" s="557"/>
      <c r="OKY34" s="557"/>
      <c r="OKZ34" s="557"/>
      <c r="OLA34" s="557"/>
      <c r="OLB34" s="557"/>
      <c r="OLC34" s="557"/>
      <c r="OLD34" s="557"/>
      <c r="OLE34" s="557"/>
      <c r="OLF34" s="557"/>
      <c r="OLG34" s="661"/>
      <c r="OLH34" s="556"/>
      <c r="OLI34" s="557"/>
      <c r="OLJ34" s="557"/>
      <c r="OLK34" s="557"/>
      <c r="OLL34" s="557"/>
      <c r="OLM34" s="557"/>
      <c r="OLN34" s="557"/>
      <c r="OLO34" s="557"/>
      <c r="OLP34" s="557"/>
      <c r="OLQ34" s="557"/>
      <c r="OLR34" s="557"/>
      <c r="OLS34" s="557"/>
      <c r="OLT34" s="557"/>
      <c r="OLU34" s="557"/>
      <c r="OLV34" s="557"/>
      <c r="OLW34" s="557"/>
      <c r="OLX34" s="557"/>
      <c r="OLY34" s="557"/>
      <c r="OLZ34" s="557"/>
      <c r="OMA34" s="661"/>
      <c r="OMB34" s="556"/>
      <c r="OMC34" s="557"/>
      <c r="OMD34" s="557"/>
      <c r="OME34" s="557"/>
      <c r="OMF34" s="557"/>
      <c r="OMG34" s="557"/>
      <c r="OMH34" s="557"/>
      <c r="OMI34" s="557"/>
      <c r="OMJ34" s="557"/>
      <c r="OMK34" s="557"/>
      <c r="OML34" s="557"/>
      <c r="OMM34" s="557"/>
      <c r="OMN34" s="557"/>
      <c r="OMO34" s="557"/>
      <c r="OMP34" s="557"/>
      <c r="OMQ34" s="557"/>
      <c r="OMR34" s="557"/>
      <c r="OMS34" s="557"/>
      <c r="OMT34" s="557"/>
      <c r="OMU34" s="661"/>
      <c r="OMV34" s="556"/>
      <c r="OMW34" s="557"/>
      <c r="OMX34" s="557"/>
      <c r="OMY34" s="557"/>
      <c r="OMZ34" s="557"/>
      <c r="ONA34" s="557"/>
      <c r="ONB34" s="557"/>
      <c r="ONC34" s="557"/>
      <c r="OND34" s="557"/>
      <c r="ONE34" s="557"/>
      <c r="ONF34" s="557"/>
      <c r="ONG34" s="557"/>
      <c r="ONH34" s="557"/>
      <c r="ONI34" s="557"/>
      <c r="ONJ34" s="557"/>
      <c r="ONK34" s="557"/>
      <c r="ONL34" s="557"/>
      <c r="ONM34" s="557"/>
      <c r="ONN34" s="557"/>
      <c r="ONO34" s="661"/>
      <c r="ONP34" s="556"/>
      <c r="ONQ34" s="557"/>
      <c r="ONR34" s="557"/>
      <c r="ONS34" s="557"/>
      <c r="ONT34" s="557"/>
      <c r="ONU34" s="557"/>
      <c r="ONV34" s="557"/>
      <c r="ONW34" s="557"/>
      <c r="ONX34" s="557"/>
      <c r="ONY34" s="557"/>
      <c r="ONZ34" s="557"/>
      <c r="OOA34" s="557"/>
      <c r="OOB34" s="557"/>
      <c r="OOC34" s="557"/>
      <c r="OOD34" s="557"/>
      <c r="OOE34" s="557"/>
      <c r="OOF34" s="557"/>
      <c r="OOG34" s="557"/>
      <c r="OOH34" s="557"/>
      <c r="OOI34" s="661"/>
      <c r="OOJ34" s="556"/>
      <c r="OOK34" s="557"/>
      <c r="OOL34" s="557"/>
      <c r="OOM34" s="557"/>
      <c r="OON34" s="557"/>
      <c r="OOO34" s="557"/>
      <c r="OOP34" s="557"/>
      <c r="OOQ34" s="557"/>
      <c r="OOR34" s="557"/>
      <c r="OOS34" s="557"/>
      <c r="OOT34" s="557"/>
      <c r="OOU34" s="557"/>
      <c r="OOV34" s="557"/>
      <c r="OOW34" s="557"/>
      <c r="OOX34" s="557"/>
      <c r="OOY34" s="557"/>
      <c r="OOZ34" s="557"/>
      <c r="OPA34" s="557"/>
      <c r="OPB34" s="557"/>
      <c r="OPC34" s="661"/>
      <c r="OPD34" s="556"/>
      <c r="OPE34" s="557"/>
      <c r="OPF34" s="557"/>
      <c r="OPG34" s="557"/>
      <c r="OPH34" s="557"/>
      <c r="OPI34" s="557"/>
      <c r="OPJ34" s="557"/>
      <c r="OPK34" s="557"/>
      <c r="OPL34" s="557"/>
      <c r="OPM34" s="557"/>
      <c r="OPN34" s="557"/>
      <c r="OPO34" s="557"/>
      <c r="OPP34" s="557"/>
      <c r="OPQ34" s="557"/>
      <c r="OPR34" s="557"/>
      <c r="OPS34" s="557"/>
      <c r="OPT34" s="557"/>
      <c r="OPU34" s="557"/>
      <c r="OPV34" s="557"/>
      <c r="OPW34" s="661"/>
      <c r="OPX34" s="556"/>
      <c r="OPY34" s="557"/>
      <c r="OPZ34" s="557"/>
      <c r="OQA34" s="557"/>
      <c r="OQB34" s="557"/>
      <c r="OQC34" s="557"/>
      <c r="OQD34" s="557"/>
      <c r="OQE34" s="557"/>
      <c r="OQF34" s="557"/>
      <c r="OQG34" s="557"/>
      <c r="OQH34" s="557"/>
      <c r="OQI34" s="557"/>
      <c r="OQJ34" s="557"/>
      <c r="OQK34" s="557"/>
      <c r="OQL34" s="557"/>
      <c r="OQM34" s="557"/>
      <c r="OQN34" s="557"/>
      <c r="OQO34" s="557"/>
      <c r="OQP34" s="557"/>
      <c r="OQQ34" s="661"/>
      <c r="OQR34" s="556"/>
      <c r="OQS34" s="557"/>
      <c r="OQT34" s="557"/>
      <c r="OQU34" s="557"/>
      <c r="OQV34" s="557"/>
      <c r="OQW34" s="557"/>
      <c r="OQX34" s="557"/>
      <c r="OQY34" s="557"/>
      <c r="OQZ34" s="557"/>
      <c r="ORA34" s="557"/>
      <c r="ORB34" s="557"/>
      <c r="ORC34" s="557"/>
      <c r="ORD34" s="557"/>
      <c r="ORE34" s="557"/>
      <c r="ORF34" s="557"/>
      <c r="ORG34" s="557"/>
      <c r="ORH34" s="557"/>
      <c r="ORI34" s="557"/>
      <c r="ORJ34" s="557"/>
      <c r="ORK34" s="661"/>
      <c r="ORL34" s="556"/>
      <c r="ORM34" s="557"/>
      <c r="ORN34" s="557"/>
      <c r="ORO34" s="557"/>
      <c r="ORP34" s="557"/>
      <c r="ORQ34" s="557"/>
      <c r="ORR34" s="557"/>
      <c r="ORS34" s="557"/>
      <c r="ORT34" s="557"/>
      <c r="ORU34" s="557"/>
      <c r="ORV34" s="557"/>
      <c r="ORW34" s="557"/>
      <c r="ORX34" s="557"/>
      <c r="ORY34" s="557"/>
      <c r="ORZ34" s="557"/>
      <c r="OSA34" s="557"/>
      <c r="OSB34" s="557"/>
      <c r="OSC34" s="557"/>
      <c r="OSD34" s="557"/>
      <c r="OSE34" s="661"/>
      <c r="OSF34" s="556"/>
      <c r="OSG34" s="557"/>
      <c r="OSH34" s="557"/>
      <c r="OSI34" s="557"/>
      <c r="OSJ34" s="557"/>
      <c r="OSK34" s="557"/>
      <c r="OSL34" s="557"/>
      <c r="OSM34" s="557"/>
      <c r="OSN34" s="557"/>
      <c r="OSO34" s="557"/>
      <c r="OSP34" s="557"/>
      <c r="OSQ34" s="557"/>
      <c r="OSR34" s="557"/>
      <c r="OSS34" s="557"/>
      <c r="OST34" s="557"/>
      <c r="OSU34" s="557"/>
      <c r="OSV34" s="557"/>
      <c r="OSW34" s="557"/>
      <c r="OSX34" s="557"/>
      <c r="OSY34" s="661"/>
      <c r="OSZ34" s="556"/>
      <c r="OTA34" s="557"/>
      <c r="OTB34" s="557"/>
      <c r="OTC34" s="557"/>
      <c r="OTD34" s="557"/>
      <c r="OTE34" s="557"/>
      <c r="OTF34" s="557"/>
      <c r="OTG34" s="557"/>
      <c r="OTH34" s="557"/>
      <c r="OTI34" s="557"/>
      <c r="OTJ34" s="557"/>
      <c r="OTK34" s="557"/>
      <c r="OTL34" s="557"/>
      <c r="OTM34" s="557"/>
      <c r="OTN34" s="557"/>
      <c r="OTO34" s="557"/>
      <c r="OTP34" s="557"/>
      <c r="OTQ34" s="557"/>
      <c r="OTR34" s="557"/>
      <c r="OTS34" s="661"/>
      <c r="OTT34" s="556"/>
      <c r="OTU34" s="557"/>
      <c r="OTV34" s="557"/>
      <c r="OTW34" s="557"/>
      <c r="OTX34" s="557"/>
      <c r="OTY34" s="557"/>
      <c r="OTZ34" s="557"/>
      <c r="OUA34" s="557"/>
      <c r="OUB34" s="557"/>
      <c r="OUC34" s="557"/>
      <c r="OUD34" s="557"/>
      <c r="OUE34" s="557"/>
      <c r="OUF34" s="557"/>
      <c r="OUG34" s="557"/>
      <c r="OUH34" s="557"/>
      <c r="OUI34" s="557"/>
      <c r="OUJ34" s="557"/>
      <c r="OUK34" s="557"/>
      <c r="OUL34" s="557"/>
      <c r="OUM34" s="661"/>
      <c r="OUN34" s="556"/>
      <c r="OUO34" s="557"/>
      <c r="OUP34" s="557"/>
      <c r="OUQ34" s="557"/>
      <c r="OUR34" s="557"/>
      <c r="OUS34" s="557"/>
      <c r="OUT34" s="557"/>
      <c r="OUU34" s="557"/>
      <c r="OUV34" s="557"/>
      <c r="OUW34" s="557"/>
      <c r="OUX34" s="557"/>
      <c r="OUY34" s="557"/>
      <c r="OUZ34" s="557"/>
      <c r="OVA34" s="557"/>
      <c r="OVB34" s="557"/>
      <c r="OVC34" s="557"/>
      <c r="OVD34" s="557"/>
      <c r="OVE34" s="557"/>
      <c r="OVF34" s="557"/>
      <c r="OVG34" s="661"/>
      <c r="OVH34" s="556"/>
      <c r="OVI34" s="557"/>
      <c r="OVJ34" s="557"/>
      <c r="OVK34" s="557"/>
      <c r="OVL34" s="557"/>
      <c r="OVM34" s="557"/>
      <c r="OVN34" s="557"/>
      <c r="OVO34" s="557"/>
      <c r="OVP34" s="557"/>
      <c r="OVQ34" s="557"/>
      <c r="OVR34" s="557"/>
      <c r="OVS34" s="557"/>
      <c r="OVT34" s="557"/>
      <c r="OVU34" s="557"/>
      <c r="OVV34" s="557"/>
      <c r="OVW34" s="557"/>
      <c r="OVX34" s="557"/>
      <c r="OVY34" s="557"/>
      <c r="OVZ34" s="557"/>
      <c r="OWA34" s="661"/>
      <c r="OWB34" s="556"/>
      <c r="OWC34" s="557"/>
      <c r="OWD34" s="557"/>
      <c r="OWE34" s="557"/>
      <c r="OWF34" s="557"/>
      <c r="OWG34" s="557"/>
      <c r="OWH34" s="557"/>
      <c r="OWI34" s="557"/>
      <c r="OWJ34" s="557"/>
      <c r="OWK34" s="557"/>
      <c r="OWL34" s="557"/>
      <c r="OWM34" s="557"/>
      <c r="OWN34" s="557"/>
      <c r="OWO34" s="557"/>
      <c r="OWP34" s="557"/>
      <c r="OWQ34" s="557"/>
      <c r="OWR34" s="557"/>
      <c r="OWS34" s="557"/>
      <c r="OWT34" s="557"/>
      <c r="OWU34" s="661"/>
      <c r="OWV34" s="556"/>
      <c r="OWW34" s="557"/>
      <c r="OWX34" s="557"/>
      <c r="OWY34" s="557"/>
      <c r="OWZ34" s="557"/>
      <c r="OXA34" s="557"/>
      <c r="OXB34" s="557"/>
      <c r="OXC34" s="557"/>
      <c r="OXD34" s="557"/>
      <c r="OXE34" s="557"/>
      <c r="OXF34" s="557"/>
      <c r="OXG34" s="557"/>
      <c r="OXH34" s="557"/>
      <c r="OXI34" s="557"/>
      <c r="OXJ34" s="557"/>
      <c r="OXK34" s="557"/>
      <c r="OXL34" s="557"/>
      <c r="OXM34" s="557"/>
      <c r="OXN34" s="557"/>
      <c r="OXO34" s="661"/>
      <c r="OXP34" s="556"/>
      <c r="OXQ34" s="557"/>
      <c r="OXR34" s="557"/>
      <c r="OXS34" s="557"/>
      <c r="OXT34" s="557"/>
      <c r="OXU34" s="557"/>
      <c r="OXV34" s="557"/>
      <c r="OXW34" s="557"/>
      <c r="OXX34" s="557"/>
      <c r="OXY34" s="557"/>
      <c r="OXZ34" s="557"/>
      <c r="OYA34" s="557"/>
      <c r="OYB34" s="557"/>
      <c r="OYC34" s="557"/>
      <c r="OYD34" s="557"/>
      <c r="OYE34" s="557"/>
      <c r="OYF34" s="557"/>
      <c r="OYG34" s="557"/>
      <c r="OYH34" s="557"/>
      <c r="OYI34" s="661"/>
      <c r="OYJ34" s="556"/>
      <c r="OYK34" s="557"/>
      <c r="OYL34" s="557"/>
      <c r="OYM34" s="557"/>
      <c r="OYN34" s="557"/>
      <c r="OYO34" s="557"/>
      <c r="OYP34" s="557"/>
      <c r="OYQ34" s="557"/>
      <c r="OYR34" s="557"/>
      <c r="OYS34" s="557"/>
      <c r="OYT34" s="557"/>
      <c r="OYU34" s="557"/>
      <c r="OYV34" s="557"/>
      <c r="OYW34" s="557"/>
      <c r="OYX34" s="557"/>
      <c r="OYY34" s="557"/>
      <c r="OYZ34" s="557"/>
      <c r="OZA34" s="557"/>
      <c r="OZB34" s="557"/>
      <c r="OZC34" s="661"/>
      <c r="OZD34" s="556"/>
      <c r="OZE34" s="557"/>
      <c r="OZF34" s="557"/>
      <c r="OZG34" s="557"/>
      <c r="OZH34" s="557"/>
      <c r="OZI34" s="557"/>
      <c r="OZJ34" s="557"/>
      <c r="OZK34" s="557"/>
      <c r="OZL34" s="557"/>
      <c r="OZM34" s="557"/>
      <c r="OZN34" s="557"/>
      <c r="OZO34" s="557"/>
      <c r="OZP34" s="557"/>
      <c r="OZQ34" s="557"/>
      <c r="OZR34" s="557"/>
      <c r="OZS34" s="557"/>
      <c r="OZT34" s="557"/>
      <c r="OZU34" s="557"/>
      <c r="OZV34" s="557"/>
      <c r="OZW34" s="661"/>
      <c r="OZX34" s="556"/>
      <c r="OZY34" s="557"/>
      <c r="OZZ34" s="557"/>
      <c r="PAA34" s="557"/>
      <c r="PAB34" s="557"/>
      <c r="PAC34" s="557"/>
      <c r="PAD34" s="557"/>
      <c r="PAE34" s="557"/>
      <c r="PAF34" s="557"/>
      <c r="PAG34" s="557"/>
      <c r="PAH34" s="557"/>
      <c r="PAI34" s="557"/>
      <c r="PAJ34" s="557"/>
      <c r="PAK34" s="557"/>
      <c r="PAL34" s="557"/>
      <c r="PAM34" s="557"/>
      <c r="PAN34" s="557"/>
      <c r="PAO34" s="557"/>
      <c r="PAP34" s="557"/>
      <c r="PAQ34" s="661"/>
      <c r="PAR34" s="556"/>
      <c r="PAS34" s="557"/>
      <c r="PAT34" s="557"/>
      <c r="PAU34" s="557"/>
      <c r="PAV34" s="557"/>
      <c r="PAW34" s="557"/>
      <c r="PAX34" s="557"/>
      <c r="PAY34" s="557"/>
      <c r="PAZ34" s="557"/>
      <c r="PBA34" s="557"/>
      <c r="PBB34" s="557"/>
      <c r="PBC34" s="557"/>
      <c r="PBD34" s="557"/>
      <c r="PBE34" s="557"/>
      <c r="PBF34" s="557"/>
      <c r="PBG34" s="557"/>
      <c r="PBH34" s="557"/>
      <c r="PBI34" s="557"/>
      <c r="PBJ34" s="557"/>
      <c r="PBK34" s="661"/>
      <c r="PBL34" s="556"/>
      <c r="PBM34" s="557"/>
      <c r="PBN34" s="557"/>
      <c r="PBO34" s="557"/>
      <c r="PBP34" s="557"/>
      <c r="PBQ34" s="557"/>
      <c r="PBR34" s="557"/>
      <c r="PBS34" s="557"/>
      <c r="PBT34" s="557"/>
      <c r="PBU34" s="557"/>
      <c r="PBV34" s="557"/>
      <c r="PBW34" s="557"/>
      <c r="PBX34" s="557"/>
      <c r="PBY34" s="557"/>
      <c r="PBZ34" s="557"/>
      <c r="PCA34" s="557"/>
      <c r="PCB34" s="557"/>
      <c r="PCC34" s="557"/>
      <c r="PCD34" s="557"/>
      <c r="PCE34" s="661"/>
      <c r="PCF34" s="556"/>
      <c r="PCG34" s="557"/>
      <c r="PCH34" s="557"/>
      <c r="PCI34" s="557"/>
      <c r="PCJ34" s="557"/>
      <c r="PCK34" s="557"/>
      <c r="PCL34" s="557"/>
      <c r="PCM34" s="557"/>
      <c r="PCN34" s="557"/>
      <c r="PCO34" s="557"/>
      <c r="PCP34" s="557"/>
      <c r="PCQ34" s="557"/>
      <c r="PCR34" s="557"/>
      <c r="PCS34" s="557"/>
      <c r="PCT34" s="557"/>
      <c r="PCU34" s="557"/>
      <c r="PCV34" s="557"/>
      <c r="PCW34" s="557"/>
      <c r="PCX34" s="557"/>
      <c r="PCY34" s="661"/>
      <c r="PCZ34" s="556"/>
      <c r="PDA34" s="557"/>
      <c r="PDB34" s="557"/>
      <c r="PDC34" s="557"/>
      <c r="PDD34" s="557"/>
      <c r="PDE34" s="557"/>
      <c r="PDF34" s="557"/>
      <c r="PDG34" s="557"/>
      <c r="PDH34" s="557"/>
      <c r="PDI34" s="557"/>
      <c r="PDJ34" s="557"/>
      <c r="PDK34" s="557"/>
      <c r="PDL34" s="557"/>
      <c r="PDM34" s="557"/>
      <c r="PDN34" s="557"/>
      <c r="PDO34" s="557"/>
      <c r="PDP34" s="557"/>
      <c r="PDQ34" s="557"/>
      <c r="PDR34" s="557"/>
      <c r="PDS34" s="661"/>
      <c r="PDT34" s="556"/>
      <c r="PDU34" s="557"/>
      <c r="PDV34" s="557"/>
      <c r="PDW34" s="557"/>
      <c r="PDX34" s="557"/>
      <c r="PDY34" s="557"/>
      <c r="PDZ34" s="557"/>
      <c r="PEA34" s="557"/>
      <c r="PEB34" s="557"/>
      <c r="PEC34" s="557"/>
      <c r="PED34" s="557"/>
      <c r="PEE34" s="557"/>
      <c r="PEF34" s="557"/>
      <c r="PEG34" s="557"/>
      <c r="PEH34" s="557"/>
      <c r="PEI34" s="557"/>
      <c r="PEJ34" s="557"/>
      <c r="PEK34" s="557"/>
      <c r="PEL34" s="557"/>
      <c r="PEM34" s="661"/>
      <c r="PEN34" s="556"/>
      <c r="PEO34" s="557"/>
      <c r="PEP34" s="557"/>
      <c r="PEQ34" s="557"/>
      <c r="PER34" s="557"/>
      <c r="PES34" s="557"/>
      <c r="PET34" s="557"/>
      <c r="PEU34" s="557"/>
      <c r="PEV34" s="557"/>
      <c r="PEW34" s="557"/>
      <c r="PEX34" s="557"/>
      <c r="PEY34" s="557"/>
      <c r="PEZ34" s="557"/>
      <c r="PFA34" s="557"/>
      <c r="PFB34" s="557"/>
      <c r="PFC34" s="557"/>
      <c r="PFD34" s="557"/>
      <c r="PFE34" s="557"/>
      <c r="PFF34" s="557"/>
      <c r="PFG34" s="661"/>
      <c r="PFH34" s="556"/>
      <c r="PFI34" s="557"/>
      <c r="PFJ34" s="557"/>
      <c r="PFK34" s="557"/>
      <c r="PFL34" s="557"/>
      <c r="PFM34" s="557"/>
      <c r="PFN34" s="557"/>
      <c r="PFO34" s="557"/>
      <c r="PFP34" s="557"/>
      <c r="PFQ34" s="557"/>
      <c r="PFR34" s="557"/>
      <c r="PFS34" s="557"/>
      <c r="PFT34" s="557"/>
      <c r="PFU34" s="557"/>
      <c r="PFV34" s="557"/>
      <c r="PFW34" s="557"/>
      <c r="PFX34" s="557"/>
      <c r="PFY34" s="557"/>
      <c r="PFZ34" s="557"/>
      <c r="PGA34" s="661"/>
      <c r="PGB34" s="556"/>
      <c r="PGC34" s="557"/>
      <c r="PGD34" s="557"/>
      <c r="PGE34" s="557"/>
      <c r="PGF34" s="557"/>
      <c r="PGG34" s="557"/>
      <c r="PGH34" s="557"/>
      <c r="PGI34" s="557"/>
      <c r="PGJ34" s="557"/>
      <c r="PGK34" s="557"/>
      <c r="PGL34" s="557"/>
      <c r="PGM34" s="557"/>
      <c r="PGN34" s="557"/>
      <c r="PGO34" s="557"/>
      <c r="PGP34" s="557"/>
      <c r="PGQ34" s="557"/>
      <c r="PGR34" s="557"/>
      <c r="PGS34" s="557"/>
      <c r="PGT34" s="557"/>
      <c r="PGU34" s="661"/>
      <c r="PGV34" s="556"/>
      <c r="PGW34" s="557"/>
      <c r="PGX34" s="557"/>
      <c r="PGY34" s="557"/>
      <c r="PGZ34" s="557"/>
      <c r="PHA34" s="557"/>
      <c r="PHB34" s="557"/>
      <c r="PHC34" s="557"/>
      <c r="PHD34" s="557"/>
      <c r="PHE34" s="557"/>
      <c r="PHF34" s="557"/>
      <c r="PHG34" s="557"/>
      <c r="PHH34" s="557"/>
      <c r="PHI34" s="557"/>
      <c r="PHJ34" s="557"/>
      <c r="PHK34" s="557"/>
      <c r="PHL34" s="557"/>
      <c r="PHM34" s="557"/>
      <c r="PHN34" s="557"/>
      <c r="PHO34" s="661"/>
      <c r="PHP34" s="556"/>
      <c r="PHQ34" s="557"/>
      <c r="PHR34" s="557"/>
      <c r="PHS34" s="557"/>
      <c r="PHT34" s="557"/>
      <c r="PHU34" s="557"/>
      <c r="PHV34" s="557"/>
      <c r="PHW34" s="557"/>
      <c r="PHX34" s="557"/>
      <c r="PHY34" s="557"/>
      <c r="PHZ34" s="557"/>
      <c r="PIA34" s="557"/>
      <c r="PIB34" s="557"/>
      <c r="PIC34" s="557"/>
      <c r="PID34" s="557"/>
      <c r="PIE34" s="557"/>
      <c r="PIF34" s="557"/>
      <c r="PIG34" s="557"/>
      <c r="PIH34" s="557"/>
      <c r="PII34" s="661"/>
      <c r="PIJ34" s="556"/>
      <c r="PIK34" s="557"/>
      <c r="PIL34" s="557"/>
      <c r="PIM34" s="557"/>
      <c r="PIN34" s="557"/>
      <c r="PIO34" s="557"/>
      <c r="PIP34" s="557"/>
      <c r="PIQ34" s="557"/>
      <c r="PIR34" s="557"/>
      <c r="PIS34" s="557"/>
      <c r="PIT34" s="557"/>
      <c r="PIU34" s="557"/>
      <c r="PIV34" s="557"/>
      <c r="PIW34" s="557"/>
      <c r="PIX34" s="557"/>
      <c r="PIY34" s="557"/>
      <c r="PIZ34" s="557"/>
      <c r="PJA34" s="557"/>
      <c r="PJB34" s="557"/>
      <c r="PJC34" s="661"/>
      <c r="PJD34" s="556"/>
      <c r="PJE34" s="557"/>
      <c r="PJF34" s="557"/>
      <c r="PJG34" s="557"/>
      <c r="PJH34" s="557"/>
      <c r="PJI34" s="557"/>
      <c r="PJJ34" s="557"/>
      <c r="PJK34" s="557"/>
      <c r="PJL34" s="557"/>
      <c r="PJM34" s="557"/>
      <c r="PJN34" s="557"/>
      <c r="PJO34" s="557"/>
      <c r="PJP34" s="557"/>
      <c r="PJQ34" s="557"/>
      <c r="PJR34" s="557"/>
      <c r="PJS34" s="557"/>
      <c r="PJT34" s="557"/>
      <c r="PJU34" s="557"/>
      <c r="PJV34" s="557"/>
      <c r="PJW34" s="661"/>
      <c r="PJX34" s="556"/>
      <c r="PJY34" s="557"/>
      <c r="PJZ34" s="557"/>
      <c r="PKA34" s="557"/>
      <c r="PKB34" s="557"/>
      <c r="PKC34" s="557"/>
      <c r="PKD34" s="557"/>
      <c r="PKE34" s="557"/>
      <c r="PKF34" s="557"/>
      <c r="PKG34" s="557"/>
      <c r="PKH34" s="557"/>
      <c r="PKI34" s="557"/>
      <c r="PKJ34" s="557"/>
      <c r="PKK34" s="557"/>
      <c r="PKL34" s="557"/>
      <c r="PKM34" s="557"/>
      <c r="PKN34" s="557"/>
      <c r="PKO34" s="557"/>
      <c r="PKP34" s="557"/>
      <c r="PKQ34" s="661"/>
      <c r="PKR34" s="556"/>
      <c r="PKS34" s="557"/>
      <c r="PKT34" s="557"/>
      <c r="PKU34" s="557"/>
      <c r="PKV34" s="557"/>
      <c r="PKW34" s="557"/>
      <c r="PKX34" s="557"/>
      <c r="PKY34" s="557"/>
      <c r="PKZ34" s="557"/>
      <c r="PLA34" s="557"/>
      <c r="PLB34" s="557"/>
      <c r="PLC34" s="557"/>
      <c r="PLD34" s="557"/>
      <c r="PLE34" s="557"/>
      <c r="PLF34" s="557"/>
      <c r="PLG34" s="557"/>
      <c r="PLH34" s="557"/>
      <c r="PLI34" s="557"/>
      <c r="PLJ34" s="557"/>
      <c r="PLK34" s="661"/>
      <c r="PLL34" s="556"/>
      <c r="PLM34" s="557"/>
      <c r="PLN34" s="557"/>
      <c r="PLO34" s="557"/>
      <c r="PLP34" s="557"/>
      <c r="PLQ34" s="557"/>
      <c r="PLR34" s="557"/>
      <c r="PLS34" s="557"/>
      <c r="PLT34" s="557"/>
      <c r="PLU34" s="557"/>
      <c r="PLV34" s="557"/>
      <c r="PLW34" s="557"/>
      <c r="PLX34" s="557"/>
      <c r="PLY34" s="557"/>
      <c r="PLZ34" s="557"/>
      <c r="PMA34" s="557"/>
      <c r="PMB34" s="557"/>
      <c r="PMC34" s="557"/>
      <c r="PMD34" s="557"/>
      <c r="PME34" s="661"/>
      <c r="PMF34" s="556"/>
      <c r="PMG34" s="557"/>
      <c r="PMH34" s="557"/>
      <c r="PMI34" s="557"/>
      <c r="PMJ34" s="557"/>
      <c r="PMK34" s="557"/>
      <c r="PML34" s="557"/>
      <c r="PMM34" s="557"/>
      <c r="PMN34" s="557"/>
      <c r="PMO34" s="557"/>
      <c r="PMP34" s="557"/>
      <c r="PMQ34" s="557"/>
      <c r="PMR34" s="557"/>
      <c r="PMS34" s="557"/>
      <c r="PMT34" s="557"/>
      <c r="PMU34" s="557"/>
      <c r="PMV34" s="557"/>
      <c r="PMW34" s="557"/>
      <c r="PMX34" s="557"/>
      <c r="PMY34" s="661"/>
      <c r="PMZ34" s="556"/>
      <c r="PNA34" s="557"/>
      <c r="PNB34" s="557"/>
      <c r="PNC34" s="557"/>
      <c r="PND34" s="557"/>
      <c r="PNE34" s="557"/>
      <c r="PNF34" s="557"/>
      <c r="PNG34" s="557"/>
      <c r="PNH34" s="557"/>
      <c r="PNI34" s="557"/>
      <c r="PNJ34" s="557"/>
      <c r="PNK34" s="557"/>
      <c r="PNL34" s="557"/>
      <c r="PNM34" s="557"/>
      <c r="PNN34" s="557"/>
      <c r="PNO34" s="557"/>
      <c r="PNP34" s="557"/>
      <c r="PNQ34" s="557"/>
      <c r="PNR34" s="557"/>
      <c r="PNS34" s="661"/>
      <c r="PNT34" s="556"/>
      <c r="PNU34" s="557"/>
      <c r="PNV34" s="557"/>
      <c r="PNW34" s="557"/>
      <c r="PNX34" s="557"/>
      <c r="PNY34" s="557"/>
      <c r="PNZ34" s="557"/>
      <c r="POA34" s="557"/>
      <c r="POB34" s="557"/>
      <c r="POC34" s="557"/>
      <c r="POD34" s="557"/>
      <c r="POE34" s="557"/>
      <c r="POF34" s="557"/>
      <c r="POG34" s="557"/>
      <c r="POH34" s="557"/>
      <c r="POI34" s="557"/>
      <c r="POJ34" s="557"/>
      <c r="POK34" s="557"/>
      <c r="POL34" s="557"/>
      <c r="POM34" s="661"/>
      <c r="PON34" s="556"/>
      <c r="POO34" s="557"/>
      <c r="POP34" s="557"/>
      <c r="POQ34" s="557"/>
      <c r="POR34" s="557"/>
      <c r="POS34" s="557"/>
      <c r="POT34" s="557"/>
      <c r="POU34" s="557"/>
      <c r="POV34" s="557"/>
      <c r="POW34" s="557"/>
      <c r="POX34" s="557"/>
      <c r="POY34" s="557"/>
      <c r="POZ34" s="557"/>
      <c r="PPA34" s="557"/>
      <c r="PPB34" s="557"/>
      <c r="PPC34" s="557"/>
      <c r="PPD34" s="557"/>
      <c r="PPE34" s="557"/>
      <c r="PPF34" s="557"/>
      <c r="PPG34" s="661"/>
      <c r="PPH34" s="556"/>
      <c r="PPI34" s="557"/>
      <c r="PPJ34" s="557"/>
      <c r="PPK34" s="557"/>
      <c r="PPL34" s="557"/>
      <c r="PPM34" s="557"/>
      <c r="PPN34" s="557"/>
      <c r="PPO34" s="557"/>
      <c r="PPP34" s="557"/>
      <c r="PPQ34" s="557"/>
      <c r="PPR34" s="557"/>
      <c r="PPS34" s="557"/>
      <c r="PPT34" s="557"/>
      <c r="PPU34" s="557"/>
      <c r="PPV34" s="557"/>
      <c r="PPW34" s="557"/>
      <c r="PPX34" s="557"/>
      <c r="PPY34" s="557"/>
      <c r="PPZ34" s="557"/>
      <c r="PQA34" s="661"/>
      <c r="PQB34" s="556"/>
      <c r="PQC34" s="557"/>
      <c r="PQD34" s="557"/>
      <c r="PQE34" s="557"/>
      <c r="PQF34" s="557"/>
      <c r="PQG34" s="557"/>
      <c r="PQH34" s="557"/>
      <c r="PQI34" s="557"/>
      <c r="PQJ34" s="557"/>
      <c r="PQK34" s="557"/>
      <c r="PQL34" s="557"/>
      <c r="PQM34" s="557"/>
      <c r="PQN34" s="557"/>
      <c r="PQO34" s="557"/>
      <c r="PQP34" s="557"/>
      <c r="PQQ34" s="557"/>
      <c r="PQR34" s="557"/>
      <c r="PQS34" s="557"/>
      <c r="PQT34" s="557"/>
      <c r="PQU34" s="661"/>
      <c r="PQV34" s="556"/>
      <c r="PQW34" s="557"/>
      <c r="PQX34" s="557"/>
      <c r="PQY34" s="557"/>
      <c r="PQZ34" s="557"/>
      <c r="PRA34" s="557"/>
      <c r="PRB34" s="557"/>
      <c r="PRC34" s="557"/>
      <c r="PRD34" s="557"/>
      <c r="PRE34" s="557"/>
      <c r="PRF34" s="557"/>
      <c r="PRG34" s="557"/>
      <c r="PRH34" s="557"/>
      <c r="PRI34" s="557"/>
      <c r="PRJ34" s="557"/>
      <c r="PRK34" s="557"/>
      <c r="PRL34" s="557"/>
      <c r="PRM34" s="557"/>
      <c r="PRN34" s="557"/>
      <c r="PRO34" s="661"/>
      <c r="PRP34" s="556"/>
      <c r="PRQ34" s="557"/>
      <c r="PRR34" s="557"/>
      <c r="PRS34" s="557"/>
      <c r="PRT34" s="557"/>
      <c r="PRU34" s="557"/>
      <c r="PRV34" s="557"/>
      <c r="PRW34" s="557"/>
      <c r="PRX34" s="557"/>
      <c r="PRY34" s="557"/>
      <c r="PRZ34" s="557"/>
      <c r="PSA34" s="557"/>
      <c r="PSB34" s="557"/>
      <c r="PSC34" s="557"/>
      <c r="PSD34" s="557"/>
      <c r="PSE34" s="557"/>
      <c r="PSF34" s="557"/>
      <c r="PSG34" s="557"/>
      <c r="PSH34" s="557"/>
      <c r="PSI34" s="661"/>
      <c r="PSJ34" s="556"/>
      <c r="PSK34" s="557"/>
      <c r="PSL34" s="557"/>
      <c r="PSM34" s="557"/>
      <c r="PSN34" s="557"/>
      <c r="PSO34" s="557"/>
      <c r="PSP34" s="557"/>
      <c r="PSQ34" s="557"/>
      <c r="PSR34" s="557"/>
      <c r="PSS34" s="557"/>
      <c r="PST34" s="557"/>
      <c r="PSU34" s="557"/>
      <c r="PSV34" s="557"/>
      <c r="PSW34" s="557"/>
      <c r="PSX34" s="557"/>
      <c r="PSY34" s="557"/>
      <c r="PSZ34" s="557"/>
      <c r="PTA34" s="557"/>
      <c r="PTB34" s="557"/>
      <c r="PTC34" s="661"/>
      <c r="PTD34" s="556"/>
      <c r="PTE34" s="557"/>
      <c r="PTF34" s="557"/>
      <c r="PTG34" s="557"/>
      <c r="PTH34" s="557"/>
      <c r="PTI34" s="557"/>
      <c r="PTJ34" s="557"/>
      <c r="PTK34" s="557"/>
      <c r="PTL34" s="557"/>
      <c r="PTM34" s="557"/>
      <c r="PTN34" s="557"/>
      <c r="PTO34" s="557"/>
      <c r="PTP34" s="557"/>
      <c r="PTQ34" s="557"/>
      <c r="PTR34" s="557"/>
      <c r="PTS34" s="557"/>
      <c r="PTT34" s="557"/>
      <c r="PTU34" s="557"/>
      <c r="PTV34" s="557"/>
      <c r="PTW34" s="661"/>
      <c r="PTX34" s="556"/>
      <c r="PTY34" s="557"/>
      <c r="PTZ34" s="557"/>
      <c r="PUA34" s="557"/>
      <c r="PUB34" s="557"/>
      <c r="PUC34" s="557"/>
      <c r="PUD34" s="557"/>
      <c r="PUE34" s="557"/>
      <c r="PUF34" s="557"/>
      <c r="PUG34" s="557"/>
      <c r="PUH34" s="557"/>
      <c r="PUI34" s="557"/>
      <c r="PUJ34" s="557"/>
      <c r="PUK34" s="557"/>
      <c r="PUL34" s="557"/>
      <c r="PUM34" s="557"/>
      <c r="PUN34" s="557"/>
      <c r="PUO34" s="557"/>
      <c r="PUP34" s="557"/>
      <c r="PUQ34" s="661"/>
      <c r="PUR34" s="556"/>
      <c r="PUS34" s="557"/>
      <c r="PUT34" s="557"/>
      <c r="PUU34" s="557"/>
      <c r="PUV34" s="557"/>
      <c r="PUW34" s="557"/>
      <c r="PUX34" s="557"/>
      <c r="PUY34" s="557"/>
      <c r="PUZ34" s="557"/>
      <c r="PVA34" s="557"/>
      <c r="PVB34" s="557"/>
      <c r="PVC34" s="557"/>
      <c r="PVD34" s="557"/>
      <c r="PVE34" s="557"/>
      <c r="PVF34" s="557"/>
      <c r="PVG34" s="557"/>
      <c r="PVH34" s="557"/>
      <c r="PVI34" s="557"/>
      <c r="PVJ34" s="557"/>
      <c r="PVK34" s="661"/>
      <c r="PVL34" s="556"/>
      <c r="PVM34" s="557"/>
      <c r="PVN34" s="557"/>
      <c r="PVO34" s="557"/>
      <c r="PVP34" s="557"/>
      <c r="PVQ34" s="557"/>
      <c r="PVR34" s="557"/>
      <c r="PVS34" s="557"/>
      <c r="PVT34" s="557"/>
      <c r="PVU34" s="557"/>
      <c r="PVV34" s="557"/>
      <c r="PVW34" s="557"/>
      <c r="PVX34" s="557"/>
      <c r="PVY34" s="557"/>
      <c r="PVZ34" s="557"/>
      <c r="PWA34" s="557"/>
      <c r="PWB34" s="557"/>
      <c r="PWC34" s="557"/>
      <c r="PWD34" s="557"/>
      <c r="PWE34" s="661"/>
      <c r="PWF34" s="556"/>
      <c r="PWG34" s="557"/>
      <c r="PWH34" s="557"/>
      <c r="PWI34" s="557"/>
      <c r="PWJ34" s="557"/>
      <c r="PWK34" s="557"/>
      <c r="PWL34" s="557"/>
      <c r="PWM34" s="557"/>
      <c r="PWN34" s="557"/>
      <c r="PWO34" s="557"/>
      <c r="PWP34" s="557"/>
      <c r="PWQ34" s="557"/>
      <c r="PWR34" s="557"/>
      <c r="PWS34" s="557"/>
      <c r="PWT34" s="557"/>
      <c r="PWU34" s="557"/>
      <c r="PWV34" s="557"/>
      <c r="PWW34" s="557"/>
      <c r="PWX34" s="557"/>
      <c r="PWY34" s="661"/>
      <c r="PWZ34" s="556"/>
      <c r="PXA34" s="557"/>
      <c r="PXB34" s="557"/>
      <c r="PXC34" s="557"/>
      <c r="PXD34" s="557"/>
      <c r="PXE34" s="557"/>
      <c r="PXF34" s="557"/>
      <c r="PXG34" s="557"/>
      <c r="PXH34" s="557"/>
      <c r="PXI34" s="557"/>
      <c r="PXJ34" s="557"/>
      <c r="PXK34" s="557"/>
      <c r="PXL34" s="557"/>
      <c r="PXM34" s="557"/>
      <c r="PXN34" s="557"/>
      <c r="PXO34" s="557"/>
      <c r="PXP34" s="557"/>
      <c r="PXQ34" s="557"/>
      <c r="PXR34" s="557"/>
      <c r="PXS34" s="661"/>
      <c r="PXT34" s="556"/>
      <c r="PXU34" s="557"/>
      <c r="PXV34" s="557"/>
      <c r="PXW34" s="557"/>
      <c r="PXX34" s="557"/>
      <c r="PXY34" s="557"/>
      <c r="PXZ34" s="557"/>
      <c r="PYA34" s="557"/>
      <c r="PYB34" s="557"/>
      <c r="PYC34" s="557"/>
      <c r="PYD34" s="557"/>
      <c r="PYE34" s="557"/>
      <c r="PYF34" s="557"/>
      <c r="PYG34" s="557"/>
      <c r="PYH34" s="557"/>
      <c r="PYI34" s="557"/>
      <c r="PYJ34" s="557"/>
      <c r="PYK34" s="557"/>
      <c r="PYL34" s="557"/>
      <c r="PYM34" s="661"/>
      <c r="PYN34" s="556"/>
      <c r="PYO34" s="557"/>
      <c r="PYP34" s="557"/>
      <c r="PYQ34" s="557"/>
      <c r="PYR34" s="557"/>
      <c r="PYS34" s="557"/>
      <c r="PYT34" s="557"/>
      <c r="PYU34" s="557"/>
      <c r="PYV34" s="557"/>
      <c r="PYW34" s="557"/>
      <c r="PYX34" s="557"/>
      <c r="PYY34" s="557"/>
      <c r="PYZ34" s="557"/>
      <c r="PZA34" s="557"/>
      <c r="PZB34" s="557"/>
      <c r="PZC34" s="557"/>
      <c r="PZD34" s="557"/>
      <c r="PZE34" s="557"/>
      <c r="PZF34" s="557"/>
      <c r="PZG34" s="661"/>
      <c r="PZH34" s="556"/>
      <c r="PZI34" s="557"/>
      <c r="PZJ34" s="557"/>
      <c r="PZK34" s="557"/>
      <c r="PZL34" s="557"/>
      <c r="PZM34" s="557"/>
      <c r="PZN34" s="557"/>
      <c r="PZO34" s="557"/>
      <c r="PZP34" s="557"/>
      <c r="PZQ34" s="557"/>
      <c r="PZR34" s="557"/>
      <c r="PZS34" s="557"/>
      <c r="PZT34" s="557"/>
      <c r="PZU34" s="557"/>
      <c r="PZV34" s="557"/>
      <c r="PZW34" s="557"/>
      <c r="PZX34" s="557"/>
      <c r="PZY34" s="557"/>
      <c r="PZZ34" s="557"/>
      <c r="QAA34" s="661"/>
      <c r="QAB34" s="556"/>
      <c r="QAC34" s="557"/>
      <c r="QAD34" s="557"/>
      <c r="QAE34" s="557"/>
      <c r="QAF34" s="557"/>
      <c r="QAG34" s="557"/>
      <c r="QAH34" s="557"/>
      <c r="QAI34" s="557"/>
      <c r="QAJ34" s="557"/>
      <c r="QAK34" s="557"/>
      <c r="QAL34" s="557"/>
      <c r="QAM34" s="557"/>
      <c r="QAN34" s="557"/>
      <c r="QAO34" s="557"/>
      <c r="QAP34" s="557"/>
      <c r="QAQ34" s="557"/>
      <c r="QAR34" s="557"/>
      <c r="QAS34" s="557"/>
      <c r="QAT34" s="557"/>
      <c r="QAU34" s="661"/>
      <c r="QAV34" s="556"/>
      <c r="QAW34" s="557"/>
      <c r="QAX34" s="557"/>
      <c r="QAY34" s="557"/>
      <c r="QAZ34" s="557"/>
      <c r="QBA34" s="557"/>
      <c r="QBB34" s="557"/>
      <c r="QBC34" s="557"/>
      <c r="QBD34" s="557"/>
      <c r="QBE34" s="557"/>
      <c r="QBF34" s="557"/>
      <c r="QBG34" s="557"/>
      <c r="QBH34" s="557"/>
      <c r="QBI34" s="557"/>
      <c r="QBJ34" s="557"/>
      <c r="QBK34" s="557"/>
      <c r="QBL34" s="557"/>
      <c r="QBM34" s="557"/>
      <c r="QBN34" s="557"/>
      <c r="QBO34" s="661"/>
      <c r="QBP34" s="556"/>
      <c r="QBQ34" s="557"/>
      <c r="QBR34" s="557"/>
      <c r="QBS34" s="557"/>
      <c r="QBT34" s="557"/>
      <c r="QBU34" s="557"/>
      <c r="QBV34" s="557"/>
      <c r="QBW34" s="557"/>
      <c r="QBX34" s="557"/>
      <c r="QBY34" s="557"/>
      <c r="QBZ34" s="557"/>
      <c r="QCA34" s="557"/>
      <c r="QCB34" s="557"/>
      <c r="QCC34" s="557"/>
      <c r="QCD34" s="557"/>
      <c r="QCE34" s="557"/>
      <c r="QCF34" s="557"/>
      <c r="QCG34" s="557"/>
      <c r="QCH34" s="557"/>
      <c r="QCI34" s="661"/>
      <c r="QCJ34" s="556"/>
      <c r="QCK34" s="557"/>
      <c r="QCL34" s="557"/>
      <c r="QCM34" s="557"/>
      <c r="QCN34" s="557"/>
      <c r="QCO34" s="557"/>
      <c r="QCP34" s="557"/>
      <c r="QCQ34" s="557"/>
      <c r="QCR34" s="557"/>
      <c r="QCS34" s="557"/>
      <c r="QCT34" s="557"/>
      <c r="QCU34" s="557"/>
      <c r="QCV34" s="557"/>
      <c r="QCW34" s="557"/>
      <c r="QCX34" s="557"/>
      <c r="QCY34" s="557"/>
      <c r="QCZ34" s="557"/>
      <c r="QDA34" s="557"/>
      <c r="QDB34" s="557"/>
      <c r="QDC34" s="661"/>
      <c r="QDD34" s="556"/>
      <c r="QDE34" s="557"/>
      <c r="QDF34" s="557"/>
      <c r="QDG34" s="557"/>
      <c r="QDH34" s="557"/>
      <c r="QDI34" s="557"/>
      <c r="QDJ34" s="557"/>
      <c r="QDK34" s="557"/>
      <c r="QDL34" s="557"/>
      <c r="QDM34" s="557"/>
      <c r="QDN34" s="557"/>
      <c r="QDO34" s="557"/>
      <c r="QDP34" s="557"/>
      <c r="QDQ34" s="557"/>
      <c r="QDR34" s="557"/>
      <c r="QDS34" s="557"/>
      <c r="QDT34" s="557"/>
      <c r="QDU34" s="557"/>
      <c r="QDV34" s="557"/>
      <c r="QDW34" s="661"/>
      <c r="QDX34" s="556"/>
      <c r="QDY34" s="557"/>
      <c r="QDZ34" s="557"/>
      <c r="QEA34" s="557"/>
      <c r="QEB34" s="557"/>
      <c r="QEC34" s="557"/>
      <c r="QED34" s="557"/>
      <c r="QEE34" s="557"/>
      <c r="QEF34" s="557"/>
      <c r="QEG34" s="557"/>
      <c r="QEH34" s="557"/>
      <c r="QEI34" s="557"/>
      <c r="QEJ34" s="557"/>
      <c r="QEK34" s="557"/>
      <c r="QEL34" s="557"/>
      <c r="QEM34" s="557"/>
      <c r="QEN34" s="557"/>
      <c r="QEO34" s="557"/>
      <c r="QEP34" s="557"/>
      <c r="QEQ34" s="661"/>
      <c r="QER34" s="556"/>
      <c r="QES34" s="557"/>
      <c r="QET34" s="557"/>
      <c r="QEU34" s="557"/>
      <c r="QEV34" s="557"/>
      <c r="QEW34" s="557"/>
      <c r="QEX34" s="557"/>
      <c r="QEY34" s="557"/>
      <c r="QEZ34" s="557"/>
      <c r="QFA34" s="557"/>
      <c r="QFB34" s="557"/>
      <c r="QFC34" s="557"/>
      <c r="QFD34" s="557"/>
      <c r="QFE34" s="557"/>
      <c r="QFF34" s="557"/>
      <c r="QFG34" s="557"/>
      <c r="QFH34" s="557"/>
      <c r="QFI34" s="557"/>
      <c r="QFJ34" s="557"/>
      <c r="QFK34" s="661"/>
      <c r="QFL34" s="556"/>
      <c r="QFM34" s="557"/>
      <c r="QFN34" s="557"/>
      <c r="QFO34" s="557"/>
      <c r="QFP34" s="557"/>
      <c r="QFQ34" s="557"/>
      <c r="QFR34" s="557"/>
      <c r="QFS34" s="557"/>
      <c r="QFT34" s="557"/>
      <c r="QFU34" s="557"/>
      <c r="QFV34" s="557"/>
      <c r="QFW34" s="557"/>
      <c r="QFX34" s="557"/>
      <c r="QFY34" s="557"/>
      <c r="QFZ34" s="557"/>
      <c r="QGA34" s="557"/>
      <c r="QGB34" s="557"/>
      <c r="QGC34" s="557"/>
      <c r="QGD34" s="557"/>
      <c r="QGE34" s="661"/>
      <c r="QGF34" s="556"/>
      <c r="QGG34" s="557"/>
      <c r="QGH34" s="557"/>
      <c r="QGI34" s="557"/>
      <c r="QGJ34" s="557"/>
      <c r="QGK34" s="557"/>
      <c r="QGL34" s="557"/>
      <c r="QGM34" s="557"/>
      <c r="QGN34" s="557"/>
      <c r="QGO34" s="557"/>
      <c r="QGP34" s="557"/>
      <c r="QGQ34" s="557"/>
      <c r="QGR34" s="557"/>
      <c r="QGS34" s="557"/>
      <c r="QGT34" s="557"/>
      <c r="QGU34" s="557"/>
      <c r="QGV34" s="557"/>
      <c r="QGW34" s="557"/>
      <c r="QGX34" s="557"/>
      <c r="QGY34" s="661"/>
      <c r="QGZ34" s="556"/>
      <c r="QHA34" s="557"/>
      <c r="QHB34" s="557"/>
      <c r="QHC34" s="557"/>
      <c r="QHD34" s="557"/>
      <c r="QHE34" s="557"/>
      <c r="QHF34" s="557"/>
      <c r="QHG34" s="557"/>
      <c r="QHH34" s="557"/>
      <c r="QHI34" s="557"/>
      <c r="QHJ34" s="557"/>
      <c r="QHK34" s="557"/>
      <c r="QHL34" s="557"/>
      <c r="QHM34" s="557"/>
      <c r="QHN34" s="557"/>
      <c r="QHO34" s="557"/>
      <c r="QHP34" s="557"/>
      <c r="QHQ34" s="557"/>
      <c r="QHR34" s="557"/>
      <c r="QHS34" s="661"/>
      <c r="QHT34" s="556"/>
      <c r="QHU34" s="557"/>
      <c r="QHV34" s="557"/>
      <c r="QHW34" s="557"/>
      <c r="QHX34" s="557"/>
      <c r="QHY34" s="557"/>
      <c r="QHZ34" s="557"/>
      <c r="QIA34" s="557"/>
      <c r="QIB34" s="557"/>
      <c r="QIC34" s="557"/>
      <c r="QID34" s="557"/>
      <c r="QIE34" s="557"/>
      <c r="QIF34" s="557"/>
      <c r="QIG34" s="557"/>
      <c r="QIH34" s="557"/>
      <c r="QII34" s="557"/>
      <c r="QIJ34" s="557"/>
      <c r="QIK34" s="557"/>
      <c r="QIL34" s="557"/>
      <c r="QIM34" s="661"/>
      <c r="QIN34" s="556"/>
      <c r="QIO34" s="557"/>
      <c r="QIP34" s="557"/>
      <c r="QIQ34" s="557"/>
      <c r="QIR34" s="557"/>
      <c r="QIS34" s="557"/>
      <c r="QIT34" s="557"/>
      <c r="QIU34" s="557"/>
      <c r="QIV34" s="557"/>
      <c r="QIW34" s="557"/>
      <c r="QIX34" s="557"/>
      <c r="QIY34" s="557"/>
      <c r="QIZ34" s="557"/>
      <c r="QJA34" s="557"/>
      <c r="QJB34" s="557"/>
      <c r="QJC34" s="557"/>
      <c r="QJD34" s="557"/>
      <c r="QJE34" s="557"/>
      <c r="QJF34" s="557"/>
      <c r="QJG34" s="661"/>
      <c r="QJH34" s="556"/>
      <c r="QJI34" s="557"/>
      <c r="QJJ34" s="557"/>
      <c r="QJK34" s="557"/>
      <c r="QJL34" s="557"/>
      <c r="QJM34" s="557"/>
      <c r="QJN34" s="557"/>
      <c r="QJO34" s="557"/>
      <c r="QJP34" s="557"/>
      <c r="QJQ34" s="557"/>
      <c r="QJR34" s="557"/>
      <c r="QJS34" s="557"/>
      <c r="QJT34" s="557"/>
      <c r="QJU34" s="557"/>
      <c r="QJV34" s="557"/>
      <c r="QJW34" s="557"/>
      <c r="QJX34" s="557"/>
      <c r="QJY34" s="557"/>
      <c r="QJZ34" s="557"/>
      <c r="QKA34" s="661"/>
      <c r="QKB34" s="556"/>
      <c r="QKC34" s="557"/>
      <c r="QKD34" s="557"/>
      <c r="QKE34" s="557"/>
      <c r="QKF34" s="557"/>
      <c r="QKG34" s="557"/>
      <c r="QKH34" s="557"/>
      <c r="QKI34" s="557"/>
      <c r="QKJ34" s="557"/>
      <c r="QKK34" s="557"/>
      <c r="QKL34" s="557"/>
      <c r="QKM34" s="557"/>
      <c r="QKN34" s="557"/>
      <c r="QKO34" s="557"/>
      <c r="QKP34" s="557"/>
      <c r="QKQ34" s="557"/>
      <c r="QKR34" s="557"/>
      <c r="QKS34" s="557"/>
      <c r="QKT34" s="557"/>
      <c r="QKU34" s="661"/>
      <c r="QKV34" s="556"/>
      <c r="QKW34" s="557"/>
      <c r="QKX34" s="557"/>
      <c r="QKY34" s="557"/>
      <c r="QKZ34" s="557"/>
      <c r="QLA34" s="557"/>
      <c r="QLB34" s="557"/>
      <c r="QLC34" s="557"/>
      <c r="QLD34" s="557"/>
      <c r="QLE34" s="557"/>
      <c r="QLF34" s="557"/>
      <c r="QLG34" s="557"/>
      <c r="QLH34" s="557"/>
      <c r="QLI34" s="557"/>
      <c r="QLJ34" s="557"/>
      <c r="QLK34" s="557"/>
      <c r="QLL34" s="557"/>
      <c r="QLM34" s="557"/>
      <c r="QLN34" s="557"/>
      <c r="QLO34" s="661"/>
      <c r="QLP34" s="556"/>
      <c r="QLQ34" s="557"/>
      <c r="QLR34" s="557"/>
      <c r="QLS34" s="557"/>
      <c r="QLT34" s="557"/>
      <c r="QLU34" s="557"/>
      <c r="QLV34" s="557"/>
      <c r="QLW34" s="557"/>
      <c r="QLX34" s="557"/>
      <c r="QLY34" s="557"/>
      <c r="QLZ34" s="557"/>
      <c r="QMA34" s="557"/>
      <c r="QMB34" s="557"/>
      <c r="QMC34" s="557"/>
      <c r="QMD34" s="557"/>
      <c r="QME34" s="557"/>
      <c r="QMF34" s="557"/>
      <c r="QMG34" s="557"/>
      <c r="QMH34" s="557"/>
      <c r="QMI34" s="661"/>
      <c r="QMJ34" s="556"/>
      <c r="QMK34" s="557"/>
      <c r="QML34" s="557"/>
      <c r="QMM34" s="557"/>
      <c r="QMN34" s="557"/>
      <c r="QMO34" s="557"/>
      <c r="QMP34" s="557"/>
      <c r="QMQ34" s="557"/>
      <c r="QMR34" s="557"/>
      <c r="QMS34" s="557"/>
      <c r="QMT34" s="557"/>
      <c r="QMU34" s="557"/>
      <c r="QMV34" s="557"/>
      <c r="QMW34" s="557"/>
      <c r="QMX34" s="557"/>
      <c r="QMY34" s="557"/>
      <c r="QMZ34" s="557"/>
      <c r="QNA34" s="557"/>
      <c r="QNB34" s="557"/>
      <c r="QNC34" s="661"/>
      <c r="QND34" s="556"/>
      <c r="QNE34" s="557"/>
      <c r="QNF34" s="557"/>
      <c r="QNG34" s="557"/>
      <c r="QNH34" s="557"/>
      <c r="QNI34" s="557"/>
      <c r="QNJ34" s="557"/>
      <c r="QNK34" s="557"/>
      <c r="QNL34" s="557"/>
      <c r="QNM34" s="557"/>
      <c r="QNN34" s="557"/>
      <c r="QNO34" s="557"/>
      <c r="QNP34" s="557"/>
      <c r="QNQ34" s="557"/>
      <c r="QNR34" s="557"/>
      <c r="QNS34" s="557"/>
      <c r="QNT34" s="557"/>
      <c r="QNU34" s="557"/>
      <c r="QNV34" s="557"/>
      <c r="QNW34" s="661"/>
      <c r="QNX34" s="556"/>
      <c r="QNY34" s="557"/>
      <c r="QNZ34" s="557"/>
      <c r="QOA34" s="557"/>
      <c r="QOB34" s="557"/>
      <c r="QOC34" s="557"/>
      <c r="QOD34" s="557"/>
      <c r="QOE34" s="557"/>
      <c r="QOF34" s="557"/>
      <c r="QOG34" s="557"/>
      <c r="QOH34" s="557"/>
      <c r="QOI34" s="557"/>
      <c r="QOJ34" s="557"/>
      <c r="QOK34" s="557"/>
      <c r="QOL34" s="557"/>
      <c r="QOM34" s="557"/>
      <c r="QON34" s="557"/>
      <c r="QOO34" s="557"/>
      <c r="QOP34" s="557"/>
      <c r="QOQ34" s="661"/>
      <c r="QOR34" s="556"/>
      <c r="QOS34" s="557"/>
      <c r="QOT34" s="557"/>
      <c r="QOU34" s="557"/>
      <c r="QOV34" s="557"/>
      <c r="QOW34" s="557"/>
      <c r="QOX34" s="557"/>
      <c r="QOY34" s="557"/>
      <c r="QOZ34" s="557"/>
      <c r="QPA34" s="557"/>
      <c r="QPB34" s="557"/>
      <c r="QPC34" s="557"/>
      <c r="QPD34" s="557"/>
      <c r="QPE34" s="557"/>
      <c r="QPF34" s="557"/>
      <c r="QPG34" s="557"/>
      <c r="QPH34" s="557"/>
      <c r="QPI34" s="557"/>
      <c r="QPJ34" s="557"/>
      <c r="QPK34" s="661"/>
      <c r="QPL34" s="556"/>
      <c r="QPM34" s="557"/>
      <c r="QPN34" s="557"/>
      <c r="QPO34" s="557"/>
      <c r="QPP34" s="557"/>
      <c r="QPQ34" s="557"/>
      <c r="QPR34" s="557"/>
      <c r="QPS34" s="557"/>
      <c r="QPT34" s="557"/>
      <c r="QPU34" s="557"/>
      <c r="QPV34" s="557"/>
      <c r="QPW34" s="557"/>
      <c r="QPX34" s="557"/>
      <c r="QPY34" s="557"/>
      <c r="QPZ34" s="557"/>
      <c r="QQA34" s="557"/>
      <c r="QQB34" s="557"/>
      <c r="QQC34" s="557"/>
      <c r="QQD34" s="557"/>
      <c r="QQE34" s="661"/>
      <c r="QQF34" s="556"/>
      <c r="QQG34" s="557"/>
      <c r="QQH34" s="557"/>
      <c r="QQI34" s="557"/>
      <c r="QQJ34" s="557"/>
      <c r="QQK34" s="557"/>
      <c r="QQL34" s="557"/>
      <c r="QQM34" s="557"/>
      <c r="QQN34" s="557"/>
      <c r="QQO34" s="557"/>
      <c r="QQP34" s="557"/>
      <c r="QQQ34" s="557"/>
      <c r="QQR34" s="557"/>
      <c r="QQS34" s="557"/>
      <c r="QQT34" s="557"/>
      <c r="QQU34" s="557"/>
      <c r="QQV34" s="557"/>
      <c r="QQW34" s="557"/>
      <c r="QQX34" s="557"/>
      <c r="QQY34" s="661"/>
      <c r="QQZ34" s="556"/>
      <c r="QRA34" s="557"/>
      <c r="QRB34" s="557"/>
      <c r="QRC34" s="557"/>
      <c r="QRD34" s="557"/>
      <c r="QRE34" s="557"/>
      <c r="QRF34" s="557"/>
      <c r="QRG34" s="557"/>
      <c r="QRH34" s="557"/>
      <c r="QRI34" s="557"/>
      <c r="QRJ34" s="557"/>
      <c r="QRK34" s="557"/>
      <c r="QRL34" s="557"/>
      <c r="QRM34" s="557"/>
      <c r="QRN34" s="557"/>
      <c r="QRO34" s="557"/>
      <c r="QRP34" s="557"/>
      <c r="QRQ34" s="557"/>
      <c r="QRR34" s="557"/>
      <c r="QRS34" s="661"/>
      <c r="QRT34" s="556"/>
      <c r="QRU34" s="557"/>
      <c r="QRV34" s="557"/>
      <c r="QRW34" s="557"/>
      <c r="QRX34" s="557"/>
      <c r="QRY34" s="557"/>
      <c r="QRZ34" s="557"/>
      <c r="QSA34" s="557"/>
      <c r="QSB34" s="557"/>
      <c r="QSC34" s="557"/>
      <c r="QSD34" s="557"/>
      <c r="QSE34" s="557"/>
      <c r="QSF34" s="557"/>
      <c r="QSG34" s="557"/>
      <c r="QSH34" s="557"/>
      <c r="QSI34" s="557"/>
      <c r="QSJ34" s="557"/>
      <c r="QSK34" s="557"/>
      <c r="QSL34" s="557"/>
      <c r="QSM34" s="661"/>
      <c r="QSN34" s="556"/>
      <c r="QSO34" s="557"/>
      <c r="QSP34" s="557"/>
      <c r="QSQ34" s="557"/>
      <c r="QSR34" s="557"/>
      <c r="QSS34" s="557"/>
      <c r="QST34" s="557"/>
      <c r="QSU34" s="557"/>
      <c r="QSV34" s="557"/>
      <c r="QSW34" s="557"/>
      <c r="QSX34" s="557"/>
      <c r="QSY34" s="557"/>
      <c r="QSZ34" s="557"/>
      <c r="QTA34" s="557"/>
      <c r="QTB34" s="557"/>
      <c r="QTC34" s="557"/>
      <c r="QTD34" s="557"/>
      <c r="QTE34" s="557"/>
      <c r="QTF34" s="557"/>
      <c r="QTG34" s="661"/>
      <c r="QTH34" s="556"/>
      <c r="QTI34" s="557"/>
      <c r="QTJ34" s="557"/>
      <c r="QTK34" s="557"/>
      <c r="QTL34" s="557"/>
      <c r="QTM34" s="557"/>
      <c r="QTN34" s="557"/>
      <c r="QTO34" s="557"/>
      <c r="QTP34" s="557"/>
      <c r="QTQ34" s="557"/>
      <c r="QTR34" s="557"/>
      <c r="QTS34" s="557"/>
      <c r="QTT34" s="557"/>
      <c r="QTU34" s="557"/>
      <c r="QTV34" s="557"/>
      <c r="QTW34" s="557"/>
      <c r="QTX34" s="557"/>
      <c r="QTY34" s="557"/>
      <c r="QTZ34" s="557"/>
      <c r="QUA34" s="661"/>
      <c r="QUB34" s="556"/>
      <c r="QUC34" s="557"/>
      <c r="QUD34" s="557"/>
      <c r="QUE34" s="557"/>
      <c r="QUF34" s="557"/>
      <c r="QUG34" s="557"/>
      <c r="QUH34" s="557"/>
      <c r="QUI34" s="557"/>
      <c r="QUJ34" s="557"/>
      <c r="QUK34" s="557"/>
      <c r="QUL34" s="557"/>
      <c r="QUM34" s="557"/>
      <c r="QUN34" s="557"/>
      <c r="QUO34" s="557"/>
      <c r="QUP34" s="557"/>
      <c r="QUQ34" s="557"/>
      <c r="QUR34" s="557"/>
      <c r="QUS34" s="557"/>
      <c r="QUT34" s="557"/>
      <c r="QUU34" s="661"/>
      <c r="QUV34" s="556"/>
      <c r="QUW34" s="557"/>
      <c r="QUX34" s="557"/>
      <c r="QUY34" s="557"/>
      <c r="QUZ34" s="557"/>
      <c r="QVA34" s="557"/>
      <c r="QVB34" s="557"/>
      <c r="QVC34" s="557"/>
      <c r="QVD34" s="557"/>
      <c r="QVE34" s="557"/>
      <c r="QVF34" s="557"/>
      <c r="QVG34" s="557"/>
      <c r="QVH34" s="557"/>
      <c r="QVI34" s="557"/>
      <c r="QVJ34" s="557"/>
      <c r="QVK34" s="557"/>
      <c r="QVL34" s="557"/>
      <c r="QVM34" s="557"/>
      <c r="QVN34" s="557"/>
      <c r="QVO34" s="661"/>
      <c r="QVP34" s="556"/>
      <c r="QVQ34" s="557"/>
      <c r="QVR34" s="557"/>
      <c r="QVS34" s="557"/>
      <c r="QVT34" s="557"/>
      <c r="QVU34" s="557"/>
      <c r="QVV34" s="557"/>
      <c r="QVW34" s="557"/>
      <c r="QVX34" s="557"/>
      <c r="QVY34" s="557"/>
      <c r="QVZ34" s="557"/>
      <c r="QWA34" s="557"/>
      <c r="QWB34" s="557"/>
      <c r="QWC34" s="557"/>
      <c r="QWD34" s="557"/>
      <c r="QWE34" s="557"/>
      <c r="QWF34" s="557"/>
      <c r="QWG34" s="557"/>
      <c r="QWH34" s="557"/>
      <c r="QWI34" s="661"/>
      <c r="QWJ34" s="556"/>
      <c r="QWK34" s="557"/>
      <c r="QWL34" s="557"/>
      <c r="QWM34" s="557"/>
      <c r="QWN34" s="557"/>
      <c r="QWO34" s="557"/>
      <c r="QWP34" s="557"/>
      <c r="QWQ34" s="557"/>
      <c r="QWR34" s="557"/>
      <c r="QWS34" s="557"/>
      <c r="QWT34" s="557"/>
      <c r="QWU34" s="557"/>
      <c r="QWV34" s="557"/>
      <c r="QWW34" s="557"/>
      <c r="QWX34" s="557"/>
      <c r="QWY34" s="557"/>
      <c r="QWZ34" s="557"/>
      <c r="QXA34" s="557"/>
      <c r="QXB34" s="557"/>
      <c r="QXC34" s="661"/>
      <c r="QXD34" s="556"/>
      <c r="QXE34" s="557"/>
      <c r="QXF34" s="557"/>
      <c r="QXG34" s="557"/>
      <c r="QXH34" s="557"/>
      <c r="QXI34" s="557"/>
      <c r="QXJ34" s="557"/>
      <c r="QXK34" s="557"/>
      <c r="QXL34" s="557"/>
      <c r="QXM34" s="557"/>
      <c r="QXN34" s="557"/>
      <c r="QXO34" s="557"/>
      <c r="QXP34" s="557"/>
      <c r="QXQ34" s="557"/>
      <c r="QXR34" s="557"/>
      <c r="QXS34" s="557"/>
      <c r="QXT34" s="557"/>
      <c r="QXU34" s="557"/>
      <c r="QXV34" s="557"/>
      <c r="QXW34" s="661"/>
      <c r="QXX34" s="556"/>
      <c r="QXY34" s="557"/>
      <c r="QXZ34" s="557"/>
      <c r="QYA34" s="557"/>
      <c r="QYB34" s="557"/>
      <c r="QYC34" s="557"/>
      <c r="QYD34" s="557"/>
      <c r="QYE34" s="557"/>
      <c r="QYF34" s="557"/>
      <c r="QYG34" s="557"/>
      <c r="QYH34" s="557"/>
      <c r="QYI34" s="557"/>
      <c r="QYJ34" s="557"/>
      <c r="QYK34" s="557"/>
      <c r="QYL34" s="557"/>
      <c r="QYM34" s="557"/>
      <c r="QYN34" s="557"/>
      <c r="QYO34" s="557"/>
      <c r="QYP34" s="557"/>
      <c r="QYQ34" s="661"/>
      <c r="QYR34" s="556"/>
      <c r="QYS34" s="557"/>
      <c r="QYT34" s="557"/>
      <c r="QYU34" s="557"/>
      <c r="QYV34" s="557"/>
      <c r="QYW34" s="557"/>
      <c r="QYX34" s="557"/>
      <c r="QYY34" s="557"/>
      <c r="QYZ34" s="557"/>
      <c r="QZA34" s="557"/>
      <c r="QZB34" s="557"/>
      <c r="QZC34" s="557"/>
      <c r="QZD34" s="557"/>
      <c r="QZE34" s="557"/>
      <c r="QZF34" s="557"/>
      <c r="QZG34" s="557"/>
      <c r="QZH34" s="557"/>
      <c r="QZI34" s="557"/>
      <c r="QZJ34" s="557"/>
      <c r="QZK34" s="661"/>
      <c r="QZL34" s="556"/>
      <c r="QZM34" s="557"/>
      <c r="QZN34" s="557"/>
      <c r="QZO34" s="557"/>
      <c r="QZP34" s="557"/>
      <c r="QZQ34" s="557"/>
      <c r="QZR34" s="557"/>
      <c r="QZS34" s="557"/>
      <c r="QZT34" s="557"/>
      <c r="QZU34" s="557"/>
      <c r="QZV34" s="557"/>
      <c r="QZW34" s="557"/>
      <c r="QZX34" s="557"/>
      <c r="QZY34" s="557"/>
      <c r="QZZ34" s="557"/>
      <c r="RAA34" s="557"/>
      <c r="RAB34" s="557"/>
      <c r="RAC34" s="557"/>
      <c r="RAD34" s="557"/>
      <c r="RAE34" s="661"/>
      <c r="RAF34" s="556"/>
      <c r="RAG34" s="557"/>
      <c r="RAH34" s="557"/>
      <c r="RAI34" s="557"/>
      <c r="RAJ34" s="557"/>
      <c r="RAK34" s="557"/>
      <c r="RAL34" s="557"/>
      <c r="RAM34" s="557"/>
      <c r="RAN34" s="557"/>
      <c r="RAO34" s="557"/>
      <c r="RAP34" s="557"/>
      <c r="RAQ34" s="557"/>
      <c r="RAR34" s="557"/>
      <c r="RAS34" s="557"/>
      <c r="RAT34" s="557"/>
      <c r="RAU34" s="557"/>
      <c r="RAV34" s="557"/>
      <c r="RAW34" s="557"/>
      <c r="RAX34" s="557"/>
      <c r="RAY34" s="661"/>
      <c r="RAZ34" s="556"/>
      <c r="RBA34" s="557"/>
      <c r="RBB34" s="557"/>
      <c r="RBC34" s="557"/>
      <c r="RBD34" s="557"/>
      <c r="RBE34" s="557"/>
      <c r="RBF34" s="557"/>
      <c r="RBG34" s="557"/>
      <c r="RBH34" s="557"/>
      <c r="RBI34" s="557"/>
      <c r="RBJ34" s="557"/>
      <c r="RBK34" s="557"/>
      <c r="RBL34" s="557"/>
      <c r="RBM34" s="557"/>
      <c r="RBN34" s="557"/>
      <c r="RBO34" s="557"/>
      <c r="RBP34" s="557"/>
      <c r="RBQ34" s="557"/>
      <c r="RBR34" s="557"/>
      <c r="RBS34" s="661"/>
      <c r="RBT34" s="556"/>
      <c r="RBU34" s="557"/>
      <c r="RBV34" s="557"/>
      <c r="RBW34" s="557"/>
      <c r="RBX34" s="557"/>
      <c r="RBY34" s="557"/>
      <c r="RBZ34" s="557"/>
      <c r="RCA34" s="557"/>
      <c r="RCB34" s="557"/>
      <c r="RCC34" s="557"/>
      <c r="RCD34" s="557"/>
      <c r="RCE34" s="557"/>
      <c r="RCF34" s="557"/>
      <c r="RCG34" s="557"/>
      <c r="RCH34" s="557"/>
      <c r="RCI34" s="557"/>
      <c r="RCJ34" s="557"/>
      <c r="RCK34" s="557"/>
      <c r="RCL34" s="557"/>
      <c r="RCM34" s="661"/>
      <c r="RCN34" s="556"/>
      <c r="RCO34" s="557"/>
      <c r="RCP34" s="557"/>
      <c r="RCQ34" s="557"/>
      <c r="RCR34" s="557"/>
      <c r="RCS34" s="557"/>
      <c r="RCT34" s="557"/>
      <c r="RCU34" s="557"/>
      <c r="RCV34" s="557"/>
      <c r="RCW34" s="557"/>
      <c r="RCX34" s="557"/>
      <c r="RCY34" s="557"/>
      <c r="RCZ34" s="557"/>
      <c r="RDA34" s="557"/>
      <c r="RDB34" s="557"/>
      <c r="RDC34" s="557"/>
      <c r="RDD34" s="557"/>
      <c r="RDE34" s="557"/>
      <c r="RDF34" s="557"/>
      <c r="RDG34" s="661"/>
      <c r="RDH34" s="556"/>
      <c r="RDI34" s="557"/>
      <c r="RDJ34" s="557"/>
      <c r="RDK34" s="557"/>
      <c r="RDL34" s="557"/>
      <c r="RDM34" s="557"/>
      <c r="RDN34" s="557"/>
      <c r="RDO34" s="557"/>
      <c r="RDP34" s="557"/>
      <c r="RDQ34" s="557"/>
      <c r="RDR34" s="557"/>
      <c r="RDS34" s="557"/>
      <c r="RDT34" s="557"/>
      <c r="RDU34" s="557"/>
      <c r="RDV34" s="557"/>
      <c r="RDW34" s="557"/>
      <c r="RDX34" s="557"/>
      <c r="RDY34" s="557"/>
      <c r="RDZ34" s="557"/>
      <c r="REA34" s="661"/>
      <c r="REB34" s="556"/>
      <c r="REC34" s="557"/>
      <c r="RED34" s="557"/>
      <c r="REE34" s="557"/>
      <c r="REF34" s="557"/>
      <c r="REG34" s="557"/>
      <c r="REH34" s="557"/>
      <c r="REI34" s="557"/>
      <c r="REJ34" s="557"/>
      <c r="REK34" s="557"/>
      <c r="REL34" s="557"/>
      <c r="REM34" s="557"/>
      <c r="REN34" s="557"/>
      <c r="REO34" s="557"/>
      <c r="REP34" s="557"/>
      <c r="REQ34" s="557"/>
      <c r="RER34" s="557"/>
      <c r="RES34" s="557"/>
      <c r="RET34" s="557"/>
      <c r="REU34" s="661"/>
      <c r="REV34" s="556"/>
      <c r="REW34" s="557"/>
      <c r="REX34" s="557"/>
      <c r="REY34" s="557"/>
      <c r="REZ34" s="557"/>
      <c r="RFA34" s="557"/>
      <c r="RFB34" s="557"/>
      <c r="RFC34" s="557"/>
      <c r="RFD34" s="557"/>
      <c r="RFE34" s="557"/>
      <c r="RFF34" s="557"/>
      <c r="RFG34" s="557"/>
      <c r="RFH34" s="557"/>
      <c r="RFI34" s="557"/>
      <c r="RFJ34" s="557"/>
      <c r="RFK34" s="557"/>
      <c r="RFL34" s="557"/>
      <c r="RFM34" s="557"/>
      <c r="RFN34" s="557"/>
      <c r="RFO34" s="661"/>
      <c r="RFP34" s="556"/>
      <c r="RFQ34" s="557"/>
      <c r="RFR34" s="557"/>
      <c r="RFS34" s="557"/>
      <c r="RFT34" s="557"/>
      <c r="RFU34" s="557"/>
      <c r="RFV34" s="557"/>
      <c r="RFW34" s="557"/>
      <c r="RFX34" s="557"/>
      <c r="RFY34" s="557"/>
      <c r="RFZ34" s="557"/>
      <c r="RGA34" s="557"/>
      <c r="RGB34" s="557"/>
      <c r="RGC34" s="557"/>
      <c r="RGD34" s="557"/>
      <c r="RGE34" s="557"/>
      <c r="RGF34" s="557"/>
      <c r="RGG34" s="557"/>
      <c r="RGH34" s="557"/>
      <c r="RGI34" s="661"/>
      <c r="RGJ34" s="556"/>
      <c r="RGK34" s="557"/>
      <c r="RGL34" s="557"/>
      <c r="RGM34" s="557"/>
      <c r="RGN34" s="557"/>
      <c r="RGO34" s="557"/>
      <c r="RGP34" s="557"/>
      <c r="RGQ34" s="557"/>
      <c r="RGR34" s="557"/>
      <c r="RGS34" s="557"/>
      <c r="RGT34" s="557"/>
      <c r="RGU34" s="557"/>
      <c r="RGV34" s="557"/>
      <c r="RGW34" s="557"/>
      <c r="RGX34" s="557"/>
      <c r="RGY34" s="557"/>
      <c r="RGZ34" s="557"/>
      <c r="RHA34" s="557"/>
      <c r="RHB34" s="557"/>
      <c r="RHC34" s="661"/>
      <c r="RHD34" s="556"/>
      <c r="RHE34" s="557"/>
      <c r="RHF34" s="557"/>
      <c r="RHG34" s="557"/>
      <c r="RHH34" s="557"/>
      <c r="RHI34" s="557"/>
      <c r="RHJ34" s="557"/>
      <c r="RHK34" s="557"/>
      <c r="RHL34" s="557"/>
      <c r="RHM34" s="557"/>
      <c r="RHN34" s="557"/>
      <c r="RHO34" s="557"/>
      <c r="RHP34" s="557"/>
      <c r="RHQ34" s="557"/>
      <c r="RHR34" s="557"/>
      <c r="RHS34" s="557"/>
      <c r="RHT34" s="557"/>
      <c r="RHU34" s="557"/>
      <c r="RHV34" s="557"/>
      <c r="RHW34" s="661"/>
      <c r="RHX34" s="556"/>
      <c r="RHY34" s="557"/>
      <c r="RHZ34" s="557"/>
      <c r="RIA34" s="557"/>
      <c r="RIB34" s="557"/>
      <c r="RIC34" s="557"/>
      <c r="RID34" s="557"/>
      <c r="RIE34" s="557"/>
      <c r="RIF34" s="557"/>
      <c r="RIG34" s="557"/>
      <c r="RIH34" s="557"/>
      <c r="RII34" s="557"/>
      <c r="RIJ34" s="557"/>
      <c r="RIK34" s="557"/>
      <c r="RIL34" s="557"/>
      <c r="RIM34" s="557"/>
      <c r="RIN34" s="557"/>
      <c r="RIO34" s="557"/>
      <c r="RIP34" s="557"/>
      <c r="RIQ34" s="661"/>
      <c r="RIR34" s="556"/>
      <c r="RIS34" s="557"/>
      <c r="RIT34" s="557"/>
      <c r="RIU34" s="557"/>
      <c r="RIV34" s="557"/>
      <c r="RIW34" s="557"/>
      <c r="RIX34" s="557"/>
      <c r="RIY34" s="557"/>
      <c r="RIZ34" s="557"/>
      <c r="RJA34" s="557"/>
      <c r="RJB34" s="557"/>
      <c r="RJC34" s="557"/>
      <c r="RJD34" s="557"/>
      <c r="RJE34" s="557"/>
      <c r="RJF34" s="557"/>
      <c r="RJG34" s="557"/>
      <c r="RJH34" s="557"/>
      <c r="RJI34" s="557"/>
      <c r="RJJ34" s="557"/>
      <c r="RJK34" s="661"/>
      <c r="RJL34" s="556"/>
      <c r="RJM34" s="557"/>
      <c r="RJN34" s="557"/>
      <c r="RJO34" s="557"/>
      <c r="RJP34" s="557"/>
      <c r="RJQ34" s="557"/>
      <c r="RJR34" s="557"/>
      <c r="RJS34" s="557"/>
      <c r="RJT34" s="557"/>
      <c r="RJU34" s="557"/>
      <c r="RJV34" s="557"/>
      <c r="RJW34" s="557"/>
      <c r="RJX34" s="557"/>
      <c r="RJY34" s="557"/>
      <c r="RJZ34" s="557"/>
      <c r="RKA34" s="557"/>
      <c r="RKB34" s="557"/>
      <c r="RKC34" s="557"/>
      <c r="RKD34" s="557"/>
      <c r="RKE34" s="661"/>
      <c r="RKF34" s="556"/>
      <c r="RKG34" s="557"/>
      <c r="RKH34" s="557"/>
      <c r="RKI34" s="557"/>
      <c r="RKJ34" s="557"/>
      <c r="RKK34" s="557"/>
      <c r="RKL34" s="557"/>
      <c r="RKM34" s="557"/>
      <c r="RKN34" s="557"/>
      <c r="RKO34" s="557"/>
      <c r="RKP34" s="557"/>
      <c r="RKQ34" s="557"/>
      <c r="RKR34" s="557"/>
      <c r="RKS34" s="557"/>
      <c r="RKT34" s="557"/>
      <c r="RKU34" s="557"/>
      <c r="RKV34" s="557"/>
      <c r="RKW34" s="557"/>
      <c r="RKX34" s="557"/>
      <c r="RKY34" s="661"/>
      <c r="RKZ34" s="556"/>
      <c r="RLA34" s="557"/>
      <c r="RLB34" s="557"/>
      <c r="RLC34" s="557"/>
      <c r="RLD34" s="557"/>
      <c r="RLE34" s="557"/>
      <c r="RLF34" s="557"/>
      <c r="RLG34" s="557"/>
      <c r="RLH34" s="557"/>
      <c r="RLI34" s="557"/>
      <c r="RLJ34" s="557"/>
      <c r="RLK34" s="557"/>
      <c r="RLL34" s="557"/>
      <c r="RLM34" s="557"/>
      <c r="RLN34" s="557"/>
      <c r="RLO34" s="557"/>
      <c r="RLP34" s="557"/>
      <c r="RLQ34" s="557"/>
      <c r="RLR34" s="557"/>
      <c r="RLS34" s="661"/>
      <c r="RLT34" s="556"/>
      <c r="RLU34" s="557"/>
      <c r="RLV34" s="557"/>
      <c r="RLW34" s="557"/>
      <c r="RLX34" s="557"/>
      <c r="RLY34" s="557"/>
      <c r="RLZ34" s="557"/>
      <c r="RMA34" s="557"/>
      <c r="RMB34" s="557"/>
      <c r="RMC34" s="557"/>
      <c r="RMD34" s="557"/>
      <c r="RME34" s="557"/>
      <c r="RMF34" s="557"/>
      <c r="RMG34" s="557"/>
      <c r="RMH34" s="557"/>
      <c r="RMI34" s="557"/>
      <c r="RMJ34" s="557"/>
      <c r="RMK34" s="557"/>
      <c r="RML34" s="557"/>
      <c r="RMM34" s="661"/>
      <c r="RMN34" s="556"/>
      <c r="RMO34" s="557"/>
      <c r="RMP34" s="557"/>
      <c r="RMQ34" s="557"/>
      <c r="RMR34" s="557"/>
      <c r="RMS34" s="557"/>
      <c r="RMT34" s="557"/>
      <c r="RMU34" s="557"/>
      <c r="RMV34" s="557"/>
      <c r="RMW34" s="557"/>
      <c r="RMX34" s="557"/>
      <c r="RMY34" s="557"/>
      <c r="RMZ34" s="557"/>
      <c r="RNA34" s="557"/>
      <c r="RNB34" s="557"/>
      <c r="RNC34" s="557"/>
      <c r="RND34" s="557"/>
      <c r="RNE34" s="557"/>
      <c r="RNF34" s="557"/>
      <c r="RNG34" s="661"/>
      <c r="RNH34" s="556"/>
      <c r="RNI34" s="557"/>
      <c r="RNJ34" s="557"/>
      <c r="RNK34" s="557"/>
      <c r="RNL34" s="557"/>
      <c r="RNM34" s="557"/>
      <c r="RNN34" s="557"/>
      <c r="RNO34" s="557"/>
      <c r="RNP34" s="557"/>
      <c r="RNQ34" s="557"/>
      <c r="RNR34" s="557"/>
      <c r="RNS34" s="557"/>
      <c r="RNT34" s="557"/>
      <c r="RNU34" s="557"/>
      <c r="RNV34" s="557"/>
      <c r="RNW34" s="557"/>
      <c r="RNX34" s="557"/>
      <c r="RNY34" s="557"/>
      <c r="RNZ34" s="557"/>
      <c r="ROA34" s="661"/>
      <c r="ROB34" s="556"/>
      <c r="ROC34" s="557"/>
      <c r="ROD34" s="557"/>
      <c r="ROE34" s="557"/>
      <c r="ROF34" s="557"/>
      <c r="ROG34" s="557"/>
      <c r="ROH34" s="557"/>
      <c r="ROI34" s="557"/>
      <c r="ROJ34" s="557"/>
      <c r="ROK34" s="557"/>
      <c r="ROL34" s="557"/>
      <c r="ROM34" s="557"/>
      <c r="RON34" s="557"/>
      <c r="ROO34" s="557"/>
      <c r="ROP34" s="557"/>
      <c r="ROQ34" s="557"/>
      <c r="ROR34" s="557"/>
      <c r="ROS34" s="557"/>
      <c r="ROT34" s="557"/>
      <c r="ROU34" s="661"/>
      <c r="ROV34" s="556"/>
      <c r="ROW34" s="557"/>
      <c r="ROX34" s="557"/>
      <c r="ROY34" s="557"/>
      <c r="ROZ34" s="557"/>
      <c r="RPA34" s="557"/>
      <c r="RPB34" s="557"/>
      <c r="RPC34" s="557"/>
      <c r="RPD34" s="557"/>
      <c r="RPE34" s="557"/>
      <c r="RPF34" s="557"/>
      <c r="RPG34" s="557"/>
      <c r="RPH34" s="557"/>
      <c r="RPI34" s="557"/>
      <c r="RPJ34" s="557"/>
      <c r="RPK34" s="557"/>
      <c r="RPL34" s="557"/>
      <c r="RPM34" s="557"/>
      <c r="RPN34" s="557"/>
      <c r="RPO34" s="661"/>
      <c r="RPP34" s="556"/>
      <c r="RPQ34" s="557"/>
      <c r="RPR34" s="557"/>
      <c r="RPS34" s="557"/>
      <c r="RPT34" s="557"/>
      <c r="RPU34" s="557"/>
      <c r="RPV34" s="557"/>
      <c r="RPW34" s="557"/>
      <c r="RPX34" s="557"/>
      <c r="RPY34" s="557"/>
      <c r="RPZ34" s="557"/>
      <c r="RQA34" s="557"/>
      <c r="RQB34" s="557"/>
      <c r="RQC34" s="557"/>
      <c r="RQD34" s="557"/>
      <c r="RQE34" s="557"/>
      <c r="RQF34" s="557"/>
      <c r="RQG34" s="557"/>
      <c r="RQH34" s="557"/>
      <c r="RQI34" s="661"/>
      <c r="RQJ34" s="556"/>
      <c r="RQK34" s="557"/>
      <c r="RQL34" s="557"/>
      <c r="RQM34" s="557"/>
      <c r="RQN34" s="557"/>
      <c r="RQO34" s="557"/>
      <c r="RQP34" s="557"/>
      <c r="RQQ34" s="557"/>
      <c r="RQR34" s="557"/>
      <c r="RQS34" s="557"/>
      <c r="RQT34" s="557"/>
      <c r="RQU34" s="557"/>
      <c r="RQV34" s="557"/>
      <c r="RQW34" s="557"/>
      <c r="RQX34" s="557"/>
      <c r="RQY34" s="557"/>
      <c r="RQZ34" s="557"/>
      <c r="RRA34" s="557"/>
      <c r="RRB34" s="557"/>
      <c r="RRC34" s="661"/>
      <c r="RRD34" s="556"/>
      <c r="RRE34" s="557"/>
      <c r="RRF34" s="557"/>
      <c r="RRG34" s="557"/>
      <c r="RRH34" s="557"/>
      <c r="RRI34" s="557"/>
      <c r="RRJ34" s="557"/>
      <c r="RRK34" s="557"/>
      <c r="RRL34" s="557"/>
      <c r="RRM34" s="557"/>
      <c r="RRN34" s="557"/>
      <c r="RRO34" s="557"/>
      <c r="RRP34" s="557"/>
      <c r="RRQ34" s="557"/>
      <c r="RRR34" s="557"/>
      <c r="RRS34" s="557"/>
      <c r="RRT34" s="557"/>
      <c r="RRU34" s="557"/>
      <c r="RRV34" s="557"/>
      <c r="RRW34" s="661"/>
      <c r="RRX34" s="556"/>
      <c r="RRY34" s="557"/>
      <c r="RRZ34" s="557"/>
      <c r="RSA34" s="557"/>
      <c r="RSB34" s="557"/>
      <c r="RSC34" s="557"/>
      <c r="RSD34" s="557"/>
      <c r="RSE34" s="557"/>
      <c r="RSF34" s="557"/>
      <c r="RSG34" s="557"/>
      <c r="RSH34" s="557"/>
      <c r="RSI34" s="557"/>
      <c r="RSJ34" s="557"/>
      <c r="RSK34" s="557"/>
      <c r="RSL34" s="557"/>
      <c r="RSM34" s="557"/>
      <c r="RSN34" s="557"/>
      <c r="RSO34" s="557"/>
      <c r="RSP34" s="557"/>
      <c r="RSQ34" s="661"/>
      <c r="RSR34" s="556"/>
      <c r="RSS34" s="557"/>
      <c r="RST34" s="557"/>
      <c r="RSU34" s="557"/>
      <c r="RSV34" s="557"/>
      <c r="RSW34" s="557"/>
      <c r="RSX34" s="557"/>
      <c r="RSY34" s="557"/>
      <c r="RSZ34" s="557"/>
      <c r="RTA34" s="557"/>
      <c r="RTB34" s="557"/>
      <c r="RTC34" s="557"/>
      <c r="RTD34" s="557"/>
      <c r="RTE34" s="557"/>
      <c r="RTF34" s="557"/>
      <c r="RTG34" s="557"/>
      <c r="RTH34" s="557"/>
      <c r="RTI34" s="557"/>
      <c r="RTJ34" s="557"/>
      <c r="RTK34" s="661"/>
      <c r="RTL34" s="556"/>
      <c r="RTM34" s="557"/>
      <c r="RTN34" s="557"/>
      <c r="RTO34" s="557"/>
      <c r="RTP34" s="557"/>
      <c r="RTQ34" s="557"/>
      <c r="RTR34" s="557"/>
      <c r="RTS34" s="557"/>
      <c r="RTT34" s="557"/>
      <c r="RTU34" s="557"/>
      <c r="RTV34" s="557"/>
      <c r="RTW34" s="557"/>
      <c r="RTX34" s="557"/>
      <c r="RTY34" s="557"/>
      <c r="RTZ34" s="557"/>
      <c r="RUA34" s="557"/>
      <c r="RUB34" s="557"/>
      <c r="RUC34" s="557"/>
      <c r="RUD34" s="557"/>
      <c r="RUE34" s="661"/>
      <c r="RUF34" s="556"/>
      <c r="RUG34" s="557"/>
      <c r="RUH34" s="557"/>
      <c r="RUI34" s="557"/>
      <c r="RUJ34" s="557"/>
      <c r="RUK34" s="557"/>
      <c r="RUL34" s="557"/>
      <c r="RUM34" s="557"/>
      <c r="RUN34" s="557"/>
      <c r="RUO34" s="557"/>
      <c r="RUP34" s="557"/>
      <c r="RUQ34" s="557"/>
      <c r="RUR34" s="557"/>
      <c r="RUS34" s="557"/>
      <c r="RUT34" s="557"/>
      <c r="RUU34" s="557"/>
      <c r="RUV34" s="557"/>
      <c r="RUW34" s="557"/>
      <c r="RUX34" s="557"/>
      <c r="RUY34" s="661"/>
      <c r="RUZ34" s="556"/>
      <c r="RVA34" s="557"/>
      <c r="RVB34" s="557"/>
      <c r="RVC34" s="557"/>
      <c r="RVD34" s="557"/>
      <c r="RVE34" s="557"/>
      <c r="RVF34" s="557"/>
      <c r="RVG34" s="557"/>
      <c r="RVH34" s="557"/>
      <c r="RVI34" s="557"/>
      <c r="RVJ34" s="557"/>
      <c r="RVK34" s="557"/>
      <c r="RVL34" s="557"/>
      <c r="RVM34" s="557"/>
      <c r="RVN34" s="557"/>
      <c r="RVO34" s="557"/>
      <c r="RVP34" s="557"/>
      <c r="RVQ34" s="557"/>
      <c r="RVR34" s="557"/>
      <c r="RVS34" s="661"/>
      <c r="RVT34" s="556"/>
      <c r="RVU34" s="557"/>
      <c r="RVV34" s="557"/>
      <c r="RVW34" s="557"/>
      <c r="RVX34" s="557"/>
      <c r="RVY34" s="557"/>
      <c r="RVZ34" s="557"/>
      <c r="RWA34" s="557"/>
      <c r="RWB34" s="557"/>
      <c r="RWC34" s="557"/>
      <c r="RWD34" s="557"/>
      <c r="RWE34" s="557"/>
      <c r="RWF34" s="557"/>
      <c r="RWG34" s="557"/>
      <c r="RWH34" s="557"/>
      <c r="RWI34" s="557"/>
      <c r="RWJ34" s="557"/>
      <c r="RWK34" s="557"/>
      <c r="RWL34" s="557"/>
      <c r="RWM34" s="661"/>
      <c r="RWN34" s="556"/>
      <c r="RWO34" s="557"/>
      <c r="RWP34" s="557"/>
      <c r="RWQ34" s="557"/>
      <c r="RWR34" s="557"/>
      <c r="RWS34" s="557"/>
      <c r="RWT34" s="557"/>
      <c r="RWU34" s="557"/>
      <c r="RWV34" s="557"/>
      <c r="RWW34" s="557"/>
      <c r="RWX34" s="557"/>
      <c r="RWY34" s="557"/>
      <c r="RWZ34" s="557"/>
      <c r="RXA34" s="557"/>
      <c r="RXB34" s="557"/>
      <c r="RXC34" s="557"/>
      <c r="RXD34" s="557"/>
      <c r="RXE34" s="557"/>
      <c r="RXF34" s="557"/>
      <c r="RXG34" s="661"/>
      <c r="RXH34" s="556"/>
      <c r="RXI34" s="557"/>
      <c r="RXJ34" s="557"/>
      <c r="RXK34" s="557"/>
      <c r="RXL34" s="557"/>
      <c r="RXM34" s="557"/>
      <c r="RXN34" s="557"/>
      <c r="RXO34" s="557"/>
      <c r="RXP34" s="557"/>
      <c r="RXQ34" s="557"/>
      <c r="RXR34" s="557"/>
      <c r="RXS34" s="557"/>
      <c r="RXT34" s="557"/>
      <c r="RXU34" s="557"/>
      <c r="RXV34" s="557"/>
      <c r="RXW34" s="557"/>
      <c r="RXX34" s="557"/>
      <c r="RXY34" s="557"/>
      <c r="RXZ34" s="557"/>
      <c r="RYA34" s="661"/>
      <c r="RYB34" s="556"/>
      <c r="RYC34" s="557"/>
      <c r="RYD34" s="557"/>
      <c r="RYE34" s="557"/>
      <c r="RYF34" s="557"/>
      <c r="RYG34" s="557"/>
      <c r="RYH34" s="557"/>
      <c r="RYI34" s="557"/>
      <c r="RYJ34" s="557"/>
      <c r="RYK34" s="557"/>
      <c r="RYL34" s="557"/>
      <c r="RYM34" s="557"/>
      <c r="RYN34" s="557"/>
      <c r="RYO34" s="557"/>
      <c r="RYP34" s="557"/>
      <c r="RYQ34" s="557"/>
      <c r="RYR34" s="557"/>
      <c r="RYS34" s="557"/>
      <c r="RYT34" s="557"/>
      <c r="RYU34" s="661"/>
      <c r="RYV34" s="556"/>
      <c r="RYW34" s="557"/>
      <c r="RYX34" s="557"/>
      <c r="RYY34" s="557"/>
      <c r="RYZ34" s="557"/>
      <c r="RZA34" s="557"/>
      <c r="RZB34" s="557"/>
      <c r="RZC34" s="557"/>
      <c r="RZD34" s="557"/>
      <c r="RZE34" s="557"/>
      <c r="RZF34" s="557"/>
      <c r="RZG34" s="557"/>
      <c r="RZH34" s="557"/>
      <c r="RZI34" s="557"/>
      <c r="RZJ34" s="557"/>
      <c r="RZK34" s="557"/>
      <c r="RZL34" s="557"/>
      <c r="RZM34" s="557"/>
      <c r="RZN34" s="557"/>
      <c r="RZO34" s="661"/>
      <c r="RZP34" s="556"/>
      <c r="RZQ34" s="557"/>
      <c r="RZR34" s="557"/>
      <c r="RZS34" s="557"/>
      <c r="RZT34" s="557"/>
      <c r="RZU34" s="557"/>
      <c r="RZV34" s="557"/>
      <c r="RZW34" s="557"/>
      <c r="RZX34" s="557"/>
      <c r="RZY34" s="557"/>
      <c r="RZZ34" s="557"/>
      <c r="SAA34" s="557"/>
      <c r="SAB34" s="557"/>
      <c r="SAC34" s="557"/>
      <c r="SAD34" s="557"/>
      <c r="SAE34" s="557"/>
      <c r="SAF34" s="557"/>
      <c r="SAG34" s="557"/>
      <c r="SAH34" s="557"/>
      <c r="SAI34" s="661"/>
      <c r="SAJ34" s="556"/>
      <c r="SAK34" s="557"/>
      <c r="SAL34" s="557"/>
      <c r="SAM34" s="557"/>
      <c r="SAN34" s="557"/>
      <c r="SAO34" s="557"/>
      <c r="SAP34" s="557"/>
      <c r="SAQ34" s="557"/>
      <c r="SAR34" s="557"/>
      <c r="SAS34" s="557"/>
      <c r="SAT34" s="557"/>
      <c r="SAU34" s="557"/>
      <c r="SAV34" s="557"/>
      <c r="SAW34" s="557"/>
      <c r="SAX34" s="557"/>
      <c r="SAY34" s="557"/>
      <c r="SAZ34" s="557"/>
      <c r="SBA34" s="557"/>
      <c r="SBB34" s="557"/>
      <c r="SBC34" s="661"/>
      <c r="SBD34" s="556"/>
      <c r="SBE34" s="557"/>
      <c r="SBF34" s="557"/>
      <c r="SBG34" s="557"/>
      <c r="SBH34" s="557"/>
      <c r="SBI34" s="557"/>
      <c r="SBJ34" s="557"/>
      <c r="SBK34" s="557"/>
      <c r="SBL34" s="557"/>
      <c r="SBM34" s="557"/>
      <c r="SBN34" s="557"/>
      <c r="SBO34" s="557"/>
      <c r="SBP34" s="557"/>
      <c r="SBQ34" s="557"/>
      <c r="SBR34" s="557"/>
      <c r="SBS34" s="557"/>
      <c r="SBT34" s="557"/>
      <c r="SBU34" s="557"/>
      <c r="SBV34" s="557"/>
      <c r="SBW34" s="661"/>
      <c r="SBX34" s="556"/>
      <c r="SBY34" s="557"/>
      <c r="SBZ34" s="557"/>
      <c r="SCA34" s="557"/>
      <c r="SCB34" s="557"/>
      <c r="SCC34" s="557"/>
      <c r="SCD34" s="557"/>
      <c r="SCE34" s="557"/>
      <c r="SCF34" s="557"/>
      <c r="SCG34" s="557"/>
      <c r="SCH34" s="557"/>
      <c r="SCI34" s="557"/>
      <c r="SCJ34" s="557"/>
      <c r="SCK34" s="557"/>
      <c r="SCL34" s="557"/>
      <c r="SCM34" s="557"/>
      <c r="SCN34" s="557"/>
      <c r="SCO34" s="557"/>
      <c r="SCP34" s="557"/>
      <c r="SCQ34" s="661"/>
      <c r="SCR34" s="556"/>
      <c r="SCS34" s="557"/>
      <c r="SCT34" s="557"/>
      <c r="SCU34" s="557"/>
      <c r="SCV34" s="557"/>
      <c r="SCW34" s="557"/>
      <c r="SCX34" s="557"/>
      <c r="SCY34" s="557"/>
      <c r="SCZ34" s="557"/>
      <c r="SDA34" s="557"/>
      <c r="SDB34" s="557"/>
      <c r="SDC34" s="557"/>
      <c r="SDD34" s="557"/>
      <c r="SDE34" s="557"/>
      <c r="SDF34" s="557"/>
      <c r="SDG34" s="557"/>
      <c r="SDH34" s="557"/>
      <c r="SDI34" s="557"/>
      <c r="SDJ34" s="557"/>
      <c r="SDK34" s="661"/>
      <c r="SDL34" s="556"/>
      <c r="SDM34" s="557"/>
      <c r="SDN34" s="557"/>
      <c r="SDO34" s="557"/>
      <c r="SDP34" s="557"/>
      <c r="SDQ34" s="557"/>
      <c r="SDR34" s="557"/>
      <c r="SDS34" s="557"/>
      <c r="SDT34" s="557"/>
      <c r="SDU34" s="557"/>
      <c r="SDV34" s="557"/>
      <c r="SDW34" s="557"/>
      <c r="SDX34" s="557"/>
      <c r="SDY34" s="557"/>
      <c r="SDZ34" s="557"/>
      <c r="SEA34" s="557"/>
      <c r="SEB34" s="557"/>
      <c r="SEC34" s="557"/>
      <c r="SED34" s="557"/>
      <c r="SEE34" s="661"/>
      <c r="SEF34" s="556"/>
      <c r="SEG34" s="557"/>
      <c r="SEH34" s="557"/>
      <c r="SEI34" s="557"/>
      <c r="SEJ34" s="557"/>
      <c r="SEK34" s="557"/>
      <c r="SEL34" s="557"/>
      <c r="SEM34" s="557"/>
      <c r="SEN34" s="557"/>
      <c r="SEO34" s="557"/>
      <c r="SEP34" s="557"/>
      <c r="SEQ34" s="557"/>
      <c r="SER34" s="557"/>
      <c r="SES34" s="557"/>
      <c r="SET34" s="557"/>
      <c r="SEU34" s="557"/>
      <c r="SEV34" s="557"/>
      <c r="SEW34" s="557"/>
      <c r="SEX34" s="557"/>
      <c r="SEY34" s="661"/>
      <c r="SEZ34" s="556"/>
      <c r="SFA34" s="557"/>
      <c r="SFB34" s="557"/>
      <c r="SFC34" s="557"/>
      <c r="SFD34" s="557"/>
      <c r="SFE34" s="557"/>
      <c r="SFF34" s="557"/>
      <c r="SFG34" s="557"/>
      <c r="SFH34" s="557"/>
      <c r="SFI34" s="557"/>
      <c r="SFJ34" s="557"/>
      <c r="SFK34" s="557"/>
      <c r="SFL34" s="557"/>
      <c r="SFM34" s="557"/>
      <c r="SFN34" s="557"/>
      <c r="SFO34" s="557"/>
      <c r="SFP34" s="557"/>
      <c r="SFQ34" s="557"/>
      <c r="SFR34" s="557"/>
      <c r="SFS34" s="661"/>
      <c r="SFT34" s="556"/>
      <c r="SFU34" s="557"/>
      <c r="SFV34" s="557"/>
      <c r="SFW34" s="557"/>
      <c r="SFX34" s="557"/>
      <c r="SFY34" s="557"/>
      <c r="SFZ34" s="557"/>
      <c r="SGA34" s="557"/>
      <c r="SGB34" s="557"/>
      <c r="SGC34" s="557"/>
      <c r="SGD34" s="557"/>
      <c r="SGE34" s="557"/>
      <c r="SGF34" s="557"/>
      <c r="SGG34" s="557"/>
      <c r="SGH34" s="557"/>
      <c r="SGI34" s="557"/>
      <c r="SGJ34" s="557"/>
      <c r="SGK34" s="557"/>
      <c r="SGL34" s="557"/>
      <c r="SGM34" s="661"/>
      <c r="SGN34" s="556"/>
      <c r="SGO34" s="557"/>
      <c r="SGP34" s="557"/>
      <c r="SGQ34" s="557"/>
      <c r="SGR34" s="557"/>
      <c r="SGS34" s="557"/>
      <c r="SGT34" s="557"/>
      <c r="SGU34" s="557"/>
      <c r="SGV34" s="557"/>
      <c r="SGW34" s="557"/>
      <c r="SGX34" s="557"/>
      <c r="SGY34" s="557"/>
      <c r="SGZ34" s="557"/>
      <c r="SHA34" s="557"/>
      <c r="SHB34" s="557"/>
      <c r="SHC34" s="557"/>
      <c r="SHD34" s="557"/>
      <c r="SHE34" s="557"/>
      <c r="SHF34" s="557"/>
      <c r="SHG34" s="661"/>
      <c r="SHH34" s="556"/>
      <c r="SHI34" s="557"/>
      <c r="SHJ34" s="557"/>
      <c r="SHK34" s="557"/>
      <c r="SHL34" s="557"/>
      <c r="SHM34" s="557"/>
      <c r="SHN34" s="557"/>
      <c r="SHO34" s="557"/>
      <c r="SHP34" s="557"/>
      <c r="SHQ34" s="557"/>
      <c r="SHR34" s="557"/>
      <c r="SHS34" s="557"/>
      <c r="SHT34" s="557"/>
      <c r="SHU34" s="557"/>
      <c r="SHV34" s="557"/>
      <c r="SHW34" s="557"/>
      <c r="SHX34" s="557"/>
      <c r="SHY34" s="557"/>
      <c r="SHZ34" s="557"/>
      <c r="SIA34" s="661"/>
      <c r="SIB34" s="556"/>
      <c r="SIC34" s="557"/>
      <c r="SID34" s="557"/>
      <c r="SIE34" s="557"/>
      <c r="SIF34" s="557"/>
      <c r="SIG34" s="557"/>
      <c r="SIH34" s="557"/>
      <c r="SII34" s="557"/>
      <c r="SIJ34" s="557"/>
      <c r="SIK34" s="557"/>
      <c r="SIL34" s="557"/>
      <c r="SIM34" s="557"/>
      <c r="SIN34" s="557"/>
      <c r="SIO34" s="557"/>
      <c r="SIP34" s="557"/>
      <c r="SIQ34" s="557"/>
      <c r="SIR34" s="557"/>
      <c r="SIS34" s="557"/>
      <c r="SIT34" s="557"/>
      <c r="SIU34" s="661"/>
      <c r="SIV34" s="556"/>
      <c r="SIW34" s="557"/>
      <c r="SIX34" s="557"/>
      <c r="SIY34" s="557"/>
      <c r="SIZ34" s="557"/>
      <c r="SJA34" s="557"/>
      <c r="SJB34" s="557"/>
      <c r="SJC34" s="557"/>
      <c r="SJD34" s="557"/>
      <c r="SJE34" s="557"/>
      <c r="SJF34" s="557"/>
      <c r="SJG34" s="557"/>
      <c r="SJH34" s="557"/>
      <c r="SJI34" s="557"/>
      <c r="SJJ34" s="557"/>
      <c r="SJK34" s="557"/>
      <c r="SJL34" s="557"/>
      <c r="SJM34" s="557"/>
      <c r="SJN34" s="557"/>
      <c r="SJO34" s="661"/>
      <c r="SJP34" s="556"/>
      <c r="SJQ34" s="557"/>
      <c r="SJR34" s="557"/>
      <c r="SJS34" s="557"/>
      <c r="SJT34" s="557"/>
      <c r="SJU34" s="557"/>
      <c r="SJV34" s="557"/>
      <c r="SJW34" s="557"/>
      <c r="SJX34" s="557"/>
      <c r="SJY34" s="557"/>
      <c r="SJZ34" s="557"/>
      <c r="SKA34" s="557"/>
      <c r="SKB34" s="557"/>
      <c r="SKC34" s="557"/>
      <c r="SKD34" s="557"/>
      <c r="SKE34" s="557"/>
      <c r="SKF34" s="557"/>
      <c r="SKG34" s="557"/>
      <c r="SKH34" s="557"/>
      <c r="SKI34" s="661"/>
      <c r="SKJ34" s="556"/>
      <c r="SKK34" s="557"/>
      <c r="SKL34" s="557"/>
      <c r="SKM34" s="557"/>
      <c r="SKN34" s="557"/>
      <c r="SKO34" s="557"/>
      <c r="SKP34" s="557"/>
      <c r="SKQ34" s="557"/>
      <c r="SKR34" s="557"/>
      <c r="SKS34" s="557"/>
      <c r="SKT34" s="557"/>
      <c r="SKU34" s="557"/>
      <c r="SKV34" s="557"/>
      <c r="SKW34" s="557"/>
      <c r="SKX34" s="557"/>
      <c r="SKY34" s="557"/>
      <c r="SKZ34" s="557"/>
      <c r="SLA34" s="557"/>
      <c r="SLB34" s="557"/>
      <c r="SLC34" s="661"/>
      <c r="SLD34" s="556"/>
      <c r="SLE34" s="557"/>
      <c r="SLF34" s="557"/>
      <c r="SLG34" s="557"/>
      <c r="SLH34" s="557"/>
      <c r="SLI34" s="557"/>
      <c r="SLJ34" s="557"/>
      <c r="SLK34" s="557"/>
      <c r="SLL34" s="557"/>
      <c r="SLM34" s="557"/>
      <c r="SLN34" s="557"/>
      <c r="SLO34" s="557"/>
      <c r="SLP34" s="557"/>
      <c r="SLQ34" s="557"/>
      <c r="SLR34" s="557"/>
      <c r="SLS34" s="557"/>
      <c r="SLT34" s="557"/>
      <c r="SLU34" s="557"/>
      <c r="SLV34" s="557"/>
      <c r="SLW34" s="661"/>
      <c r="SLX34" s="556"/>
      <c r="SLY34" s="557"/>
      <c r="SLZ34" s="557"/>
      <c r="SMA34" s="557"/>
      <c r="SMB34" s="557"/>
      <c r="SMC34" s="557"/>
      <c r="SMD34" s="557"/>
      <c r="SME34" s="557"/>
      <c r="SMF34" s="557"/>
      <c r="SMG34" s="557"/>
      <c r="SMH34" s="557"/>
      <c r="SMI34" s="557"/>
      <c r="SMJ34" s="557"/>
      <c r="SMK34" s="557"/>
      <c r="SML34" s="557"/>
      <c r="SMM34" s="557"/>
      <c r="SMN34" s="557"/>
      <c r="SMO34" s="557"/>
      <c r="SMP34" s="557"/>
      <c r="SMQ34" s="661"/>
      <c r="SMR34" s="556"/>
      <c r="SMS34" s="557"/>
      <c r="SMT34" s="557"/>
      <c r="SMU34" s="557"/>
      <c r="SMV34" s="557"/>
      <c r="SMW34" s="557"/>
      <c r="SMX34" s="557"/>
      <c r="SMY34" s="557"/>
      <c r="SMZ34" s="557"/>
      <c r="SNA34" s="557"/>
      <c r="SNB34" s="557"/>
      <c r="SNC34" s="557"/>
      <c r="SND34" s="557"/>
      <c r="SNE34" s="557"/>
      <c r="SNF34" s="557"/>
      <c r="SNG34" s="557"/>
      <c r="SNH34" s="557"/>
      <c r="SNI34" s="557"/>
      <c r="SNJ34" s="557"/>
      <c r="SNK34" s="661"/>
      <c r="SNL34" s="556"/>
      <c r="SNM34" s="557"/>
      <c r="SNN34" s="557"/>
      <c r="SNO34" s="557"/>
      <c r="SNP34" s="557"/>
      <c r="SNQ34" s="557"/>
      <c r="SNR34" s="557"/>
      <c r="SNS34" s="557"/>
      <c r="SNT34" s="557"/>
      <c r="SNU34" s="557"/>
      <c r="SNV34" s="557"/>
      <c r="SNW34" s="557"/>
      <c r="SNX34" s="557"/>
      <c r="SNY34" s="557"/>
      <c r="SNZ34" s="557"/>
      <c r="SOA34" s="557"/>
      <c r="SOB34" s="557"/>
      <c r="SOC34" s="557"/>
      <c r="SOD34" s="557"/>
      <c r="SOE34" s="661"/>
      <c r="SOF34" s="556"/>
      <c r="SOG34" s="557"/>
      <c r="SOH34" s="557"/>
      <c r="SOI34" s="557"/>
      <c r="SOJ34" s="557"/>
      <c r="SOK34" s="557"/>
      <c r="SOL34" s="557"/>
      <c r="SOM34" s="557"/>
      <c r="SON34" s="557"/>
      <c r="SOO34" s="557"/>
      <c r="SOP34" s="557"/>
      <c r="SOQ34" s="557"/>
      <c r="SOR34" s="557"/>
      <c r="SOS34" s="557"/>
      <c r="SOT34" s="557"/>
      <c r="SOU34" s="557"/>
      <c r="SOV34" s="557"/>
      <c r="SOW34" s="557"/>
      <c r="SOX34" s="557"/>
      <c r="SOY34" s="661"/>
      <c r="SOZ34" s="556"/>
      <c r="SPA34" s="557"/>
      <c r="SPB34" s="557"/>
      <c r="SPC34" s="557"/>
      <c r="SPD34" s="557"/>
      <c r="SPE34" s="557"/>
      <c r="SPF34" s="557"/>
      <c r="SPG34" s="557"/>
      <c r="SPH34" s="557"/>
      <c r="SPI34" s="557"/>
      <c r="SPJ34" s="557"/>
      <c r="SPK34" s="557"/>
      <c r="SPL34" s="557"/>
      <c r="SPM34" s="557"/>
      <c r="SPN34" s="557"/>
      <c r="SPO34" s="557"/>
      <c r="SPP34" s="557"/>
      <c r="SPQ34" s="557"/>
      <c r="SPR34" s="557"/>
      <c r="SPS34" s="661"/>
      <c r="SPT34" s="556"/>
      <c r="SPU34" s="557"/>
      <c r="SPV34" s="557"/>
      <c r="SPW34" s="557"/>
      <c r="SPX34" s="557"/>
      <c r="SPY34" s="557"/>
      <c r="SPZ34" s="557"/>
      <c r="SQA34" s="557"/>
      <c r="SQB34" s="557"/>
      <c r="SQC34" s="557"/>
      <c r="SQD34" s="557"/>
      <c r="SQE34" s="557"/>
      <c r="SQF34" s="557"/>
      <c r="SQG34" s="557"/>
      <c r="SQH34" s="557"/>
      <c r="SQI34" s="557"/>
      <c r="SQJ34" s="557"/>
      <c r="SQK34" s="557"/>
      <c r="SQL34" s="557"/>
      <c r="SQM34" s="661"/>
      <c r="SQN34" s="556"/>
      <c r="SQO34" s="557"/>
      <c r="SQP34" s="557"/>
      <c r="SQQ34" s="557"/>
      <c r="SQR34" s="557"/>
      <c r="SQS34" s="557"/>
      <c r="SQT34" s="557"/>
      <c r="SQU34" s="557"/>
      <c r="SQV34" s="557"/>
      <c r="SQW34" s="557"/>
      <c r="SQX34" s="557"/>
      <c r="SQY34" s="557"/>
      <c r="SQZ34" s="557"/>
      <c r="SRA34" s="557"/>
      <c r="SRB34" s="557"/>
      <c r="SRC34" s="557"/>
      <c r="SRD34" s="557"/>
      <c r="SRE34" s="557"/>
      <c r="SRF34" s="557"/>
      <c r="SRG34" s="661"/>
      <c r="SRH34" s="556"/>
      <c r="SRI34" s="557"/>
      <c r="SRJ34" s="557"/>
      <c r="SRK34" s="557"/>
      <c r="SRL34" s="557"/>
      <c r="SRM34" s="557"/>
      <c r="SRN34" s="557"/>
      <c r="SRO34" s="557"/>
      <c r="SRP34" s="557"/>
      <c r="SRQ34" s="557"/>
      <c r="SRR34" s="557"/>
      <c r="SRS34" s="557"/>
      <c r="SRT34" s="557"/>
      <c r="SRU34" s="557"/>
      <c r="SRV34" s="557"/>
      <c r="SRW34" s="557"/>
      <c r="SRX34" s="557"/>
      <c r="SRY34" s="557"/>
      <c r="SRZ34" s="557"/>
      <c r="SSA34" s="661"/>
      <c r="SSB34" s="556"/>
      <c r="SSC34" s="557"/>
      <c r="SSD34" s="557"/>
      <c r="SSE34" s="557"/>
      <c r="SSF34" s="557"/>
      <c r="SSG34" s="557"/>
      <c r="SSH34" s="557"/>
      <c r="SSI34" s="557"/>
      <c r="SSJ34" s="557"/>
      <c r="SSK34" s="557"/>
      <c r="SSL34" s="557"/>
      <c r="SSM34" s="557"/>
      <c r="SSN34" s="557"/>
      <c r="SSO34" s="557"/>
      <c r="SSP34" s="557"/>
      <c r="SSQ34" s="557"/>
      <c r="SSR34" s="557"/>
      <c r="SSS34" s="557"/>
      <c r="SST34" s="557"/>
      <c r="SSU34" s="661"/>
      <c r="SSV34" s="556"/>
      <c r="SSW34" s="557"/>
      <c r="SSX34" s="557"/>
      <c r="SSY34" s="557"/>
      <c r="SSZ34" s="557"/>
      <c r="STA34" s="557"/>
      <c r="STB34" s="557"/>
      <c r="STC34" s="557"/>
      <c r="STD34" s="557"/>
      <c r="STE34" s="557"/>
      <c r="STF34" s="557"/>
      <c r="STG34" s="557"/>
      <c r="STH34" s="557"/>
      <c r="STI34" s="557"/>
      <c r="STJ34" s="557"/>
      <c r="STK34" s="557"/>
      <c r="STL34" s="557"/>
      <c r="STM34" s="557"/>
      <c r="STN34" s="557"/>
      <c r="STO34" s="661"/>
      <c r="STP34" s="556"/>
      <c r="STQ34" s="557"/>
      <c r="STR34" s="557"/>
      <c r="STS34" s="557"/>
      <c r="STT34" s="557"/>
      <c r="STU34" s="557"/>
      <c r="STV34" s="557"/>
      <c r="STW34" s="557"/>
      <c r="STX34" s="557"/>
      <c r="STY34" s="557"/>
      <c r="STZ34" s="557"/>
      <c r="SUA34" s="557"/>
      <c r="SUB34" s="557"/>
      <c r="SUC34" s="557"/>
      <c r="SUD34" s="557"/>
      <c r="SUE34" s="557"/>
      <c r="SUF34" s="557"/>
      <c r="SUG34" s="557"/>
      <c r="SUH34" s="557"/>
      <c r="SUI34" s="661"/>
      <c r="SUJ34" s="556"/>
      <c r="SUK34" s="557"/>
      <c r="SUL34" s="557"/>
      <c r="SUM34" s="557"/>
      <c r="SUN34" s="557"/>
      <c r="SUO34" s="557"/>
      <c r="SUP34" s="557"/>
      <c r="SUQ34" s="557"/>
      <c r="SUR34" s="557"/>
      <c r="SUS34" s="557"/>
      <c r="SUT34" s="557"/>
      <c r="SUU34" s="557"/>
      <c r="SUV34" s="557"/>
      <c r="SUW34" s="557"/>
      <c r="SUX34" s="557"/>
      <c r="SUY34" s="557"/>
      <c r="SUZ34" s="557"/>
      <c r="SVA34" s="557"/>
      <c r="SVB34" s="557"/>
      <c r="SVC34" s="661"/>
      <c r="SVD34" s="556"/>
      <c r="SVE34" s="557"/>
      <c r="SVF34" s="557"/>
      <c r="SVG34" s="557"/>
      <c r="SVH34" s="557"/>
      <c r="SVI34" s="557"/>
      <c r="SVJ34" s="557"/>
      <c r="SVK34" s="557"/>
      <c r="SVL34" s="557"/>
      <c r="SVM34" s="557"/>
      <c r="SVN34" s="557"/>
      <c r="SVO34" s="557"/>
      <c r="SVP34" s="557"/>
      <c r="SVQ34" s="557"/>
      <c r="SVR34" s="557"/>
      <c r="SVS34" s="557"/>
      <c r="SVT34" s="557"/>
      <c r="SVU34" s="557"/>
      <c r="SVV34" s="557"/>
      <c r="SVW34" s="661"/>
      <c r="SVX34" s="556"/>
      <c r="SVY34" s="557"/>
      <c r="SVZ34" s="557"/>
      <c r="SWA34" s="557"/>
      <c r="SWB34" s="557"/>
      <c r="SWC34" s="557"/>
      <c r="SWD34" s="557"/>
      <c r="SWE34" s="557"/>
      <c r="SWF34" s="557"/>
      <c r="SWG34" s="557"/>
      <c r="SWH34" s="557"/>
      <c r="SWI34" s="557"/>
      <c r="SWJ34" s="557"/>
      <c r="SWK34" s="557"/>
      <c r="SWL34" s="557"/>
      <c r="SWM34" s="557"/>
      <c r="SWN34" s="557"/>
      <c r="SWO34" s="557"/>
      <c r="SWP34" s="557"/>
      <c r="SWQ34" s="661"/>
      <c r="SWR34" s="556"/>
      <c r="SWS34" s="557"/>
      <c r="SWT34" s="557"/>
      <c r="SWU34" s="557"/>
      <c r="SWV34" s="557"/>
      <c r="SWW34" s="557"/>
      <c r="SWX34" s="557"/>
      <c r="SWY34" s="557"/>
      <c r="SWZ34" s="557"/>
      <c r="SXA34" s="557"/>
      <c r="SXB34" s="557"/>
      <c r="SXC34" s="557"/>
      <c r="SXD34" s="557"/>
      <c r="SXE34" s="557"/>
      <c r="SXF34" s="557"/>
      <c r="SXG34" s="557"/>
      <c r="SXH34" s="557"/>
      <c r="SXI34" s="557"/>
      <c r="SXJ34" s="557"/>
      <c r="SXK34" s="661"/>
      <c r="SXL34" s="556"/>
      <c r="SXM34" s="557"/>
      <c r="SXN34" s="557"/>
      <c r="SXO34" s="557"/>
      <c r="SXP34" s="557"/>
      <c r="SXQ34" s="557"/>
      <c r="SXR34" s="557"/>
      <c r="SXS34" s="557"/>
      <c r="SXT34" s="557"/>
      <c r="SXU34" s="557"/>
      <c r="SXV34" s="557"/>
      <c r="SXW34" s="557"/>
      <c r="SXX34" s="557"/>
      <c r="SXY34" s="557"/>
      <c r="SXZ34" s="557"/>
      <c r="SYA34" s="557"/>
      <c r="SYB34" s="557"/>
      <c r="SYC34" s="557"/>
      <c r="SYD34" s="557"/>
      <c r="SYE34" s="661"/>
      <c r="SYF34" s="556"/>
      <c r="SYG34" s="557"/>
      <c r="SYH34" s="557"/>
      <c r="SYI34" s="557"/>
      <c r="SYJ34" s="557"/>
      <c r="SYK34" s="557"/>
      <c r="SYL34" s="557"/>
      <c r="SYM34" s="557"/>
      <c r="SYN34" s="557"/>
      <c r="SYO34" s="557"/>
      <c r="SYP34" s="557"/>
      <c r="SYQ34" s="557"/>
      <c r="SYR34" s="557"/>
      <c r="SYS34" s="557"/>
      <c r="SYT34" s="557"/>
      <c r="SYU34" s="557"/>
      <c r="SYV34" s="557"/>
      <c r="SYW34" s="557"/>
      <c r="SYX34" s="557"/>
      <c r="SYY34" s="661"/>
      <c r="SYZ34" s="556"/>
      <c r="SZA34" s="557"/>
      <c r="SZB34" s="557"/>
      <c r="SZC34" s="557"/>
      <c r="SZD34" s="557"/>
      <c r="SZE34" s="557"/>
      <c r="SZF34" s="557"/>
      <c r="SZG34" s="557"/>
      <c r="SZH34" s="557"/>
      <c r="SZI34" s="557"/>
      <c r="SZJ34" s="557"/>
      <c r="SZK34" s="557"/>
      <c r="SZL34" s="557"/>
      <c r="SZM34" s="557"/>
      <c r="SZN34" s="557"/>
      <c r="SZO34" s="557"/>
      <c r="SZP34" s="557"/>
      <c r="SZQ34" s="557"/>
      <c r="SZR34" s="557"/>
      <c r="SZS34" s="661"/>
      <c r="SZT34" s="556"/>
      <c r="SZU34" s="557"/>
      <c r="SZV34" s="557"/>
      <c r="SZW34" s="557"/>
      <c r="SZX34" s="557"/>
      <c r="SZY34" s="557"/>
      <c r="SZZ34" s="557"/>
      <c r="TAA34" s="557"/>
      <c r="TAB34" s="557"/>
      <c r="TAC34" s="557"/>
      <c r="TAD34" s="557"/>
      <c r="TAE34" s="557"/>
      <c r="TAF34" s="557"/>
      <c r="TAG34" s="557"/>
      <c r="TAH34" s="557"/>
      <c r="TAI34" s="557"/>
      <c r="TAJ34" s="557"/>
      <c r="TAK34" s="557"/>
      <c r="TAL34" s="557"/>
      <c r="TAM34" s="661"/>
      <c r="TAN34" s="556"/>
      <c r="TAO34" s="557"/>
      <c r="TAP34" s="557"/>
      <c r="TAQ34" s="557"/>
      <c r="TAR34" s="557"/>
      <c r="TAS34" s="557"/>
      <c r="TAT34" s="557"/>
      <c r="TAU34" s="557"/>
      <c r="TAV34" s="557"/>
      <c r="TAW34" s="557"/>
      <c r="TAX34" s="557"/>
      <c r="TAY34" s="557"/>
      <c r="TAZ34" s="557"/>
      <c r="TBA34" s="557"/>
      <c r="TBB34" s="557"/>
      <c r="TBC34" s="557"/>
      <c r="TBD34" s="557"/>
      <c r="TBE34" s="557"/>
      <c r="TBF34" s="557"/>
      <c r="TBG34" s="661"/>
      <c r="TBH34" s="556"/>
      <c r="TBI34" s="557"/>
      <c r="TBJ34" s="557"/>
      <c r="TBK34" s="557"/>
      <c r="TBL34" s="557"/>
      <c r="TBM34" s="557"/>
      <c r="TBN34" s="557"/>
      <c r="TBO34" s="557"/>
      <c r="TBP34" s="557"/>
      <c r="TBQ34" s="557"/>
      <c r="TBR34" s="557"/>
      <c r="TBS34" s="557"/>
      <c r="TBT34" s="557"/>
      <c r="TBU34" s="557"/>
      <c r="TBV34" s="557"/>
      <c r="TBW34" s="557"/>
      <c r="TBX34" s="557"/>
      <c r="TBY34" s="557"/>
      <c r="TBZ34" s="557"/>
      <c r="TCA34" s="661"/>
      <c r="TCB34" s="556"/>
      <c r="TCC34" s="557"/>
      <c r="TCD34" s="557"/>
      <c r="TCE34" s="557"/>
      <c r="TCF34" s="557"/>
      <c r="TCG34" s="557"/>
      <c r="TCH34" s="557"/>
      <c r="TCI34" s="557"/>
      <c r="TCJ34" s="557"/>
      <c r="TCK34" s="557"/>
      <c r="TCL34" s="557"/>
      <c r="TCM34" s="557"/>
      <c r="TCN34" s="557"/>
      <c r="TCO34" s="557"/>
      <c r="TCP34" s="557"/>
      <c r="TCQ34" s="557"/>
      <c r="TCR34" s="557"/>
      <c r="TCS34" s="557"/>
      <c r="TCT34" s="557"/>
      <c r="TCU34" s="661"/>
      <c r="TCV34" s="556"/>
      <c r="TCW34" s="557"/>
      <c r="TCX34" s="557"/>
      <c r="TCY34" s="557"/>
      <c r="TCZ34" s="557"/>
      <c r="TDA34" s="557"/>
      <c r="TDB34" s="557"/>
      <c r="TDC34" s="557"/>
      <c r="TDD34" s="557"/>
      <c r="TDE34" s="557"/>
      <c r="TDF34" s="557"/>
      <c r="TDG34" s="557"/>
      <c r="TDH34" s="557"/>
      <c r="TDI34" s="557"/>
      <c r="TDJ34" s="557"/>
      <c r="TDK34" s="557"/>
      <c r="TDL34" s="557"/>
      <c r="TDM34" s="557"/>
      <c r="TDN34" s="557"/>
      <c r="TDO34" s="661"/>
      <c r="TDP34" s="556"/>
      <c r="TDQ34" s="557"/>
      <c r="TDR34" s="557"/>
      <c r="TDS34" s="557"/>
      <c r="TDT34" s="557"/>
      <c r="TDU34" s="557"/>
      <c r="TDV34" s="557"/>
      <c r="TDW34" s="557"/>
      <c r="TDX34" s="557"/>
      <c r="TDY34" s="557"/>
      <c r="TDZ34" s="557"/>
      <c r="TEA34" s="557"/>
      <c r="TEB34" s="557"/>
      <c r="TEC34" s="557"/>
      <c r="TED34" s="557"/>
      <c r="TEE34" s="557"/>
      <c r="TEF34" s="557"/>
      <c r="TEG34" s="557"/>
      <c r="TEH34" s="557"/>
      <c r="TEI34" s="661"/>
      <c r="TEJ34" s="556"/>
      <c r="TEK34" s="557"/>
      <c r="TEL34" s="557"/>
      <c r="TEM34" s="557"/>
      <c r="TEN34" s="557"/>
      <c r="TEO34" s="557"/>
      <c r="TEP34" s="557"/>
      <c r="TEQ34" s="557"/>
      <c r="TER34" s="557"/>
      <c r="TES34" s="557"/>
      <c r="TET34" s="557"/>
      <c r="TEU34" s="557"/>
      <c r="TEV34" s="557"/>
      <c r="TEW34" s="557"/>
      <c r="TEX34" s="557"/>
      <c r="TEY34" s="557"/>
      <c r="TEZ34" s="557"/>
      <c r="TFA34" s="557"/>
      <c r="TFB34" s="557"/>
      <c r="TFC34" s="661"/>
      <c r="TFD34" s="556"/>
      <c r="TFE34" s="557"/>
      <c r="TFF34" s="557"/>
      <c r="TFG34" s="557"/>
      <c r="TFH34" s="557"/>
      <c r="TFI34" s="557"/>
      <c r="TFJ34" s="557"/>
      <c r="TFK34" s="557"/>
      <c r="TFL34" s="557"/>
      <c r="TFM34" s="557"/>
      <c r="TFN34" s="557"/>
      <c r="TFO34" s="557"/>
      <c r="TFP34" s="557"/>
      <c r="TFQ34" s="557"/>
      <c r="TFR34" s="557"/>
      <c r="TFS34" s="557"/>
      <c r="TFT34" s="557"/>
      <c r="TFU34" s="557"/>
      <c r="TFV34" s="557"/>
      <c r="TFW34" s="661"/>
      <c r="TFX34" s="556"/>
      <c r="TFY34" s="557"/>
      <c r="TFZ34" s="557"/>
      <c r="TGA34" s="557"/>
      <c r="TGB34" s="557"/>
      <c r="TGC34" s="557"/>
      <c r="TGD34" s="557"/>
      <c r="TGE34" s="557"/>
      <c r="TGF34" s="557"/>
      <c r="TGG34" s="557"/>
      <c r="TGH34" s="557"/>
      <c r="TGI34" s="557"/>
      <c r="TGJ34" s="557"/>
      <c r="TGK34" s="557"/>
      <c r="TGL34" s="557"/>
      <c r="TGM34" s="557"/>
      <c r="TGN34" s="557"/>
      <c r="TGO34" s="557"/>
      <c r="TGP34" s="557"/>
      <c r="TGQ34" s="661"/>
      <c r="TGR34" s="556"/>
      <c r="TGS34" s="557"/>
      <c r="TGT34" s="557"/>
      <c r="TGU34" s="557"/>
      <c r="TGV34" s="557"/>
      <c r="TGW34" s="557"/>
      <c r="TGX34" s="557"/>
      <c r="TGY34" s="557"/>
      <c r="TGZ34" s="557"/>
      <c r="THA34" s="557"/>
      <c r="THB34" s="557"/>
      <c r="THC34" s="557"/>
      <c r="THD34" s="557"/>
      <c r="THE34" s="557"/>
      <c r="THF34" s="557"/>
      <c r="THG34" s="557"/>
      <c r="THH34" s="557"/>
      <c r="THI34" s="557"/>
      <c r="THJ34" s="557"/>
      <c r="THK34" s="661"/>
      <c r="THL34" s="556"/>
      <c r="THM34" s="557"/>
      <c r="THN34" s="557"/>
      <c r="THO34" s="557"/>
      <c r="THP34" s="557"/>
      <c r="THQ34" s="557"/>
      <c r="THR34" s="557"/>
      <c r="THS34" s="557"/>
      <c r="THT34" s="557"/>
      <c r="THU34" s="557"/>
      <c r="THV34" s="557"/>
      <c r="THW34" s="557"/>
      <c r="THX34" s="557"/>
      <c r="THY34" s="557"/>
      <c r="THZ34" s="557"/>
      <c r="TIA34" s="557"/>
      <c r="TIB34" s="557"/>
      <c r="TIC34" s="557"/>
      <c r="TID34" s="557"/>
      <c r="TIE34" s="661"/>
      <c r="TIF34" s="556"/>
      <c r="TIG34" s="557"/>
      <c r="TIH34" s="557"/>
      <c r="TII34" s="557"/>
      <c r="TIJ34" s="557"/>
      <c r="TIK34" s="557"/>
      <c r="TIL34" s="557"/>
      <c r="TIM34" s="557"/>
      <c r="TIN34" s="557"/>
      <c r="TIO34" s="557"/>
      <c r="TIP34" s="557"/>
      <c r="TIQ34" s="557"/>
      <c r="TIR34" s="557"/>
      <c r="TIS34" s="557"/>
      <c r="TIT34" s="557"/>
      <c r="TIU34" s="557"/>
      <c r="TIV34" s="557"/>
      <c r="TIW34" s="557"/>
      <c r="TIX34" s="557"/>
      <c r="TIY34" s="661"/>
      <c r="TIZ34" s="556"/>
      <c r="TJA34" s="557"/>
      <c r="TJB34" s="557"/>
      <c r="TJC34" s="557"/>
      <c r="TJD34" s="557"/>
      <c r="TJE34" s="557"/>
      <c r="TJF34" s="557"/>
      <c r="TJG34" s="557"/>
      <c r="TJH34" s="557"/>
      <c r="TJI34" s="557"/>
      <c r="TJJ34" s="557"/>
      <c r="TJK34" s="557"/>
      <c r="TJL34" s="557"/>
      <c r="TJM34" s="557"/>
      <c r="TJN34" s="557"/>
      <c r="TJO34" s="557"/>
      <c r="TJP34" s="557"/>
      <c r="TJQ34" s="557"/>
      <c r="TJR34" s="557"/>
      <c r="TJS34" s="661"/>
      <c r="TJT34" s="556"/>
      <c r="TJU34" s="557"/>
      <c r="TJV34" s="557"/>
      <c r="TJW34" s="557"/>
      <c r="TJX34" s="557"/>
      <c r="TJY34" s="557"/>
      <c r="TJZ34" s="557"/>
      <c r="TKA34" s="557"/>
      <c r="TKB34" s="557"/>
      <c r="TKC34" s="557"/>
      <c r="TKD34" s="557"/>
      <c r="TKE34" s="557"/>
      <c r="TKF34" s="557"/>
      <c r="TKG34" s="557"/>
      <c r="TKH34" s="557"/>
      <c r="TKI34" s="557"/>
      <c r="TKJ34" s="557"/>
      <c r="TKK34" s="557"/>
      <c r="TKL34" s="557"/>
      <c r="TKM34" s="661"/>
      <c r="TKN34" s="556"/>
      <c r="TKO34" s="557"/>
      <c r="TKP34" s="557"/>
      <c r="TKQ34" s="557"/>
      <c r="TKR34" s="557"/>
      <c r="TKS34" s="557"/>
      <c r="TKT34" s="557"/>
      <c r="TKU34" s="557"/>
      <c r="TKV34" s="557"/>
      <c r="TKW34" s="557"/>
      <c r="TKX34" s="557"/>
      <c r="TKY34" s="557"/>
      <c r="TKZ34" s="557"/>
      <c r="TLA34" s="557"/>
      <c r="TLB34" s="557"/>
      <c r="TLC34" s="557"/>
      <c r="TLD34" s="557"/>
      <c r="TLE34" s="557"/>
      <c r="TLF34" s="557"/>
      <c r="TLG34" s="661"/>
      <c r="TLH34" s="556"/>
      <c r="TLI34" s="557"/>
      <c r="TLJ34" s="557"/>
      <c r="TLK34" s="557"/>
      <c r="TLL34" s="557"/>
      <c r="TLM34" s="557"/>
      <c r="TLN34" s="557"/>
      <c r="TLO34" s="557"/>
      <c r="TLP34" s="557"/>
      <c r="TLQ34" s="557"/>
      <c r="TLR34" s="557"/>
      <c r="TLS34" s="557"/>
      <c r="TLT34" s="557"/>
      <c r="TLU34" s="557"/>
      <c r="TLV34" s="557"/>
      <c r="TLW34" s="557"/>
      <c r="TLX34" s="557"/>
      <c r="TLY34" s="557"/>
      <c r="TLZ34" s="557"/>
      <c r="TMA34" s="661"/>
      <c r="TMB34" s="556"/>
      <c r="TMC34" s="557"/>
      <c r="TMD34" s="557"/>
      <c r="TME34" s="557"/>
      <c r="TMF34" s="557"/>
      <c r="TMG34" s="557"/>
      <c r="TMH34" s="557"/>
      <c r="TMI34" s="557"/>
      <c r="TMJ34" s="557"/>
      <c r="TMK34" s="557"/>
      <c r="TML34" s="557"/>
      <c r="TMM34" s="557"/>
      <c r="TMN34" s="557"/>
      <c r="TMO34" s="557"/>
      <c r="TMP34" s="557"/>
      <c r="TMQ34" s="557"/>
      <c r="TMR34" s="557"/>
      <c r="TMS34" s="557"/>
      <c r="TMT34" s="557"/>
      <c r="TMU34" s="661"/>
      <c r="TMV34" s="556"/>
      <c r="TMW34" s="557"/>
      <c r="TMX34" s="557"/>
      <c r="TMY34" s="557"/>
      <c r="TMZ34" s="557"/>
      <c r="TNA34" s="557"/>
      <c r="TNB34" s="557"/>
      <c r="TNC34" s="557"/>
      <c r="TND34" s="557"/>
      <c r="TNE34" s="557"/>
      <c r="TNF34" s="557"/>
      <c r="TNG34" s="557"/>
      <c r="TNH34" s="557"/>
      <c r="TNI34" s="557"/>
      <c r="TNJ34" s="557"/>
      <c r="TNK34" s="557"/>
      <c r="TNL34" s="557"/>
      <c r="TNM34" s="557"/>
      <c r="TNN34" s="557"/>
      <c r="TNO34" s="661"/>
      <c r="TNP34" s="556"/>
      <c r="TNQ34" s="557"/>
      <c r="TNR34" s="557"/>
      <c r="TNS34" s="557"/>
      <c r="TNT34" s="557"/>
      <c r="TNU34" s="557"/>
      <c r="TNV34" s="557"/>
      <c r="TNW34" s="557"/>
      <c r="TNX34" s="557"/>
      <c r="TNY34" s="557"/>
      <c r="TNZ34" s="557"/>
      <c r="TOA34" s="557"/>
      <c r="TOB34" s="557"/>
      <c r="TOC34" s="557"/>
      <c r="TOD34" s="557"/>
      <c r="TOE34" s="557"/>
      <c r="TOF34" s="557"/>
      <c r="TOG34" s="557"/>
      <c r="TOH34" s="557"/>
      <c r="TOI34" s="661"/>
      <c r="TOJ34" s="556"/>
      <c r="TOK34" s="557"/>
      <c r="TOL34" s="557"/>
      <c r="TOM34" s="557"/>
      <c r="TON34" s="557"/>
      <c r="TOO34" s="557"/>
      <c r="TOP34" s="557"/>
      <c r="TOQ34" s="557"/>
      <c r="TOR34" s="557"/>
      <c r="TOS34" s="557"/>
      <c r="TOT34" s="557"/>
      <c r="TOU34" s="557"/>
      <c r="TOV34" s="557"/>
      <c r="TOW34" s="557"/>
      <c r="TOX34" s="557"/>
      <c r="TOY34" s="557"/>
      <c r="TOZ34" s="557"/>
      <c r="TPA34" s="557"/>
      <c r="TPB34" s="557"/>
      <c r="TPC34" s="661"/>
      <c r="TPD34" s="556"/>
      <c r="TPE34" s="557"/>
      <c r="TPF34" s="557"/>
      <c r="TPG34" s="557"/>
      <c r="TPH34" s="557"/>
      <c r="TPI34" s="557"/>
      <c r="TPJ34" s="557"/>
      <c r="TPK34" s="557"/>
      <c r="TPL34" s="557"/>
      <c r="TPM34" s="557"/>
      <c r="TPN34" s="557"/>
      <c r="TPO34" s="557"/>
      <c r="TPP34" s="557"/>
      <c r="TPQ34" s="557"/>
      <c r="TPR34" s="557"/>
      <c r="TPS34" s="557"/>
      <c r="TPT34" s="557"/>
      <c r="TPU34" s="557"/>
      <c r="TPV34" s="557"/>
      <c r="TPW34" s="661"/>
      <c r="TPX34" s="556"/>
      <c r="TPY34" s="557"/>
      <c r="TPZ34" s="557"/>
      <c r="TQA34" s="557"/>
      <c r="TQB34" s="557"/>
      <c r="TQC34" s="557"/>
      <c r="TQD34" s="557"/>
      <c r="TQE34" s="557"/>
      <c r="TQF34" s="557"/>
      <c r="TQG34" s="557"/>
      <c r="TQH34" s="557"/>
      <c r="TQI34" s="557"/>
      <c r="TQJ34" s="557"/>
      <c r="TQK34" s="557"/>
      <c r="TQL34" s="557"/>
      <c r="TQM34" s="557"/>
      <c r="TQN34" s="557"/>
      <c r="TQO34" s="557"/>
      <c r="TQP34" s="557"/>
      <c r="TQQ34" s="661"/>
      <c r="TQR34" s="556"/>
      <c r="TQS34" s="557"/>
      <c r="TQT34" s="557"/>
      <c r="TQU34" s="557"/>
      <c r="TQV34" s="557"/>
      <c r="TQW34" s="557"/>
      <c r="TQX34" s="557"/>
      <c r="TQY34" s="557"/>
      <c r="TQZ34" s="557"/>
      <c r="TRA34" s="557"/>
      <c r="TRB34" s="557"/>
      <c r="TRC34" s="557"/>
      <c r="TRD34" s="557"/>
      <c r="TRE34" s="557"/>
      <c r="TRF34" s="557"/>
      <c r="TRG34" s="557"/>
      <c r="TRH34" s="557"/>
      <c r="TRI34" s="557"/>
      <c r="TRJ34" s="557"/>
      <c r="TRK34" s="661"/>
      <c r="TRL34" s="556"/>
      <c r="TRM34" s="557"/>
      <c r="TRN34" s="557"/>
      <c r="TRO34" s="557"/>
      <c r="TRP34" s="557"/>
      <c r="TRQ34" s="557"/>
      <c r="TRR34" s="557"/>
      <c r="TRS34" s="557"/>
      <c r="TRT34" s="557"/>
      <c r="TRU34" s="557"/>
      <c r="TRV34" s="557"/>
      <c r="TRW34" s="557"/>
      <c r="TRX34" s="557"/>
      <c r="TRY34" s="557"/>
      <c r="TRZ34" s="557"/>
      <c r="TSA34" s="557"/>
      <c r="TSB34" s="557"/>
      <c r="TSC34" s="557"/>
      <c r="TSD34" s="557"/>
      <c r="TSE34" s="661"/>
      <c r="TSF34" s="556"/>
      <c r="TSG34" s="557"/>
      <c r="TSH34" s="557"/>
      <c r="TSI34" s="557"/>
      <c r="TSJ34" s="557"/>
      <c r="TSK34" s="557"/>
      <c r="TSL34" s="557"/>
      <c r="TSM34" s="557"/>
      <c r="TSN34" s="557"/>
      <c r="TSO34" s="557"/>
      <c r="TSP34" s="557"/>
      <c r="TSQ34" s="557"/>
      <c r="TSR34" s="557"/>
      <c r="TSS34" s="557"/>
      <c r="TST34" s="557"/>
      <c r="TSU34" s="557"/>
      <c r="TSV34" s="557"/>
      <c r="TSW34" s="557"/>
      <c r="TSX34" s="557"/>
      <c r="TSY34" s="661"/>
      <c r="TSZ34" s="556"/>
      <c r="TTA34" s="557"/>
      <c r="TTB34" s="557"/>
      <c r="TTC34" s="557"/>
      <c r="TTD34" s="557"/>
      <c r="TTE34" s="557"/>
      <c r="TTF34" s="557"/>
      <c r="TTG34" s="557"/>
      <c r="TTH34" s="557"/>
      <c r="TTI34" s="557"/>
      <c r="TTJ34" s="557"/>
      <c r="TTK34" s="557"/>
      <c r="TTL34" s="557"/>
      <c r="TTM34" s="557"/>
      <c r="TTN34" s="557"/>
      <c r="TTO34" s="557"/>
      <c r="TTP34" s="557"/>
      <c r="TTQ34" s="557"/>
      <c r="TTR34" s="557"/>
      <c r="TTS34" s="661"/>
      <c r="TTT34" s="556"/>
      <c r="TTU34" s="557"/>
      <c r="TTV34" s="557"/>
      <c r="TTW34" s="557"/>
      <c r="TTX34" s="557"/>
      <c r="TTY34" s="557"/>
      <c r="TTZ34" s="557"/>
      <c r="TUA34" s="557"/>
      <c r="TUB34" s="557"/>
      <c r="TUC34" s="557"/>
      <c r="TUD34" s="557"/>
      <c r="TUE34" s="557"/>
      <c r="TUF34" s="557"/>
      <c r="TUG34" s="557"/>
      <c r="TUH34" s="557"/>
      <c r="TUI34" s="557"/>
      <c r="TUJ34" s="557"/>
      <c r="TUK34" s="557"/>
      <c r="TUL34" s="557"/>
      <c r="TUM34" s="661"/>
      <c r="TUN34" s="556"/>
      <c r="TUO34" s="557"/>
      <c r="TUP34" s="557"/>
      <c r="TUQ34" s="557"/>
      <c r="TUR34" s="557"/>
      <c r="TUS34" s="557"/>
      <c r="TUT34" s="557"/>
      <c r="TUU34" s="557"/>
      <c r="TUV34" s="557"/>
      <c r="TUW34" s="557"/>
      <c r="TUX34" s="557"/>
      <c r="TUY34" s="557"/>
      <c r="TUZ34" s="557"/>
      <c r="TVA34" s="557"/>
      <c r="TVB34" s="557"/>
      <c r="TVC34" s="557"/>
      <c r="TVD34" s="557"/>
      <c r="TVE34" s="557"/>
      <c r="TVF34" s="557"/>
      <c r="TVG34" s="661"/>
      <c r="TVH34" s="556"/>
      <c r="TVI34" s="557"/>
      <c r="TVJ34" s="557"/>
      <c r="TVK34" s="557"/>
      <c r="TVL34" s="557"/>
      <c r="TVM34" s="557"/>
      <c r="TVN34" s="557"/>
      <c r="TVO34" s="557"/>
      <c r="TVP34" s="557"/>
      <c r="TVQ34" s="557"/>
      <c r="TVR34" s="557"/>
      <c r="TVS34" s="557"/>
      <c r="TVT34" s="557"/>
      <c r="TVU34" s="557"/>
      <c r="TVV34" s="557"/>
      <c r="TVW34" s="557"/>
      <c r="TVX34" s="557"/>
      <c r="TVY34" s="557"/>
      <c r="TVZ34" s="557"/>
      <c r="TWA34" s="661"/>
      <c r="TWB34" s="556"/>
      <c r="TWC34" s="557"/>
      <c r="TWD34" s="557"/>
      <c r="TWE34" s="557"/>
      <c r="TWF34" s="557"/>
      <c r="TWG34" s="557"/>
      <c r="TWH34" s="557"/>
      <c r="TWI34" s="557"/>
      <c r="TWJ34" s="557"/>
      <c r="TWK34" s="557"/>
      <c r="TWL34" s="557"/>
      <c r="TWM34" s="557"/>
      <c r="TWN34" s="557"/>
      <c r="TWO34" s="557"/>
      <c r="TWP34" s="557"/>
      <c r="TWQ34" s="557"/>
      <c r="TWR34" s="557"/>
      <c r="TWS34" s="557"/>
      <c r="TWT34" s="557"/>
      <c r="TWU34" s="661"/>
      <c r="TWV34" s="556"/>
      <c r="TWW34" s="557"/>
      <c r="TWX34" s="557"/>
      <c r="TWY34" s="557"/>
      <c r="TWZ34" s="557"/>
      <c r="TXA34" s="557"/>
      <c r="TXB34" s="557"/>
      <c r="TXC34" s="557"/>
      <c r="TXD34" s="557"/>
      <c r="TXE34" s="557"/>
      <c r="TXF34" s="557"/>
      <c r="TXG34" s="557"/>
      <c r="TXH34" s="557"/>
      <c r="TXI34" s="557"/>
      <c r="TXJ34" s="557"/>
      <c r="TXK34" s="557"/>
      <c r="TXL34" s="557"/>
      <c r="TXM34" s="557"/>
      <c r="TXN34" s="557"/>
      <c r="TXO34" s="661"/>
      <c r="TXP34" s="556"/>
      <c r="TXQ34" s="557"/>
      <c r="TXR34" s="557"/>
      <c r="TXS34" s="557"/>
      <c r="TXT34" s="557"/>
      <c r="TXU34" s="557"/>
      <c r="TXV34" s="557"/>
      <c r="TXW34" s="557"/>
      <c r="TXX34" s="557"/>
      <c r="TXY34" s="557"/>
      <c r="TXZ34" s="557"/>
      <c r="TYA34" s="557"/>
      <c r="TYB34" s="557"/>
      <c r="TYC34" s="557"/>
      <c r="TYD34" s="557"/>
      <c r="TYE34" s="557"/>
      <c r="TYF34" s="557"/>
      <c r="TYG34" s="557"/>
      <c r="TYH34" s="557"/>
      <c r="TYI34" s="661"/>
      <c r="TYJ34" s="556"/>
      <c r="TYK34" s="557"/>
      <c r="TYL34" s="557"/>
      <c r="TYM34" s="557"/>
      <c r="TYN34" s="557"/>
      <c r="TYO34" s="557"/>
      <c r="TYP34" s="557"/>
      <c r="TYQ34" s="557"/>
      <c r="TYR34" s="557"/>
      <c r="TYS34" s="557"/>
      <c r="TYT34" s="557"/>
      <c r="TYU34" s="557"/>
      <c r="TYV34" s="557"/>
      <c r="TYW34" s="557"/>
      <c r="TYX34" s="557"/>
      <c r="TYY34" s="557"/>
      <c r="TYZ34" s="557"/>
      <c r="TZA34" s="557"/>
      <c r="TZB34" s="557"/>
      <c r="TZC34" s="661"/>
      <c r="TZD34" s="556"/>
      <c r="TZE34" s="557"/>
      <c r="TZF34" s="557"/>
      <c r="TZG34" s="557"/>
      <c r="TZH34" s="557"/>
      <c r="TZI34" s="557"/>
      <c r="TZJ34" s="557"/>
      <c r="TZK34" s="557"/>
      <c r="TZL34" s="557"/>
      <c r="TZM34" s="557"/>
      <c r="TZN34" s="557"/>
      <c r="TZO34" s="557"/>
      <c r="TZP34" s="557"/>
      <c r="TZQ34" s="557"/>
      <c r="TZR34" s="557"/>
      <c r="TZS34" s="557"/>
      <c r="TZT34" s="557"/>
      <c r="TZU34" s="557"/>
      <c r="TZV34" s="557"/>
      <c r="TZW34" s="661"/>
      <c r="TZX34" s="556"/>
      <c r="TZY34" s="557"/>
      <c r="TZZ34" s="557"/>
      <c r="UAA34" s="557"/>
      <c r="UAB34" s="557"/>
      <c r="UAC34" s="557"/>
      <c r="UAD34" s="557"/>
      <c r="UAE34" s="557"/>
      <c r="UAF34" s="557"/>
      <c r="UAG34" s="557"/>
      <c r="UAH34" s="557"/>
      <c r="UAI34" s="557"/>
      <c r="UAJ34" s="557"/>
      <c r="UAK34" s="557"/>
      <c r="UAL34" s="557"/>
      <c r="UAM34" s="557"/>
      <c r="UAN34" s="557"/>
      <c r="UAO34" s="557"/>
      <c r="UAP34" s="557"/>
      <c r="UAQ34" s="661"/>
      <c r="UAR34" s="556"/>
      <c r="UAS34" s="557"/>
      <c r="UAT34" s="557"/>
      <c r="UAU34" s="557"/>
      <c r="UAV34" s="557"/>
      <c r="UAW34" s="557"/>
      <c r="UAX34" s="557"/>
      <c r="UAY34" s="557"/>
      <c r="UAZ34" s="557"/>
      <c r="UBA34" s="557"/>
      <c r="UBB34" s="557"/>
      <c r="UBC34" s="557"/>
      <c r="UBD34" s="557"/>
      <c r="UBE34" s="557"/>
      <c r="UBF34" s="557"/>
      <c r="UBG34" s="557"/>
      <c r="UBH34" s="557"/>
      <c r="UBI34" s="557"/>
      <c r="UBJ34" s="557"/>
      <c r="UBK34" s="661"/>
      <c r="UBL34" s="556"/>
      <c r="UBM34" s="557"/>
      <c r="UBN34" s="557"/>
      <c r="UBO34" s="557"/>
      <c r="UBP34" s="557"/>
      <c r="UBQ34" s="557"/>
      <c r="UBR34" s="557"/>
      <c r="UBS34" s="557"/>
      <c r="UBT34" s="557"/>
      <c r="UBU34" s="557"/>
      <c r="UBV34" s="557"/>
      <c r="UBW34" s="557"/>
      <c r="UBX34" s="557"/>
      <c r="UBY34" s="557"/>
      <c r="UBZ34" s="557"/>
      <c r="UCA34" s="557"/>
      <c r="UCB34" s="557"/>
      <c r="UCC34" s="557"/>
      <c r="UCD34" s="557"/>
      <c r="UCE34" s="661"/>
      <c r="UCF34" s="556"/>
      <c r="UCG34" s="557"/>
      <c r="UCH34" s="557"/>
      <c r="UCI34" s="557"/>
      <c r="UCJ34" s="557"/>
      <c r="UCK34" s="557"/>
      <c r="UCL34" s="557"/>
      <c r="UCM34" s="557"/>
      <c r="UCN34" s="557"/>
      <c r="UCO34" s="557"/>
      <c r="UCP34" s="557"/>
      <c r="UCQ34" s="557"/>
      <c r="UCR34" s="557"/>
      <c r="UCS34" s="557"/>
      <c r="UCT34" s="557"/>
      <c r="UCU34" s="557"/>
      <c r="UCV34" s="557"/>
      <c r="UCW34" s="557"/>
      <c r="UCX34" s="557"/>
      <c r="UCY34" s="661"/>
      <c r="UCZ34" s="556"/>
      <c r="UDA34" s="557"/>
      <c r="UDB34" s="557"/>
      <c r="UDC34" s="557"/>
      <c r="UDD34" s="557"/>
      <c r="UDE34" s="557"/>
      <c r="UDF34" s="557"/>
      <c r="UDG34" s="557"/>
      <c r="UDH34" s="557"/>
      <c r="UDI34" s="557"/>
      <c r="UDJ34" s="557"/>
      <c r="UDK34" s="557"/>
      <c r="UDL34" s="557"/>
      <c r="UDM34" s="557"/>
      <c r="UDN34" s="557"/>
      <c r="UDO34" s="557"/>
      <c r="UDP34" s="557"/>
      <c r="UDQ34" s="557"/>
      <c r="UDR34" s="557"/>
      <c r="UDS34" s="661"/>
      <c r="UDT34" s="556"/>
      <c r="UDU34" s="557"/>
      <c r="UDV34" s="557"/>
      <c r="UDW34" s="557"/>
      <c r="UDX34" s="557"/>
      <c r="UDY34" s="557"/>
      <c r="UDZ34" s="557"/>
      <c r="UEA34" s="557"/>
      <c r="UEB34" s="557"/>
      <c r="UEC34" s="557"/>
      <c r="UED34" s="557"/>
      <c r="UEE34" s="557"/>
      <c r="UEF34" s="557"/>
      <c r="UEG34" s="557"/>
      <c r="UEH34" s="557"/>
      <c r="UEI34" s="557"/>
      <c r="UEJ34" s="557"/>
      <c r="UEK34" s="557"/>
      <c r="UEL34" s="557"/>
      <c r="UEM34" s="661"/>
      <c r="UEN34" s="556"/>
      <c r="UEO34" s="557"/>
      <c r="UEP34" s="557"/>
      <c r="UEQ34" s="557"/>
      <c r="UER34" s="557"/>
      <c r="UES34" s="557"/>
      <c r="UET34" s="557"/>
      <c r="UEU34" s="557"/>
      <c r="UEV34" s="557"/>
      <c r="UEW34" s="557"/>
      <c r="UEX34" s="557"/>
      <c r="UEY34" s="557"/>
      <c r="UEZ34" s="557"/>
      <c r="UFA34" s="557"/>
      <c r="UFB34" s="557"/>
      <c r="UFC34" s="557"/>
      <c r="UFD34" s="557"/>
      <c r="UFE34" s="557"/>
      <c r="UFF34" s="557"/>
      <c r="UFG34" s="661"/>
      <c r="UFH34" s="556"/>
      <c r="UFI34" s="557"/>
      <c r="UFJ34" s="557"/>
      <c r="UFK34" s="557"/>
      <c r="UFL34" s="557"/>
      <c r="UFM34" s="557"/>
      <c r="UFN34" s="557"/>
      <c r="UFO34" s="557"/>
      <c r="UFP34" s="557"/>
      <c r="UFQ34" s="557"/>
      <c r="UFR34" s="557"/>
      <c r="UFS34" s="557"/>
      <c r="UFT34" s="557"/>
      <c r="UFU34" s="557"/>
      <c r="UFV34" s="557"/>
      <c r="UFW34" s="557"/>
      <c r="UFX34" s="557"/>
      <c r="UFY34" s="557"/>
      <c r="UFZ34" s="557"/>
      <c r="UGA34" s="661"/>
      <c r="UGB34" s="556"/>
      <c r="UGC34" s="557"/>
      <c r="UGD34" s="557"/>
      <c r="UGE34" s="557"/>
      <c r="UGF34" s="557"/>
      <c r="UGG34" s="557"/>
      <c r="UGH34" s="557"/>
      <c r="UGI34" s="557"/>
      <c r="UGJ34" s="557"/>
      <c r="UGK34" s="557"/>
      <c r="UGL34" s="557"/>
      <c r="UGM34" s="557"/>
      <c r="UGN34" s="557"/>
      <c r="UGO34" s="557"/>
      <c r="UGP34" s="557"/>
      <c r="UGQ34" s="557"/>
      <c r="UGR34" s="557"/>
      <c r="UGS34" s="557"/>
      <c r="UGT34" s="557"/>
      <c r="UGU34" s="661"/>
      <c r="UGV34" s="556"/>
      <c r="UGW34" s="557"/>
      <c r="UGX34" s="557"/>
      <c r="UGY34" s="557"/>
      <c r="UGZ34" s="557"/>
      <c r="UHA34" s="557"/>
      <c r="UHB34" s="557"/>
      <c r="UHC34" s="557"/>
      <c r="UHD34" s="557"/>
      <c r="UHE34" s="557"/>
      <c r="UHF34" s="557"/>
      <c r="UHG34" s="557"/>
      <c r="UHH34" s="557"/>
      <c r="UHI34" s="557"/>
      <c r="UHJ34" s="557"/>
      <c r="UHK34" s="557"/>
      <c r="UHL34" s="557"/>
      <c r="UHM34" s="557"/>
      <c r="UHN34" s="557"/>
      <c r="UHO34" s="661"/>
      <c r="UHP34" s="556"/>
      <c r="UHQ34" s="557"/>
      <c r="UHR34" s="557"/>
      <c r="UHS34" s="557"/>
      <c r="UHT34" s="557"/>
      <c r="UHU34" s="557"/>
      <c r="UHV34" s="557"/>
      <c r="UHW34" s="557"/>
      <c r="UHX34" s="557"/>
      <c r="UHY34" s="557"/>
      <c r="UHZ34" s="557"/>
      <c r="UIA34" s="557"/>
      <c r="UIB34" s="557"/>
      <c r="UIC34" s="557"/>
      <c r="UID34" s="557"/>
      <c r="UIE34" s="557"/>
      <c r="UIF34" s="557"/>
      <c r="UIG34" s="557"/>
      <c r="UIH34" s="557"/>
      <c r="UII34" s="661"/>
      <c r="UIJ34" s="556"/>
      <c r="UIK34" s="557"/>
      <c r="UIL34" s="557"/>
      <c r="UIM34" s="557"/>
      <c r="UIN34" s="557"/>
      <c r="UIO34" s="557"/>
      <c r="UIP34" s="557"/>
      <c r="UIQ34" s="557"/>
      <c r="UIR34" s="557"/>
      <c r="UIS34" s="557"/>
      <c r="UIT34" s="557"/>
      <c r="UIU34" s="557"/>
      <c r="UIV34" s="557"/>
      <c r="UIW34" s="557"/>
      <c r="UIX34" s="557"/>
      <c r="UIY34" s="557"/>
      <c r="UIZ34" s="557"/>
      <c r="UJA34" s="557"/>
      <c r="UJB34" s="557"/>
      <c r="UJC34" s="661"/>
      <c r="UJD34" s="556"/>
      <c r="UJE34" s="557"/>
      <c r="UJF34" s="557"/>
      <c r="UJG34" s="557"/>
      <c r="UJH34" s="557"/>
      <c r="UJI34" s="557"/>
      <c r="UJJ34" s="557"/>
      <c r="UJK34" s="557"/>
      <c r="UJL34" s="557"/>
      <c r="UJM34" s="557"/>
      <c r="UJN34" s="557"/>
      <c r="UJO34" s="557"/>
      <c r="UJP34" s="557"/>
      <c r="UJQ34" s="557"/>
      <c r="UJR34" s="557"/>
      <c r="UJS34" s="557"/>
      <c r="UJT34" s="557"/>
      <c r="UJU34" s="557"/>
      <c r="UJV34" s="557"/>
      <c r="UJW34" s="661"/>
      <c r="UJX34" s="556"/>
      <c r="UJY34" s="557"/>
      <c r="UJZ34" s="557"/>
      <c r="UKA34" s="557"/>
      <c r="UKB34" s="557"/>
      <c r="UKC34" s="557"/>
      <c r="UKD34" s="557"/>
      <c r="UKE34" s="557"/>
      <c r="UKF34" s="557"/>
      <c r="UKG34" s="557"/>
      <c r="UKH34" s="557"/>
      <c r="UKI34" s="557"/>
      <c r="UKJ34" s="557"/>
      <c r="UKK34" s="557"/>
      <c r="UKL34" s="557"/>
      <c r="UKM34" s="557"/>
      <c r="UKN34" s="557"/>
      <c r="UKO34" s="557"/>
      <c r="UKP34" s="557"/>
      <c r="UKQ34" s="661"/>
      <c r="UKR34" s="556"/>
      <c r="UKS34" s="557"/>
      <c r="UKT34" s="557"/>
      <c r="UKU34" s="557"/>
      <c r="UKV34" s="557"/>
      <c r="UKW34" s="557"/>
      <c r="UKX34" s="557"/>
      <c r="UKY34" s="557"/>
      <c r="UKZ34" s="557"/>
      <c r="ULA34" s="557"/>
      <c r="ULB34" s="557"/>
      <c r="ULC34" s="557"/>
      <c r="ULD34" s="557"/>
      <c r="ULE34" s="557"/>
      <c r="ULF34" s="557"/>
      <c r="ULG34" s="557"/>
      <c r="ULH34" s="557"/>
      <c r="ULI34" s="557"/>
      <c r="ULJ34" s="557"/>
      <c r="ULK34" s="661"/>
      <c r="ULL34" s="556"/>
      <c r="ULM34" s="557"/>
      <c r="ULN34" s="557"/>
      <c r="ULO34" s="557"/>
      <c r="ULP34" s="557"/>
      <c r="ULQ34" s="557"/>
      <c r="ULR34" s="557"/>
      <c r="ULS34" s="557"/>
      <c r="ULT34" s="557"/>
      <c r="ULU34" s="557"/>
      <c r="ULV34" s="557"/>
      <c r="ULW34" s="557"/>
      <c r="ULX34" s="557"/>
      <c r="ULY34" s="557"/>
      <c r="ULZ34" s="557"/>
      <c r="UMA34" s="557"/>
      <c r="UMB34" s="557"/>
      <c r="UMC34" s="557"/>
      <c r="UMD34" s="557"/>
      <c r="UME34" s="661"/>
      <c r="UMF34" s="556"/>
      <c r="UMG34" s="557"/>
      <c r="UMH34" s="557"/>
      <c r="UMI34" s="557"/>
      <c r="UMJ34" s="557"/>
      <c r="UMK34" s="557"/>
      <c r="UML34" s="557"/>
      <c r="UMM34" s="557"/>
      <c r="UMN34" s="557"/>
      <c r="UMO34" s="557"/>
      <c r="UMP34" s="557"/>
      <c r="UMQ34" s="557"/>
      <c r="UMR34" s="557"/>
      <c r="UMS34" s="557"/>
      <c r="UMT34" s="557"/>
      <c r="UMU34" s="557"/>
      <c r="UMV34" s="557"/>
      <c r="UMW34" s="557"/>
      <c r="UMX34" s="557"/>
      <c r="UMY34" s="661"/>
      <c r="UMZ34" s="556"/>
      <c r="UNA34" s="557"/>
      <c r="UNB34" s="557"/>
      <c r="UNC34" s="557"/>
      <c r="UND34" s="557"/>
      <c r="UNE34" s="557"/>
      <c r="UNF34" s="557"/>
      <c r="UNG34" s="557"/>
      <c r="UNH34" s="557"/>
      <c r="UNI34" s="557"/>
      <c r="UNJ34" s="557"/>
      <c r="UNK34" s="557"/>
      <c r="UNL34" s="557"/>
      <c r="UNM34" s="557"/>
      <c r="UNN34" s="557"/>
      <c r="UNO34" s="557"/>
      <c r="UNP34" s="557"/>
      <c r="UNQ34" s="557"/>
      <c r="UNR34" s="557"/>
      <c r="UNS34" s="661"/>
      <c r="UNT34" s="556"/>
      <c r="UNU34" s="557"/>
      <c r="UNV34" s="557"/>
      <c r="UNW34" s="557"/>
      <c r="UNX34" s="557"/>
      <c r="UNY34" s="557"/>
      <c r="UNZ34" s="557"/>
      <c r="UOA34" s="557"/>
      <c r="UOB34" s="557"/>
      <c r="UOC34" s="557"/>
      <c r="UOD34" s="557"/>
      <c r="UOE34" s="557"/>
      <c r="UOF34" s="557"/>
      <c r="UOG34" s="557"/>
      <c r="UOH34" s="557"/>
      <c r="UOI34" s="557"/>
      <c r="UOJ34" s="557"/>
      <c r="UOK34" s="557"/>
      <c r="UOL34" s="557"/>
      <c r="UOM34" s="661"/>
      <c r="UON34" s="556"/>
      <c r="UOO34" s="557"/>
      <c r="UOP34" s="557"/>
      <c r="UOQ34" s="557"/>
      <c r="UOR34" s="557"/>
      <c r="UOS34" s="557"/>
      <c r="UOT34" s="557"/>
      <c r="UOU34" s="557"/>
      <c r="UOV34" s="557"/>
      <c r="UOW34" s="557"/>
      <c r="UOX34" s="557"/>
      <c r="UOY34" s="557"/>
      <c r="UOZ34" s="557"/>
      <c r="UPA34" s="557"/>
      <c r="UPB34" s="557"/>
      <c r="UPC34" s="557"/>
      <c r="UPD34" s="557"/>
      <c r="UPE34" s="557"/>
      <c r="UPF34" s="557"/>
      <c r="UPG34" s="661"/>
      <c r="UPH34" s="556"/>
      <c r="UPI34" s="557"/>
      <c r="UPJ34" s="557"/>
      <c r="UPK34" s="557"/>
      <c r="UPL34" s="557"/>
      <c r="UPM34" s="557"/>
      <c r="UPN34" s="557"/>
      <c r="UPO34" s="557"/>
      <c r="UPP34" s="557"/>
      <c r="UPQ34" s="557"/>
      <c r="UPR34" s="557"/>
      <c r="UPS34" s="557"/>
      <c r="UPT34" s="557"/>
      <c r="UPU34" s="557"/>
      <c r="UPV34" s="557"/>
      <c r="UPW34" s="557"/>
      <c r="UPX34" s="557"/>
      <c r="UPY34" s="557"/>
      <c r="UPZ34" s="557"/>
      <c r="UQA34" s="661"/>
      <c r="UQB34" s="556"/>
      <c r="UQC34" s="557"/>
      <c r="UQD34" s="557"/>
      <c r="UQE34" s="557"/>
      <c r="UQF34" s="557"/>
      <c r="UQG34" s="557"/>
      <c r="UQH34" s="557"/>
      <c r="UQI34" s="557"/>
      <c r="UQJ34" s="557"/>
      <c r="UQK34" s="557"/>
      <c r="UQL34" s="557"/>
      <c r="UQM34" s="557"/>
      <c r="UQN34" s="557"/>
      <c r="UQO34" s="557"/>
      <c r="UQP34" s="557"/>
      <c r="UQQ34" s="557"/>
      <c r="UQR34" s="557"/>
      <c r="UQS34" s="557"/>
      <c r="UQT34" s="557"/>
      <c r="UQU34" s="661"/>
      <c r="UQV34" s="556"/>
      <c r="UQW34" s="557"/>
      <c r="UQX34" s="557"/>
      <c r="UQY34" s="557"/>
      <c r="UQZ34" s="557"/>
      <c r="URA34" s="557"/>
      <c r="URB34" s="557"/>
      <c r="URC34" s="557"/>
      <c r="URD34" s="557"/>
      <c r="URE34" s="557"/>
      <c r="URF34" s="557"/>
      <c r="URG34" s="557"/>
      <c r="URH34" s="557"/>
      <c r="URI34" s="557"/>
      <c r="URJ34" s="557"/>
      <c r="URK34" s="557"/>
      <c r="URL34" s="557"/>
      <c r="URM34" s="557"/>
      <c r="URN34" s="557"/>
      <c r="URO34" s="661"/>
      <c r="URP34" s="556"/>
      <c r="URQ34" s="557"/>
      <c r="URR34" s="557"/>
      <c r="URS34" s="557"/>
      <c r="URT34" s="557"/>
      <c r="URU34" s="557"/>
      <c r="URV34" s="557"/>
      <c r="URW34" s="557"/>
      <c r="URX34" s="557"/>
      <c r="URY34" s="557"/>
      <c r="URZ34" s="557"/>
      <c r="USA34" s="557"/>
      <c r="USB34" s="557"/>
      <c r="USC34" s="557"/>
      <c r="USD34" s="557"/>
      <c r="USE34" s="557"/>
      <c r="USF34" s="557"/>
      <c r="USG34" s="557"/>
      <c r="USH34" s="557"/>
      <c r="USI34" s="661"/>
      <c r="USJ34" s="556"/>
      <c r="USK34" s="557"/>
      <c r="USL34" s="557"/>
      <c r="USM34" s="557"/>
      <c r="USN34" s="557"/>
      <c r="USO34" s="557"/>
      <c r="USP34" s="557"/>
      <c r="USQ34" s="557"/>
      <c r="USR34" s="557"/>
      <c r="USS34" s="557"/>
      <c r="UST34" s="557"/>
      <c r="USU34" s="557"/>
      <c r="USV34" s="557"/>
      <c r="USW34" s="557"/>
      <c r="USX34" s="557"/>
      <c r="USY34" s="557"/>
      <c r="USZ34" s="557"/>
      <c r="UTA34" s="557"/>
      <c r="UTB34" s="557"/>
      <c r="UTC34" s="661"/>
      <c r="UTD34" s="556"/>
      <c r="UTE34" s="557"/>
      <c r="UTF34" s="557"/>
      <c r="UTG34" s="557"/>
      <c r="UTH34" s="557"/>
      <c r="UTI34" s="557"/>
      <c r="UTJ34" s="557"/>
      <c r="UTK34" s="557"/>
      <c r="UTL34" s="557"/>
      <c r="UTM34" s="557"/>
      <c r="UTN34" s="557"/>
      <c r="UTO34" s="557"/>
      <c r="UTP34" s="557"/>
      <c r="UTQ34" s="557"/>
      <c r="UTR34" s="557"/>
      <c r="UTS34" s="557"/>
      <c r="UTT34" s="557"/>
      <c r="UTU34" s="557"/>
      <c r="UTV34" s="557"/>
      <c r="UTW34" s="661"/>
      <c r="UTX34" s="556"/>
      <c r="UTY34" s="557"/>
      <c r="UTZ34" s="557"/>
      <c r="UUA34" s="557"/>
      <c r="UUB34" s="557"/>
      <c r="UUC34" s="557"/>
      <c r="UUD34" s="557"/>
      <c r="UUE34" s="557"/>
      <c r="UUF34" s="557"/>
      <c r="UUG34" s="557"/>
      <c r="UUH34" s="557"/>
      <c r="UUI34" s="557"/>
      <c r="UUJ34" s="557"/>
      <c r="UUK34" s="557"/>
      <c r="UUL34" s="557"/>
      <c r="UUM34" s="557"/>
      <c r="UUN34" s="557"/>
      <c r="UUO34" s="557"/>
      <c r="UUP34" s="557"/>
      <c r="UUQ34" s="661"/>
      <c r="UUR34" s="556"/>
      <c r="UUS34" s="557"/>
      <c r="UUT34" s="557"/>
      <c r="UUU34" s="557"/>
      <c r="UUV34" s="557"/>
      <c r="UUW34" s="557"/>
      <c r="UUX34" s="557"/>
      <c r="UUY34" s="557"/>
      <c r="UUZ34" s="557"/>
      <c r="UVA34" s="557"/>
      <c r="UVB34" s="557"/>
      <c r="UVC34" s="557"/>
      <c r="UVD34" s="557"/>
      <c r="UVE34" s="557"/>
      <c r="UVF34" s="557"/>
      <c r="UVG34" s="557"/>
      <c r="UVH34" s="557"/>
      <c r="UVI34" s="557"/>
      <c r="UVJ34" s="557"/>
      <c r="UVK34" s="661"/>
      <c r="UVL34" s="556"/>
      <c r="UVM34" s="557"/>
      <c r="UVN34" s="557"/>
      <c r="UVO34" s="557"/>
      <c r="UVP34" s="557"/>
      <c r="UVQ34" s="557"/>
      <c r="UVR34" s="557"/>
      <c r="UVS34" s="557"/>
      <c r="UVT34" s="557"/>
      <c r="UVU34" s="557"/>
      <c r="UVV34" s="557"/>
      <c r="UVW34" s="557"/>
      <c r="UVX34" s="557"/>
      <c r="UVY34" s="557"/>
      <c r="UVZ34" s="557"/>
      <c r="UWA34" s="557"/>
      <c r="UWB34" s="557"/>
      <c r="UWC34" s="557"/>
      <c r="UWD34" s="557"/>
      <c r="UWE34" s="661"/>
      <c r="UWF34" s="556"/>
      <c r="UWG34" s="557"/>
      <c r="UWH34" s="557"/>
      <c r="UWI34" s="557"/>
      <c r="UWJ34" s="557"/>
      <c r="UWK34" s="557"/>
      <c r="UWL34" s="557"/>
      <c r="UWM34" s="557"/>
      <c r="UWN34" s="557"/>
      <c r="UWO34" s="557"/>
      <c r="UWP34" s="557"/>
      <c r="UWQ34" s="557"/>
      <c r="UWR34" s="557"/>
      <c r="UWS34" s="557"/>
      <c r="UWT34" s="557"/>
      <c r="UWU34" s="557"/>
      <c r="UWV34" s="557"/>
      <c r="UWW34" s="557"/>
      <c r="UWX34" s="557"/>
      <c r="UWY34" s="661"/>
      <c r="UWZ34" s="556"/>
      <c r="UXA34" s="557"/>
      <c r="UXB34" s="557"/>
      <c r="UXC34" s="557"/>
      <c r="UXD34" s="557"/>
      <c r="UXE34" s="557"/>
      <c r="UXF34" s="557"/>
      <c r="UXG34" s="557"/>
      <c r="UXH34" s="557"/>
      <c r="UXI34" s="557"/>
      <c r="UXJ34" s="557"/>
      <c r="UXK34" s="557"/>
      <c r="UXL34" s="557"/>
      <c r="UXM34" s="557"/>
      <c r="UXN34" s="557"/>
      <c r="UXO34" s="557"/>
      <c r="UXP34" s="557"/>
      <c r="UXQ34" s="557"/>
      <c r="UXR34" s="557"/>
      <c r="UXS34" s="661"/>
      <c r="UXT34" s="556"/>
      <c r="UXU34" s="557"/>
      <c r="UXV34" s="557"/>
      <c r="UXW34" s="557"/>
      <c r="UXX34" s="557"/>
      <c r="UXY34" s="557"/>
      <c r="UXZ34" s="557"/>
      <c r="UYA34" s="557"/>
      <c r="UYB34" s="557"/>
      <c r="UYC34" s="557"/>
      <c r="UYD34" s="557"/>
      <c r="UYE34" s="557"/>
      <c r="UYF34" s="557"/>
      <c r="UYG34" s="557"/>
      <c r="UYH34" s="557"/>
      <c r="UYI34" s="557"/>
      <c r="UYJ34" s="557"/>
      <c r="UYK34" s="557"/>
      <c r="UYL34" s="557"/>
      <c r="UYM34" s="661"/>
      <c r="UYN34" s="556"/>
      <c r="UYO34" s="557"/>
      <c r="UYP34" s="557"/>
      <c r="UYQ34" s="557"/>
      <c r="UYR34" s="557"/>
      <c r="UYS34" s="557"/>
      <c r="UYT34" s="557"/>
      <c r="UYU34" s="557"/>
      <c r="UYV34" s="557"/>
      <c r="UYW34" s="557"/>
      <c r="UYX34" s="557"/>
      <c r="UYY34" s="557"/>
      <c r="UYZ34" s="557"/>
      <c r="UZA34" s="557"/>
      <c r="UZB34" s="557"/>
      <c r="UZC34" s="557"/>
      <c r="UZD34" s="557"/>
      <c r="UZE34" s="557"/>
      <c r="UZF34" s="557"/>
      <c r="UZG34" s="661"/>
      <c r="UZH34" s="556"/>
      <c r="UZI34" s="557"/>
      <c r="UZJ34" s="557"/>
      <c r="UZK34" s="557"/>
      <c r="UZL34" s="557"/>
      <c r="UZM34" s="557"/>
      <c r="UZN34" s="557"/>
      <c r="UZO34" s="557"/>
      <c r="UZP34" s="557"/>
      <c r="UZQ34" s="557"/>
      <c r="UZR34" s="557"/>
      <c r="UZS34" s="557"/>
      <c r="UZT34" s="557"/>
      <c r="UZU34" s="557"/>
      <c r="UZV34" s="557"/>
      <c r="UZW34" s="557"/>
      <c r="UZX34" s="557"/>
      <c r="UZY34" s="557"/>
      <c r="UZZ34" s="557"/>
      <c r="VAA34" s="661"/>
      <c r="VAB34" s="556"/>
      <c r="VAC34" s="557"/>
      <c r="VAD34" s="557"/>
      <c r="VAE34" s="557"/>
      <c r="VAF34" s="557"/>
      <c r="VAG34" s="557"/>
      <c r="VAH34" s="557"/>
      <c r="VAI34" s="557"/>
      <c r="VAJ34" s="557"/>
      <c r="VAK34" s="557"/>
      <c r="VAL34" s="557"/>
      <c r="VAM34" s="557"/>
      <c r="VAN34" s="557"/>
      <c r="VAO34" s="557"/>
      <c r="VAP34" s="557"/>
      <c r="VAQ34" s="557"/>
      <c r="VAR34" s="557"/>
      <c r="VAS34" s="557"/>
      <c r="VAT34" s="557"/>
      <c r="VAU34" s="661"/>
      <c r="VAV34" s="556"/>
      <c r="VAW34" s="557"/>
      <c r="VAX34" s="557"/>
      <c r="VAY34" s="557"/>
      <c r="VAZ34" s="557"/>
      <c r="VBA34" s="557"/>
      <c r="VBB34" s="557"/>
      <c r="VBC34" s="557"/>
      <c r="VBD34" s="557"/>
      <c r="VBE34" s="557"/>
      <c r="VBF34" s="557"/>
      <c r="VBG34" s="557"/>
      <c r="VBH34" s="557"/>
      <c r="VBI34" s="557"/>
      <c r="VBJ34" s="557"/>
      <c r="VBK34" s="557"/>
      <c r="VBL34" s="557"/>
      <c r="VBM34" s="557"/>
      <c r="VBN34" s="557"/>
      <c r="VBO34" s="661"/>
      <c r="VBP34" s="556"/>
      <c r="VBQ34" s="557"/>
      <c r="VBR34" s="557"/>
      <c r="VBS34" s="557"/>
      <c r="VBT34" s="557"/>
      <c r="VBU34" s="557"/>
      <c r="VBV34" s="557"/>
      <c r="VBW34" s="557"/>
      <c r="VBX34" s="557"/>
      <c r="VBY34" s="557"/>
      <c r="VBZ34" s="557"/>
      <c r="VCA34" s="557"/>
      <c r="VCB34" s="557"/>
      <c r="VCC34" s="557"/>
      <c r="VCD34" s="557"/>
      <c r="VCE34" s="557"/>
      <c r="VCF34" s="557"/>
      <c r="VCG34" s="557"/>
      <c r="VCH34" s="557"/>
      <c r="VCI34" s="661"/>
      <c r="VCJ34" s="556"/>
      <c r="VCK34" s="557"/>
      <c r="VCL34" s="557"/>
      <c r="VCM34" s="557"/>
      <c r="VCN34" s="557"/>
      <c r="VCO34" s="557"/>
      <c r="VCP34" s="557"/>
      <c r="VCQ34" s="557"/>
      <c r="VCR34" s="557"/>
      <c r="VCS34" s="557"/>
      <c r="VCT34" s="557"/>
      <c r="VCU34" s="557"/>
      <c r="VCV34" s="557"/>
      <c r="VCW34" s="557"/>
      <c r="VCX34" s="557"/>
      <c r="VCY34" s="557"/>
      <c r="VCZ34" s="557"/>
      <c r="VDA34" s="557"/>
      <c r="VDB34" s="557"/>
      <c r="VDC34" s="661"/>
      <c r="VDD34" s="556"/>
      <c r="VDE34" s="557"/>
      <c r="VDF34" s="557"/>
      <c r="VDG34" s="557"/>
      <c r="VDH34" s="557"/>
      <c r="VDI34" s="557"/>
      <c r="VDJ34" s="557"/>
      <c r="VDK34" s="557"/>
      <c r="VDL34" s="557"/>
      <c r="VDM34" s="557"/>
      <c r="VDN34" s="557"/>
      <c r="VDO34" s="557"/>
      <c r="VDP34" s="557"/>
      <c r="VDQ34" s="557"/>
      <c r="VDR34" s="557"/>
      <c r="VDS34" s="557"/>
      <c r="VDT34" s="557"/>
      <c r="VDU34" s="557"/>
      <c r="VDV34" s="557"/>
      <c r="VDW34" s="661"/>
      <c r="VDX34" s="556"/>
      <c r="VDY34" s="557"/>
      <c r="VDZ34" s="557"/>
      <c r="VEA34" s="557"/>
      <c r="VEB34" s="557"/>
      <c r="VEC34" s="557"/>
      <c r="VED34" s="557"/>
      <c r="VEE34" s="557"/>
      <c r="VEF34" s="557"/>
      <c r="VEG34" s="557"/>
      <c r="VEH34" s="557"/>
      <c r="VEI34" s="557"/>
      <c r="VEJ34" s="557"/>
      <c r="VEK34" s="557"/>
      <c r="VEL34" s="557"/>
      <c r="VEM34" s="557"/>
      <c r="VEN34" s="557"/>
      <c r="VEO34" s="557"/>
      <c r="VEP34" s="557"/>
      <c r="VEQ34" s="661"/>
      <c r="VER34" s="556"/>
      <c r="VES34" s="557"/>
      <c r="VET34" s="557"/>
      <c r="VEU34" s="557"/>
      <c r="VEV34" s="557"/>
      <c r="VEW34" s="557"/>
      <c r="VEX34" s="557"/>
      <c r="VEY34" s="557"/>
      <c r="VEZ34" s="557"/>
      <c r="VFA34" s="557"/>
      <c r="VFB34" s="557"/>
      <c r="VFC34" s="557"/>
      <c r="VFD34" s="557"/>
      <c r="VFE34" s="557"/>
      <c r="VFF34" s="557"/>
      <c r="VFG34" s="557"/>
      <c r="VFH34" s="557"/>
      <c r="VFI34" s="557"/>
      <c r="VFJ34" s="557"/>
      <c r="VFK34" s="661"/>
      <c r="VFL34" s="556"/>
      <c r="VFM34" s="557"/>
      <c r="VFN34" s="557"/>
      <c r="VFO34" s="557"/>
      <c r="VFP34" s="557"/>
      <c r="VFQ34" s="557"/>
      <c r="VFR34" s="557"/>
      <c r="VFS34" s="557"/>
      <c r="VFT34" s="557"/>
      <c r="VFU34" s="557"/>
      <c r="VFV34" s="557"/>
      <c r="VFW34" s="557"/>
      <c r="VFX34" s="557"/>
      <c r="VFY34" s="557"/>
      <c r="VFZ34" s="557"/>
      <c r="VGA34" s="557"/>
      <c r="VGB34" s="557"/>
      <c r="VGC34" s="557"/>
      <c r="VGD34" s="557"/>
      <c r="VGE34" s="661"/>
      <c r="VGF34" s="556"/>
      <c r="VGG34" s="557"/>
      <c r="VGH34" s="557"/>
      <c r="VGI34" s="557"/>
      <c r="VGJ34" s="557"/>
      <c r="VGK34" s="557"/>
      <c r="VGL34" s="557"/>
      <c r="VGM34" s="557"/>
      <c r="VGN34" s="557"/>
      <c r="VGO34" s="557"/>
      <c r="VGP34" s="557"/>
      <c r="VGQ34" s="557"/>
      <c r="VGR34" s="557"/>
      <c r="VGS34" s="557"/>
      <c r="VGT34" s="557"/>
      <c r="VGU34" s="557"/>
      <c r="VGV34" s="557"/>
      <c r="VGW34" s="557"/>
      <c r="VGX34" s="557"/>
      <c r="VGY34" s="661"/>
      <c r="VGZ34" s="556"/>
      <c r="VHA34" s="557"/>
      <c r="VHB34" s="557"/>
      <c r="VHC34" s="557"/>
      <c r="VHD34" s="557"/>
      <c r="VHE34" s="557"/>
      <c r="VHF34" s="557"/>
      <c r="VHG34" s="557"/>
      <c r="VHH34" s="557"/>
      <c r="VHI34" s="557"/>
      <c r="VHJ34" s="557"/>
      <c r="VHK34" s="557"/>
      <c r="VHL34" s="557"/>
      <c r="VHM34" s="557"/>
      <c r="VHN34" s="557"/>
      <c r="VHO34" s="557"/>
      <c r="VHP34" s="557"/>
      <c r="VHQ34" s="557"/>
      <c r="VHR34" s="557"/>
      <c r="VHS34" s="661"/>
      <c r="VHT34" s="556"/>
      <c r="VHU34" s="557"/>
      <c r="VHV34" s="557"/>
      <c r="VHW34" s="557"/>
      <c r="VHX34" s="557"/>
      <c r="VHY34" s="557"/>
      <c r="VHZ34" s="557"/>
      <c r="VIA34" s="557"/>
      <c r="VIB34" s="557"/>
      <c r="VIC34" s="557"/>
      <c r="VID34" s="557"/>
      <c r="VIE34" s="557"/>
      <c r="VIF34" s="557"/>
      <c r="VIG34" s="557"/>
      <c r="VIH34" s="557"/>
      <c r="VII34" s="557"/>
      <c r="VIJ34" s="557"/>
      <c r="VIK34" s="557"/>
      <c r="VIL34" s="557"/>
      <c r="VIM34" s="661"/>
      <c r="VIN34" s="556"/>
      <c r="VIO34" s="557"/>
      <c r="VIP34" s="557"/>
      <c r="VIQ34" s="557"/>
      <c r="VIR34" s="557"/>
      <c r="VIS34" s="557"/>
      <c r="VIT34" s="557"/>
      <c r="VIU34" s="557"/>
      <c r="VIV34" s="557"/>
      <c r="VIW34" s="557"/>
      <c r="VIX34" s="557"/>
      <c r="VIY34" s="557"/>
      <c r="VIZ34" s="557"/>
      <c r="VJA34" s="557"/>
      <c r="VJB34" s="557"/>
      <c r="VJC34" s="557"/>
      <c r="VJD34" s="557"/>
      <c r="VJE34" s="557"/>
      <c r="VJF34" s="557"/>
      <c r="VJG34" s="661"/>
      <c r="VJH34" s="556"/>
      <c r="VJI34" s="557"/>
      <c r="VJJ34" s="557"/>
      <c r="VJK34" s="557"/>
      <c r="VJL34" s="557"/>
      <c r="VJM34" s="557"/>
      <c r="VJN34" s="557"/>
      <c r="VJO34" s="557"/>
      <c r="VJP34" s="557"/>
      <c r="VJQ34" s="557"/>
      <c r="VJR34" s="557"/>
      <c r="VJS34" s="557"/>
      <c r="VJT34" s="557"/>
      <c r="VJU34" s="557"/>
      <c r="VJV34" s="557"/>
      <c r="VJW34" s="557"/>
      <c r="VJX34" s="557"/>
      <c r="VJY34" s="557"/>
      <c r="VJZ34" s="557"/>
      <c r="VKA34" s="661"/>
      <c r="VKB34" s="556"/>
      <c r="VKC34" s="557"/>
      <c r="VKD34" s="557"/>
      <c r="VKE34" s="557"/>
      <c r="VKF34" s="557"/>
      <c r="VKG34" s="557"/>
      <c r="VKH34" s="557"/>
      <c r="VKI34" s="557"/>
      <c r="VKJ34" s="557"/>
      <c r="VKK34" s="557"/>
      <c r="VKL34" s="557"/>
      <c r="VKM34" s="557"/>
      <c r="VKN34" s="557"/>
      <c r="VKO34" s="557"/>
      <c r="VKP34" s="557"/>
      <c r="VKQ34" s="557"/>
      <c r="VKR34" s="557"/>
      <c r="VKS34" s="557"/>
      <c r="VKT34" s="557"/>
      <c r="VKU34" s="661"/>
      <c r="VKV34" s="556"/>
      <c r="VKW34" s="557"/>
      <c r="VKX34" s="557"/>
      <c r="VKY34" s="557"/>
      <c r="VKZ34" s="557"/>
      <c r="VLA34" s="557"/>
      <c r="VLB34" s="557"/>
      <c r="VLC34" s="557"/>
      <c r="VLD34" s="557"/>
      <c r="VLE34" s="557"/>
      <c r="VLF34" s="557"/>
      <c r="VLG34" s="557"/>
      <c r="VLH34" s="557"/>
      <c r="VLI34" s="557"/>
      <c r="VLJ34" s="557"/>
      <c r="VLK34" s="557"/>
      <c r="VLL34" s="557"/>
      <c r="VLM34" s="557"/>
      <c r="VLN34" s="557"/>
      <c r="VLO34" s="661"/>
      <c r="VLP34" s="556"/>
      <c r="VLQ34" s="557"/>
      <c r="VLR34" s="557"/>
      <c r="VLS34" s="557"/>
      <c r="VLT34" s="557"/>
      <c r="VLU34" s="557"/>
      <c r="VLV34" s="557"/>
      <c r="VLW34" s="557"/>
      <c r="VLX34" s="557"/>
      <c r="VLY34" s="557"/>
      <c r="VLZ34" s="557"/>
      <c r="VMA34" s="557"/>
      <c r="VMB34" s="557"/>
      <c r="VMC34" s="557"/>
      <c r="VMD34" s="557"/>
      <c r="VME34" s="557"/>
      <c r="VMF34" s="557"/>
      <c r="VMG34" s="557"/>
      <c r="VMH34" s="557"/>
      <c r="VMI34" s="661"/>
      <c r="VMJ34" s="556"/>
      <c r="VMK34" s="557"/>
      <c r="VML34" s="557"/>
      <c r="VMM34" s="557"/>
      <c r="VMN34" s="557"/>
      <c r="VMO34" s="557"/>
      <c r="VMP34" s="557"/>
      <c r="VMQ34" s="557"/>
      <c r="VMR34" s="557"/>
      <c r="VMS34" s="557"/>
      <c r="VMT34" s="557"/>
      <c r="VMU34" s="557"/>
      <c r="VMV34" s="557"/>
      <c r="VMW34" s="557"/>
      <c r="VMX34" s="557"/>
      <c r="VMY34" s="557"/>
      <c r="VMZ34" s="557"/>
      <c r="VNA34" s="557"/>
      <c r="VNB34" s="557"/>
      <c r="VNC34" s="661"/>
      <c r="VND34" s="556"/>
      <c r="VNE34" s="557"/>
      <c r="VNF34" s="557"/>
      <c r="VNG34" s="557"/>
      <c r="VNH34" s="557"/>
      <c r="VNI34" s="557"/>
      <c r="VNJ34" s="557"/>
      <c r="VNK34" s="557"/>
      <c r="VNL34" s="557"/>
      <c r="VNM34" s="557"/>
      <c r="VNN34" s="557"/>
      <c r="VNO34" s="557"/>
      <c r="VNP34" s="557"/>
      <c r="VNQ34" s="557"/>
      <c r="VNR34" s="557"/>
      <c r="VNS34" s="557"/>
      <c r="VNT34" s="557"/>
      <c r="VNU34" s="557"/>
      <c r="VNV34" s="557"/>
      <c r="VNW34" s="661"/>
      <c r="VNX34" s="556"/>
      <c r="VNY34" s="557"/>
      <c r="VNZ34" s="557"/>
      <c r="VOA34" s="557"/>
      <c r="VOB34" s="557"/>
      <c r="VOC34" s="557"/>
      <c r="VOD34" s="557"/>
      <c r="VOE34" s="557"/>
      <c r="VOF34" s="557"/>
      <c r="VOG34" s="557"/>
      <c r="VOH34" s="557"/>
      <c r="VOI34" s="557"/>
      <c r="VOJ34" s="557"/>
      <c r="VOK34" s="557"/>
      <c r="VOL34" s="557"/>
      <c r="VOM34" s="557"/>
      <c r="VON34" s="557"/>
      <c r="VOO34" s="557"/>
      <c r="VOP34" s="557"/>
      <c r="VOQ34" s="661"/>
      <c r="VOR34" s="556"/>
      <c r="VOS34" s="557"/>
      <c r="VOT34" s="557"/>
      <c r="VOU34" s="557"/>
      <c r="VOV34" s="557"/>
      <c r="VOW34" s="557"/>
      <c r="VOX34" s="557"/>
      <c r="VOY34" s="557"/>
      <c r="VOZ34" s="557"/>
      <c r="VPA34" s="557"/>
      <c r="VPB34" s="557"/>
      <c r="VPC34" s="557"/>
      <c r="VPD34" s="557"/>
      <c r="VPE34" s="557"/>
      <c r="VPF34" s="557"/>
      <c r="VPG34" s="557"/>
      <c r="VPH34" s="557"/>
      <c r="VPI34" s="557"/>
      <c r="VPJ34" s="557"/>
      <c r="VPK34" s="661"/>
      <c r="VPL34" s="556"/>
      <c r="VPM34" s="557"/>
      <c r="VPN34" s="557"/>
      <c r="VPO34" s="557"/>
      <c r="VPP34" s="557"/>
      <c r="VPQ34" s="557"/>
      <c r="VPR34" s="557"/>
      <c r="VPS34" s="557"/>
      <c r="VPT34" s="557"/>
      <c r="VPU34" s="557"/>
      <c r="VPV34" s="557"/>
      <c r="VPW34" s="557"/>
      <c r="VPX34" s="557"/>
      <c r="VPY34" s="557"/>
      <c r="VPZ34" s="557"/>
      <c r="VQA34" s="557"/>
      <c r="VQB34" s="557"/>
      <c r="VQC34" s="557"/>
      <c r="VQD34" s="557"/>
      <c r="VQE34" s="661"/>
      <c r="VQF34" s="556"/>
      <c r="VQG34" s="557"/>
      <c r="VQH34" s="557"/>
      <c r="VQI34" s="557"/>
      <c r="VQJ34" s="557"/>
      <c r="VQK34" s="557"/>
      <c r="VQL34" s="557"/>
      <c r="VQM34" s="557"/>
      <c r="VQN34" s="557"/>
      <c r="VQO34" s="557"/>
      <c r="VQP34" s="557"/>
      <c r="VQQ34" s="557"/>
      <c r="VQR34" s="557"/>
      <c r="VQS34" s="557"/>
      <c r="VQT34" s="557"/>
      <c r="VQU34" s="557"/>
      <c r="VQV34" s="557"/>
      <c r="VQW34" s="557"/>
      <c r="VQX34" s="557"/>
      <c r="VQY34" s="661"/>
      <c r="VQZ34" s="556"/>
      <c r="VRA34" s="557"/>
      <c r="VRB34" s="557"/>
      <c r="VRC34" s="557"/>
      <c r="VRD34" s="557"/>
      <c r="VRE34" s="557"/>
      <c r="VRF34" s="557"/>
      <c r="VRG34" s="557"/>
      <c r="VRH34" s="557"/>
      <c r="VRI34" s="557"/>
      <c r="VRJ34" s="557"/>
      <c r="VRK34" s="557"/>
      <c r="VRL34" s="557"/>
      <c r="VRM34" s="557"/>
      <c r="VRN34" s="557"/>
      <c r="VRO34" s="557"/>
      <c r="VRP34" s="557"/>
      <c r="VRQ34" s="557"/>
      <c r="VRR34" s="557"/>
      <c r="VRS34" s="661"/>
      <c r="VRT34" s="556"/>
      <c r="VRU34" s="557"/>
      <c r="VRV34" s="557"/>
      <c r="VRW34" s="557"/>
      <c r="VRX34" s="557"/>
      <c r="VRY34" s="557"/>
      <c r="VRZ34" s="557"/>
      <c r="VSA34" s="557"/>
      <c r="VSB34" s="557"/>
      <c r="VSC34" s="557"/>
      <c r="VSD34" s="557"/>
      <c r="VSE34" s="557"/>
      <c r="VSF34" s="557"/>
      <c r="VSG34" s="557"/>
      <c r="VSH34" s="557"/>
      <c r="VSI34" s="557"/>
      <c r="VSJ34" s="557"/>
      <c r="VSK34" s="557"/>
      <c r="VSL34" s="557"/>
      <c r="VSM34" s="661"/>
      <c r="VSN34" s="556"/>
      <c r="VSO34" s="557"/>
      <c r="VSP34" s="557"/>
      <c r="VSQ34" s="557"/>
      <c r="VSR34" s="557"/>
      <c r="VSS34" s="557"/>
      <c r="VST34" s="557"/>
      <c r="VSU34" s="557"/>
      <c r="VSV34" s="557"/>
      <c r="VSW34" s="557"/>
      <c r="VSX34" s="557"/>
      <c r="VSY34" s="557"/>
      <c r="VSZ34" s="557"/>
      <c r="VTA34" s="557"/>
      <c r="VTB34" s="557"/>
      <c r="VTC34" s="557"/>
      <c r="VTD34" s="557"/>
      <c r="VTE34" s="557"/>
      <c r="VTF34" s="557"/>
      <c r="VTG34" s="661"/>
      <c r="VTH34" s="556"/>
      <c r="VTI34" s="557"/>
      <c r="VTJ34" s="557"/>
      <c r="VTK34" s="557"/>
      <c r="VTL34" s="557"/>
      <c r="VTM34" s="557"/>
      <c r="VTN34" s="557"/>
      <c r="VTO34" s="557"/>
      <c r="VTP34" s="557"/>
      <c r="VTQ34" s="557"/>
      <c r="VTR34" s="557"/>
      <c r="VTS34" s="557"/>
      <c r="VTT34" s="557"/>
      <c r="VTU34" s="557"/>
      <c r="VTV34" s="557"/>
      <c r="VTW34" s="557"/>
      <c r="VTX34" s="557"/>
      <c r="VTY34" s="557"/>
      <c r="VTZ34" s="557"/>
      <c r="VUA34" s="661"/>
      <c r="VUB34" s="556"/>
      <c r="VUC34" s="557"/>
      <c r="VUD34" s="557"/>
      <c r="VUE34" s="557"/>
      <c r="VUF34" s="557"/>
      <c r="VUG34" s="557"/>
      <c r="VUH34" s="557"/>
      <c r="VUI34" s="557"/>
      <c r="VUJ34" s="557"/>
      <c r="VUK34" s="557"/>
      <c r="VUL34" s="557"/>
      <c r="VUM34" s="557"/>
      <c r="VUN34" s="557"/>
      <c r="VUO34" s="557"/>
      <c r="VUP34" s="557"/>
      <c r="VUQ34" s="557"/>
      <c r="VUR34" s="557"/>
      <c r="VUS34" s="557"/>
      <c r="VUT34" s="557"/>
      <c r="VUU34" s="661"/>
      <c r="VUV34" s="556"/>
      <c r="VUW34" s="557"/>
      <c r="VUX34" s="557"/>
      <c r="VUY34" s="557"/>
      <c r="VUZ34" s="557"/>
      <c r="VVA34" s="557"/>
      <c r="VVB34" s="557"/>
      <c r="VVC34" s="557"/>
      <c r="VVD34" s="557"/>
      <c r="VVE34" s="557"/>
      <c r="VVF34" s="557"/>
      <c r="VVG34" s="557"/>
      <c r="VVH34" s="557"/>
      <c r="VVI34" s="557"/>
      <c r="VVJ34" s="557"/>
      <c r="VVK34" s="557"/>
      <c r="VVL34" s="557"/>
      <c r="VVM34" s="557"/>
      <c r="VVN34" s="557"/>
      <c r="VVO34" s="661"/>
      <c r="VVP34" s="556"/>
      <c r="VVQ34" s="557"/>
      <c r="VVR34" s="557"/>
      <c r="VVS34" s="557"/>
      <c r="VVT34" s="557"/>
      <c r="VVU34" s="557"/>
      <c r="VVV34" s="557"/>
      <c r="VVW34" s="557"/>
      <c r="VVX34" s="557"/>
      <c r="VVY34" s="557"/>
      <c r="VVZ34" s="557"/>
      <c r="VWA34" s="557"/>
      <c r="VWB34" s="557"/>
      <c r="VWC34" s="557"/>
      <c r="VWD34" s="557"/>
      <c r="VWE34" s="557"/>
      <c r="VWF34" s="557"/>
      <c r="VWG34" s="557"/>
      <c r="VWH34" s="557"/>
      <c r="VWI34" s="661"/>
      <c r="VWJ34" s="556"/>
      <c r="VWK34" s="557"/>
      <c r="VWL34" s="557"/>
      <c r="VWM34" s="557"/>
      <c r="VWN34" s="557"/>
      <c r="VWO34" s="557"/>
      <c r="VWP34" s="557"/>
      <c r="VWQ34" s="557"/>
      <c r="VWR34" s="557"/>
      <c r="VWS34" s="557"/>
      <c r="VWT34" s="557"/>
      <c r="VWU34" s="557"/>
      <c r="VWV34" s="557"/>
      <c r="VWW34" s="557"/>
      <c r="VWX34" s="557"/>
      <c r="VWY34" s="557"/>
      <c r="VWZ34" s="557"/>
      <c r="VXA34" s="557"/>
      <c r="VXB34" s="557"/>
      <c r="VXC34" s="661"/>
      <c r="VXD34" s="556"/>
      <c r="VXE34" s="557"/>
      <c r="VXF34" s="557"/>
      <c r="VXG34" s="557"/>
      <c r="VXH34" s="557"/>
      <c r="VXI34" s="557"/>
      <c r="VXJ34" s="557"/>
      <c r="VXK34" s="557"/>
      <c r="VXL34" s="557"/>
      <c r="VXM34" s="557"/>
      <c r="VXN34" s="557"/>
      <c r="VXO34" s="557"/>
      <c r="VXP34" s="557"/>
      <c r="VXQ34" s="557"/>
      <c r="VXR34" s="557"/>
      <c r="VXS34" s="557"/>
      <c r="VXT34" s="557"/>
      <c r="VXU34" s="557"/>
      <c r="VXV34" s="557"/>
      <c r="VXW34" s="661"/>
      <c r="VXX34" s="556"/>
      <c r="VXY34" s="557"/>
      <c r="VXZ34" s="557"/>
      <c r="VYA34" s="557"/>
      <c r="VYB34" s="557"/>
      <c r="VYC34" s="557"/>
      <c r="VYD34" s="557"/>
      <c r="VYE34" s="557"/>
      <c r="VYF34" s="557"/>
      <c r="VYG34" s="557"/>
      <c r="VYH34" s="557"/>
      <c r="VYI34" s="557"/>
      <c r="VYJ34" s="557"/>
      <c r="VYK34" s="557"/>
      <c r="VYL34" s="557"/>
      <c r="VYM34" s="557"/>
      <c r="VYN34" s="557"/>
      <c r="VYO34" s="557"/>
      <c r="VYP34" s="557"/>
      <c r="VYQ34" s="661"/>
      <c r="VYR34" s="556"/>
      <c r="VYS34" s="557"/>
      <c r="VYT34" s="557"/>
      <c r="VYU34" s="557"/>
      <c r="VYV34" s="557"/>
      <c r="VYW34" s="557"/>
      <c r="VYX34" s="557"/>
      <c r="VYY34" s="557"/>
      <c r="VYZ34" s="557"/>
      <c r="VZA34" s="557"/>
      <c r="VZB34" s="557"/>
      <c r="VZC34" s="557"/>
      <c r="VZD34" s="557"/>
      <c r="VZE34" s="557"/>
      <c r="VZF34" s="557"/>
      <c r="VZG34" s="557"/>
      <c r="VZH34" s="557"/>
      <c r="VZI34" s="557"/>
      <c r="VZJ34" s="557"/>
      <c r="VZK34" s="661"/>
      <c r="VZL34" s="556"/>
      <c r="VZM34" s="557"/>
      <c r="VZN34" s="557"/>
      <c r="VZO34" s="557"/>
      <c r="VZP34" s="557"/>
      <c r="VZQ34" s="557"/>
      <c r="VZR34" s="557"/>
      <c r="VZS34" s="557"/>
      <c r="VZT34" s="557"/>
      <c r="VZU34" s="557"/>
      <c r="VZV34" s="557"/>
      <c r="VZW34" s="557"/>
      <c r="VZX34" s="557"/>
      <c r="VZY34" s="557"/>
      <c r="VZZ34" s="557"/>
      <c r="WAA34" s="557"/>
      <c r="WAB34" s="557"/>
      <c r="WAC34" s="557"/>
      <c r="WAD34" s="557"/>
      <c r="WAE34" s="661"/>
      <c r="WAF34" s="556"/>
      <c r="WAG34" s="557"/>
      <c r="WAH34" s="557"/>
      <c r="WAI34" s="557"/>
      <c r="WAJ34" s="557"/>
      <c r="WAK34" s="557"/>
      <c r="WAL34" s="557"/>
      <c r="WAM34" s="557"/>
      <c r="WAN34" s="557"/>
      <c r="WAO34" s="557"/>
      <c r="WAP34" s="557"/>
      <c r="WAQ34" s="557"/>
      <c r="WAR34" s="557"/>
      <c r="WAS34" s="557"/>
      <c r="WAT34" s="557"/>
      <c r="WAU34" s="557"/>
      <c r="WAV34" s="557"/>
      <c r="WAW34" s="557"/>
      <c r="WAX34" s="557"/>
      <c r="WAY34" s="661"/>
      <c r="WAZ34" s="556"/>
      <c r="WBA34" s="557"/>
      <c r="WBB34" s="557"/>
      <c r="WBC34" s="557"/>
      <c r="WBD34" s="557"/>
      <c r="WBE34" s="557"/>
      <c r="WBF34" s="557"/>
      <c r="WBG34" s="557"/>
      <c r="WBH34" s="557"/>
      <c r="WBI34" s="557"/>
      <c r="WBJ34" s="557"/>
      <c r="WBK34" s="557"/>
      <c r="WBL34" s="557"/>
      <c r="WBM34" s="557"/>
      <c r="WBN34" s="557"/>
      <c r="WBO34" s="557"/>
      <c r="WBP34" s="557"/>
      <c r="WBQ34" s="557"/>
      <c r="WBR34" s="557"/>
      <c r="WBS34" s="661"/>
      <c r="WBT34" s="556"/>
      <c r="WBU34" s="557"/>
      <c r="WBV34" s="557"/>
      <c r="WBW34" s="557"/>
      <c r="WBX34" s="557"/>
      <c r="WBY34" s="557"/>
      <c r="WBZ34" s="557"/>
      <c r="WCA34" s="557"/>
      <c r="WCB34" s="557"/>
      <c r="WCC34" s="557"/>
      <c r="WCD34" s="557"/>
      <c r="WCE34" s="557"/>
      <c r="WCF34" s="557"/>
      <c r="WCG34" s="557"/>
      <c r="WCH34" s="557"/>
      <c r="WCI34" s="557"/>
      <c r="WCJ34" s="557"/>
      <c r="WCK34" s="557"/>
      <c r="WCL34" s="557"/>
      <c r="WCM34" s="661"/>
      <c r="WCN34" s="556"/>
      <c r="WCO34" s="557"/>
      <c r="WCP34" s="557"/>
      <c r="WCQ34" s="557"/>
      <c r="WCR34" s="557"/>
      <c r="WCS34" s="557"/>
      <c r="WCT34" s="557"/>
      <c r="WCU34" s="557"/>
      <c r="WCV34" s="557"/>
      <c r="WCW34" s="557"/>
      <c r="WCX34" s="557"/>
      <c r="WCY34" s="557"/>
      <c r="WCZ34" s="557"/>
      <c r="WDA34" s="557"/>
      <c r="WDB34" s="557"/>
      <c r="WDC34" s="557"/>
      <c r="WDD34" s="557"/>
      <c r="WDE34" s="557"/>
      <c r="WDF34" s="557"/>
      <c r="WDG34" s="661"/>
      <c r="WDH34" s="556"/>
      <c r="WDI34" s="557"/>
      <c r="WDJ34" s="557"/>
      <c r="WDK34" s="557"/>
      <c r="WDL34" s="557"/>
      <c r="WDM34" s="557"/>
      <c r="WDN34" s="557"/>
      <c r="WDO34" s="557"/>
      <c r="WDP34" s="557"/>
      <c r="WDQ34" s="557"/>
      <c r="WDR34" s="557"/>
      <c r="WDS34" s="557"/>
      <c r="WDT34" s="557"/>
      <c r="WDU34" s="557"/>
      <c r="WDV34" s="557"/>
      <c r="WDW34" s="557"/>
      <c r="WDX34" s="557"/>
      <c r="WDY34" s="557"/>
      <c r="WDZ34" s="557"/>
      <c r="WEA34" s="661"/>
      <c r="WEB34" s="556"/>
      <c r="WEC34" s="557"/>
      <c r="WED34" s="557"/>
      <c r="WEE34" s="557"/>
      <c r="WEF34" s="557"/>
      <c r="WEG34" s="557"/>
      <c r="WEH34" s="557"/>
      <c r="WEI34" s="557"/>
      <c r="WEJ34" s="557"/>
      <c r="WEK34" s="557"/>
      <c r="WEL34" s="557"/>
      <c r="WEM34" s="557"/>
      <c r="WEN34" s="557"/>
      <c r="WEO34" s="557"/>
      <c r="WEP34" s="557"/>
      <c r="WEQ34" s="557"/>
      <c r="WER34" s="557"/>
      <c r="WES34" s="557"/>
      <c r="WET34" s="557"/>
      <c r="WEU34" s="661"/>
      <c r="WEV34" s="556"/>
      <c r="WEW34" s="557"/>
      <c r="WEX34" s="557"/>
      <c r="WEY34" s="557"/>
      <c r="WEZ34" s="557"/>
      <c r="WFA34" s="557"/>
      <c r="WFB34" s="557"/>
      <c r="WFC34" s="557"/>
      <c r="WFD34" s="557"/>
      <c r="WFE34" s="557"/>
      <c r="WFF34" s="557"/>
      <c r="WFG34" s="557"/>
      <c r="WFH34" s="557"/>
      <c r="WFI34" s="557"/>
      <c r="WFJ34" s="557"/>
      <c r="WFK34" s="557"/>
      <c r="WFL34" s="557"/>
      <c r="WFM34" s="557"/>
      <c r="WFN34" s="557"/>
      <c r="WFO34" s="661"/>
      <c r="WFP34" s="556"/>
      <c r="WFQ34" s="557"/>
      <c r="WFR34" s="557"/>
      <c r="WFS34" s="557"/>
      <c r="WFT34" s="557"/>
      <c r="WFU34" s="557"/>
      <c r="WFV34" s="557"/>
      <c r="WFW34" s="557"/>
      <c r="WFX34" s="557"/>
      <c r="WFY34" s="557"/>
      <c r="WFZ34" s="557"/>
      <c r="WGA34" s="557"/>
      <c r="WGB34" s="557"/>
      <c r="WGC34" s="557"/>
      <c r="WGD34" s="557"/>
      <c r="WGE34" s="557"/>
      <c r="WGF34" s="557"/>
      <c r="WGG34" s="557"/>
      <c r="WGH34" s="557"/>
      <c r="WGI34" s="661"/>
      <c r="WGJ34" s="556"/>
      <c r="WGK34" s="557"/>
      <c r="WGL34" s="557"/>
      <c r="WGM34" s="557"/>
      <c r="WGN34" s="557"/>
      <c r="WGO34" s="557"/>
      <c r="WGP34" s="557"/>
      <c r="WGQ34" s="557"/>
      <c r="WGR34" s="557"/>
      <c r="WGS34" s="557"/>
      <c r="WGT34" s="557"/>
      <c r="WGU34" s="557"/>
      <c r="WGV34" s="557"/>
      <c r="WGW34" s="557"/>
      <c r="WGX34" s="557"/>
      <c r="WGY34" s="557"/>
      <c r="WGZ34" s="557"/>
      <c r="WHA34" s="557"/>
      <c r="WHB34" s="557"/>
      <c r="WHC34" s="661"/>
      <c r="WHD34" s="556"/>
      <c r="WHE34" s="557"/>
      <c r="WHF34" s="557"/>
      <c r="WHG34" s="557"/>
      <c r="WHH34" s="557"/>
      <c r="WHI34" s="557"/>
      <c r="WHJ34" s="557"/>
      <c r="WHK34" s="557"/>
      <c r="WHL34" s="557"/>
      <c r="WHM34" s="557"/>
      <c r="WHN34" s="557"/>
      <c r="WHO34" s="557"/>
      <c r="WHP34" s="557"/>
      <c r="WHQ34" s="557"/>
      <c r="WHR34" s="557"/>
      <c r="WHS34" s="557"/>
      <c r="WHT34" s="557"/>
      <c r="WHU34" s="557"/>
      <c r="WHV34" s="557"/>
      <c r="WHW34" s="661"/>
      <c r="WHX34" s="556"/>
      <c r="WHY34" s="557"/>
      <c r="WHZ34" s="557"/>
      <c r="WIA34" s="557"/>
      <c r="WIB34" s="557"/>
      <c r="WIC34" s="557"/>
      <c r="WID34" s="557"/>
      <c r="WIE34" s="557"/>
      <c r="WIF34" s="557"/>
      <c r="WIG34" s="557"/>
      <c r="WIH34" s="557"/>
      <c r="WII34" s="557"/>
      <c r="WIJ34" s="557"/>
      <c r="WIK34" s="557"/>
      <c r="WIL34" s="557"/>
      <c r="WIM34" s="557"/>
      <c r="WIN34" s="557"/>
      <c r="WIO34" s="557"/>
      <c r="WIP34" s="557"/>
      <c r="WIQ34" s="661"/>
      <c r="WIR34" s="556"/>
      <c r="WIS34" s="557"/>
      <c r="WIT34" s="557"/>
      <c r="WIU34" s="557"/>
      <c r="WIV34" s="557"/>
      <c r="WIW34" s="557"/>
      <c r="WIX34" s="557"/>
      <c r="WIY34" s="557"/>
      <c r="WIZ34" s="557"/>
      <c r="WJA34" s="557"/>
      <c r="WJB34" s="557"/>
      <c r="WJC34" s="557"/>
      <c r="WJD34" s="557"/>
      <c r="WJE34" s="557"/>
      <c r="WJF34" s="557"/>
      <c r="WJG34" s="557"/>
      <c r="WJH34" s="557"/>
      <c r="WJI34" s="557"/>
      <c r="WJJ34" s="557"/>
      <c r="WJK34" s="661"/>
      <c r="WJL34" s="556"/>
      <c r="WJM34" s="557"/>
      <c r="WJN34" s="557"/>
      <c r="WJO34" s="557"/>
      <c r="WJP34" s="557"/>
      <c r="WJQ34" s="557"/>
      <c r="WJR34" s="557"/>
      <c r="WJS34" s="557"/>
      <c r="WJT34" s="557"/>
      <c r="WJU34" s="557"/>
      <c r="WJV34" s="557"/>
      <c r="WJW34" s="557"/>
      <c r="WJX34" s="557"/>
      <c r="WJY34" s="557"/>
      <c r="WJZ34" s="557"/>
      <c r="WKA34" s="557"/>
      <c r="WKB34" s="557"/>
      <c r="WKC34" s="557"/>
      <c r="WKD34" s="557"/>
      <c r="WKE34" s="661"/>
      <c r="WKF34" s="556"/>
      <c r="WKG34" s="557"/>
      <c r="WKH34" s="557"/>
      <c r="WKI34" s="557"/>
      <c r="WKJ34" s="557"/>
      <c r="WKK34" s="557"/>
      <c r="WKL34" s="557"/>
      <c r="WKM34" s="557"/>
      <c r="WKN34" s="557"/>
      <c r="WKO34" s="557"/>
      <c r="WKP34" s="557"/>
      <c r="WKQ34" s="557"/>
      <c r="WKR34" s="557"/>
      <c r="WKS34" s="557"/>
      <c r="WKT34" s="557"/>
      <c r="WKU34" s="557"/>
      <c r="WKV34" s="557"/>
      <c r="WKW34" s="557"/>
      <c r="WKX34" s="557"/>
      <c r="WKY34" s="661"/>
      <c r="WKZ34" s="556"/>
      <c r="WLA34" s="557"/>
      <c r="WLB34" s="557"/>
      <c r="WLC34" s="557"/>
      <c r="WLD34" s="557"/>
      <c r="WLE34" s="557"/>
      <c r="WLF34" s="557"/>
      <c r="WLG34" s="557"/>
      <c r="WLH34" s="557"/>
      <c r="WLI34" s="557"/>
      <c r="WLJ34" s="557"/>
      <c r="WLK34" s="557"/>
      <c r="WLL34" s="557"/>
      <c r="WLM34" s="557"/>
      <c r="WLN34" s="557"/>
      <c r="WLO34" s="557"/>
      <c r="WLP34" s="557"/>
      <c r="WLQ34" s="557"/>
      <c r="WLR34" s="557"/>
      <c r="WLS34" s="661"/>
      <c r="WLT34" s="556"/>
      <c r="WLU34" s="557"/>
      <c r="WLV34" s="557"/>
      <c r="WLW34" s="557"/>
      <c r="WLX34" s="557"/>
      <c r="WLY34" s="557"/>
      <c r="WLZ34" s="557"/>
      <c r="WMA34" s="557"/>
      <c r="WMB34" s="557"/>
      <c r="WMC34" s="557"/>
      <c r="WMD34" s="557"/>
      <c r="WME34" s="557"/>
      <c r="WMF34" s="557"/>
      <c r="WMG34" s="557"/>
      <c r="WMH34" s="557"/>
      <c r="WMI34" s="557"/>
      <c r="WMJ34" s="557"/>
      <c r="WMK34" s="557"/>
      <c r="WML34" s="557"/>
      <c r="WMM34" s="661"/>
      <c r="WMN34" s="556"/>
      <c r="WMO34" s="557"/>
      <c r="WMP34" s="557"/>
      <c r="WMQ34" s="557"/>
      <c r="WMR34" s="557"/>
      <c r="WMS34" s="557"/>
      <c r="WMT34" s="557"/>
      <c r="WMU34" s="557"/>
      <c r="WMV34" s="557"/>
      <c r="WMW34" s="557"/>
      <c r="WMX34" s="557"/>
      <c r="WMY34" s="557"/>
      <c r="WMZ34" s="557"/>
      <c r="WNA34" s="557"/>
      <c r="WNB34" s="557"/>
      <c r="WNC34" s="557"/>
      <c r="WND34" s="557"/>
      <c r="WNE34" s="557"/>
      <c r="WNF34" s="557"/>
      <c r="WNG34" s="661"/>
      <c r="WNH34" s="556"/>
      <c r="WNI34" s="557"/>
      <c r="WNJ34" s="557"/>
      <c r="WNK34" s="557"/>
      <c r="WNL34" s="557"/>
      <c r="WNM34" s="557"/>
      <c r="WNN34" s="557"/>
      <c r="WNO34" s="557"/>
      <c r="WNP34" s="557"/>
      <c r="WNQ34" s="557"/>
      <c r="WNR34" s="557"/>
      <c r="WNS34" s="557"/>
      <c r="WNT34" s="557"/>
      <c r="WNU34" s="557"/>
      <c r="WNV34" s="557"/>
      <c r="WNW34" s="557"/>
      <c r="WNX34" s="557"/>
      <c r="WNY34" s="557"/>
      <c r="WNZ34" s="557"/>
      <c r="WOA34" s="661"/>
      <c r="WOB34" s="556"/>
      <c r="WOC34" s="557"/>
      <c r="WOD34" s="557"/>
      <c r="WOE34" s="557"/>
      <c r="WOF34" s="557"/>
      <c r="WOG34" s="557"/>
      <c r="WOH34" s="557"/>
      <c r="WOI34" s="557"/>
      <c r="WOJ34" s="557"/>
      <c r="WOK34" s="557"/>
      <c r="WOL34" s="557"/>
      <c r="WOM34" s="557"/>
      <c r="WON34" s="557"/>
      <c r="WOO34" s="557"/>
      <c r="WOP34" s="557"/>
      <c r="WOQ34" s="557"/>
      <c r="WOR34" s="557"/>
      <c r="WOS34" s="557"/>
      <c r="WOT34" s="557"/>
      <c r="WOU34" s="661"/>
      <c r="WOV34" s="556"/>
      <c r="WOW34" s="557"/>
      <c r="WOX34" s="557"/>
      <c r="WOY34" s="557"/>
      <c r="WOZ34" s="557"/>
      <c r="WPA34" s="557"/>
      <c r="WPB34" s="557"/>
      <c r="WPC34" s="557"/>
      <c r="WPD34" s="557"/>
      <c r="WPE34" s="557"/>
      <c r="WPF34" s="557"/>
      <c r="WPG34" s="557"/>
      <c r="WPH34" s="557"/>
      <c r="WPI34" s="557"/>
      <c r="WPJ34" s="557"/>
      <c r="WPK34" s="557"/>
      <c r="WPL34" s="557"/>
      <c r="WPM34" s="557"/>
      <c r="WPN34" s="557"/>
      <c r="WPO34" s="661"/>
      <c r="WPP34" s="556"/>
      <c r="WPQ34" s="557"/>
      <c r="WPR34" s="557"/>
      <c r="WPS34" s="557"/>
      <c r="WPT34" s="557"/>
      <c r="WPU34" s="557"/>
      <c r="WPV34" s="557"/>
      <c r="WPW34" s="557"/>
      <c r="WPX34" s="557"/>
      <c r="WPY34" s="557"/>
      <c r="WPZ34" s="557"/>
      <c r="WQA34" s="557"/>
      <c r="WQB34" s="557"/>
      <c r="WQC34" s="557"/>
      <c r="WQD34" s="557"/>
      <c r="WQE34" s="557"/>
      <c r="WQF34" s="557"/>
      <c r="WQG34" s="557"/>
      <c r="WQH34" s="557"/>
      <c r="WQI34" s="661"/>
      <c r="WQJ34" s="556"/>
      <c r="WQK34" s="557"/>
      <c r="WQL34" s="557"/>
      <c r="WQM34" s="557"/>
      <c r="WQN34" s="557"/>
      <c r="WQO34" s="557"/>
      <c r="WQP34" s="557"/>
      <c r="WQQ34" s="557"/>
      <c r="WQR34" s="557"/>
      <c r="WQS34" s="557"/>
      <c r="WQT34" s="557"/>
      <c r="WQU34" s="557"/>
      <c r="WQV34" s="557"/>
      <c r="WQW34" s="557"/>
      <c r="WQX34" s="557"/>
      <c r="WQY34" s="557"/>
      <c r="WQZ34" s="557"/>
      <c r="WRA34" s="557"/>
      <c r="WRB34" s="557"/>
      <c r="WRC34" s="661"/>
      <c r="WRD34" s="556"/>
      <c r="WRE34" s="557"/>
      <c r="WRF34" s="557"/>
      <c r="WRG34" s="557"/>
      <c r="WRH34" s="557"/>
      <c r="WRI34" s="557"/>
      <c r="WRJ34" s="557"/>
      <c r="WRK34" s="557"/>
      <c r="WRL34" s="557"/>
      <c r="WRM34" s="557"/>
      <c r="WRN34" s="557"/>
      <c r="WRO34" s="557"/>
      <c r="WRP34" s="557"/>
      <c r="WRQ34" s="557"/>
      <c r="WRR34" s="557"/>
      <c r="WRS34" s="557"/>
      <c r="WRT34" s="557"/>
      <c r="WRU34" s="557"/>
      <c r="WRV34" s="557"/>
      <c r="WRW34" s="661"/>
      <c r="WRX34" s="556"/>
      <c r="WRY34" s="557"/>
      <c r="WRZ34" s="557"/>
      <c r="WSA34" s="557"/>
      <c r="WSB34" s="557"/>
      <c r="WSC34" s="557"/>
      <c r="WSD34" s="557"/>
      <c r="WSE34" s="557"/>
      <c r="WSF34" s="557"/>
      <c r="WSG34" s="557"/>
      <c r="WSH34" s="557"/>
      <c r="WSI34" s="557"/>
      <c r="WSJ34" s="557"/>
      <c r="WSK34" s="557"/>
      <c r="WSL34" s="557"/>
      <c r="WSM34" s="557"/>
      <c r="WSN34" s="557"/>
      <c r="WSO34" s="557"/>
      <c r="WSP34" s="557"/>
      <c r="WSQ34" s="661"/>
      <c r="WSR34" s="556"/>
      <c r="WSS34" s="557"/>
      <c r="WST34" s="557"/>
      <c r="WSU34" s="557"/>
      <c r="WSV34" s="557"/>
      <c r="WSW34" s="557"/>
      <c r="WSX34" s="557"/>
      <c r="WSY34" s="557"/>
      <c r="WSZ34" s="557"/>
      <c r="WTA34" s="557"/>
      <c r="WTB34" s="557"/>
      <c r="WTC34" s="557"/>
      <c r="WTD34" s="557"/>
      <c r="WTE34" s="557"/>
      <c r="WTF34" s="557"/>
      <c r="WTG34" s="557"/>
      <c r="WTH34" s="557"/>
      <c r="WTI34" s="557"/>
      <c r="WTJ34" s="557"/>
      <c r="WTK34" s="661"/>
      <c r="WTL34" s="556"/>
      <c r="WTM34" s="557"/>
      <c r="WTN34" s="557"/>
      <c r="WTO34" s="557"/>
      <c r="WTP34" s="557"/>
      <c r="WTQ34" s="557"/>
      <c r="WTR34" s="557"/>
      <c r="WTS34" s="557"/>
      <c r="WTT34" s="557"/>
      <c r="WTU34" s="557"/>
      <c r="WTV34" s="557"/>
      <c r="WTW34" s="557"/>
      <c r="WTX34" s="557"/>
      <c r="WTY34" s="557"/>
      <c r="WTZ34" s="557"/>
      <c r="WUA34" s="557"/>
      <c r="WUB34" s="557"/>
      <c r="WUC34" s="557"/>
      <c r="WUD34" s="557"/>
      <c r="WUE34" s="661"/>
      <c r="WUF34" s="556"/>
      <c r="WUG34" s="557"/>
      <c r="WUH34" s="557"/>
      <c r="WUI34" s="557"/>
      <c r="WUJ34" s="557"/>
      <c r="WUK34" s="557"/>
      <c r="WUL34" s="557"/>
      <c r="WUM34" s="557"/>
      <c r="WUN34" s="557"/>
      <c r="WUO34" s="557"/>
      <c r="WUP34" s="557"/>
      <c r="WUQ34" s="557"/>
      <c r="WUR34" s="557"/>
      <c r="WUS34" s="557"/>
      <c r="WUT34" s="557"/>
      <c r="WUU34" s="557"/>
      <c r="WUV34" s="557"/>
      <c r="WUW34" s="557"/>
      <c r="WUX34" s="557"/>
      <c r="WUY34" s="661"/>
      <c r="WUZ34" s="556"/>
      <c r="WVA34" s="557"/>
      <c r="WVB34" s="557"/>
      <c r="WVC34" s="557"/>
      <c r="WVD34" s="557"/>
      <c r="WVE34" s="557"/>
      <c r="WVF34" s="557"/>
      <c r="WVG34" s="557"/>
      <c r="WVH34" s="557"/>
      <c r="WVI34" s="557"/>
      <c r="WVJ34" s="557"/>
      <c r="WVK34" s="557"/>
      <c r="WVL34" s="557"/>
      <c r="WVM34" s="557"/>
      <c r="WVN34" s="557"/>
      <c r="WVO34" s="557"/>
      <c r="WVP34" s="557"/>
      <c r="WVQ34" s="557"/>
      <c r="WVR34" s="557"/>
      <c r="WVS34" s="661"/>
      <c r="WVT34" s="556"/>
      <c r="WVU34" s="557"/>
      <c r="WVV34" s="557"/>
      <c r="WVW34" s="557"/>
      <c r="WVX34" s="557"/>
      <c r="WVY34" s="557"/>
      <c r="WVZ34" s="557"/>
      <c r="WWA34" s="557"/>
      <c r="WWB34" s="557"/>
      <c r="WWC34" s="557"/>
      <c r="WWD34" s="557"/>
      <c r="WWE34" s="557"/>
      <c r="WWF34" s="557"/>
      <c r="WWG34" s="557"/>
      <c r="WWH34" s="557"/>
      <c r="WWI34" s="557"/>
      <c r="WWJ34" s="557"/>
      <c r="WWK34" s="557"/>
      <c r="WWL34" s="557"/>
      <c r="WWM34" s="661"/>
      <c r="WWN34" s="556"/>
      <c r="WWO34" s="557"/>
      <c r="WWP34" s="557"/>
      <c r="WWQ34" s="557"/>
      <c r="WWR34" s="557"/>
      <c r="WWS34" s="557"/>
      <c r="WWT34" s="557"/>
      <c r="WWU34" s="557"/>
      <c r="WWV34" s="557"/>
      <c r="WWW34" s="557"/>
      <c r="WWX34" s="557"/>
      <c r="WWY34" s="557"/>
      <c r="WWZ34" s="557"/>
      <c r="WXA34" s="557"/>
      <c r="WXB34" s="557"/>
      <c r="WXC34" s="557"/>
      <c r="WXD34" s="557"/>
      <c r="WXE34" s="557"/>
      <c r="WXF34" s="557"/>
      <c r="WXG34" s="661"/>
      <c r="WXH34" s="556"/>
      <c r="WXI34" s="557"/>
      <c r="WXJ34" s="557"/>
      <c r="WXK34" s="557"/>
      <c r="WXL34" s="557"/>
      <c r="WXM34" s="557"/>
      <c r="WXN34" s="557"/>
      <c r="WXO34" s="557"/>
      <c r="WXP34" s="557"/>
      <c r="WXQ34" s="557"/>
      <c r="WXR34" s="557"/>
      <c r="WXS34" s="557"/>
      <c r="WXT34" s="557"/>
      <c r="WXU34" s="557"/>
      <c r="WXV34" s="557"/>
      <c r="WXW34" s="557"/>
      <c r="WXX34" s="557"/>
      <c r="WXY34" s="557"/>
      <c r="WXZ34" s="557"/>
      <c r="WYA34" s="661"/>
      <c r="WYB34" s="556"/>
      <c r="WYC34" s="557"/>
      <c r="WYD34" s="557"/>
      <c r="WYE34" s="557"/>
      <c r="WYF34" s="557"/>
      <c r="WYG34" s="557"/>
      <c r="WYH34" s="557"/>
      <c r="WYI34" s="557"/>
      <c r="WYJ34" s="557"/>
      <c r="WYK34" s="557"/>
      <c r="WYL34" s="557"/>
      <c r="WYM34" s="557"/>
      <c r="WYN34" s="557"/>
      <c r="WYO34" s="557"/>
      <c r="WYP34" s="557"/>
      <c r="WYQ34" s="557"/>
      <c r="WYR34" s="557"/>
      <c r="WYS34" s="557"/>
      <c r="WYT34" s="557"/>
      <c r="WYU34" s="661"/>
      <c r="WYV34" s="556"/>
      <c r="WYW34" s="557"/>
      <c r="WYX34" s="557"/>
      <c r="WYY34" s="557"/>
      <c r="WYZ34" s="557"/>
      <c r="WZA34" s="557"/>
      <c r="WZB34" s="557"/>
      <c r="WZC34" s="557"/>
      <c r="WZD34" s="557"/>
      <c r="WZE34" s="557"/>
      <c r="WZF34" s="557"/>
      <c r="WZG34" s="557"/>
      <c r="WZH34" s="557"/>
      <c r="WZI34" s="557"/>
      <c r="WZJ34" s="557"/>
      <c r="WZK34" s="557"/>
      <c r="WZL34" s="557"/>
      <c r="WZM34" s="557"/>
      <c r="WZN34" s="557"/>
      <c r="WZO34" s="661"/>
      <c r="WZP34" s="556"/>
      <c r="WZQ34" s="557"/>
      <c r="WZR34" s="557"/>
      <c r="WZS34" s="557"/>
      <c r="WZT34" s="557"/>
      <c r="WZU34" s="557"/>
      <c r="WZV34" s="557"/>
      <c r="WZW34" s="557"/>
      <c r="WZX34" s="557"/>
      <c r="WZY34" s="557"/>
      <c r="WZZ34" s="557"/>
      <c r="XAA34" s="557"/>
      <c r="XAB34" s="557"/>
      <c r="XAC34" s="557"/>
      <c r="XAD34" s="557"/>
      <c r="XAE34" s="557"/>
      <c r="XAF34" s="557"/>
      <c r="XAG34" s="557"/>
      <c r="XAH34" s="557"/>
      <c r="XAI34" s="661"/>
      <c r="XAJ34" s="556"/>
      <c r="XAK34" s="557"/>
      <c r="XAL34" s="557"/>
      <c r="XAM34" s="557"/>
      <c r="XAN34" s="557"/>
      <c r="XAO34" s="557"/>
      <c r="XAP34" s="557"/>
      <c r="XAQ34" s="557"/>
      <c r="XAR34" s="557"/>
      <c r="XAS34" s="557"/>
      <c r="XAT34" s="557"/>
      <c r="XAU34" s="557"/>
      <c r="XAV34" s="557"/>
      <c r="XAW34" s="557"/>
      <c r="XAX34" s="557"/>
      <c r="XAY34" s="557"/>
      <c r="XAZ34" s="557"/>
      <c r="XBA34" s="557"/>
      <c r="XBB34" s="557"/>
      <c r="XBC34" s="661"/>
      <c r="XBD34" s="556"/>
      <c r="XBE34" s="557"/>
      <c r="XBF34" s="557"/>
      <c r="XBG34" s="557"/>
      <c r="XBH34" s="557"/>
      <c r="XBI34" s="557"/>
      <c r="XBJ34" s="557"/>
      <c r="XBK34" s="557"/>
      <c r="XBL34" s="557"/>
      <c r="XBM34" s="557"/>
      <c r="XBN34" s="557"/>
      <c r="XBO34" s="557"/>
      <c r="XBP34" s="557"/>
      <c r="XBQ34" s="557"/>
      <c r="XBR34" s="557"/>
      <c r="XBS34" s="557"/>
      <c r="XBT34" s="557"/>
      <c r="XBU34" s="557"/>
      <c r="XBV34" s="557"/>
      <c r="XBW34" s="661"/>
      <c r="XBX34" s="556"/>
      <c r="XBY34" s="557"/>
      <c r="XBZ34" s="557"/>
      <c r="XCA34" s="557"/>
      <c r="XCB34" s="557"/>
      <c r="XCC34" s="557"/>
      <c r="XCD34" s="557"/>
      <c r="XCE34" s="557"/>
      <c r="XCF34" s="557"/>
      <c r="XCG34" s="557"/>
      <c r="XCH34" s="557"/>
      <c r="XCI34" s="557"/>
      <c r="XCJ34" s="557"/>
      <c r="XCK34" s="557"/>
      <c r="XCL34" s="557"/>
      <c r="XCM34" s="557"/>
      <c r="XCN34" s="557"/>
      <c r="XCO34" s="557"/>
      <c r="XCP34" s="557"/>
      <c r="XCQ34" s="661"/>
      <c r="XCR34" s="556"/>
      <c r="XCS34" s="557"/>
      <c r="XCT34" s="557"/>
      <c r="XCU34" s="557"/>
      <c r="XCV34" s="557"/>
      <c r="XCW34" s="557"/>
      <c r="XCX34" s="557"/>
      <c r="XCY34" s="557"/>
      <c r="XCZ34" s="557"/>
      <c r="XDA34" s="557"/>
      <c r="XDB34" s="557"/>
      <c r="XDC34" s="557"/>
      <c r="XDD34" s="557"/>
      <c r="XDE34" s="557"/>
      <c r="XDF34" s="557"/>
      <c r="XDG34" s="557"/>
      <c r="XDH34" s="557"/>
      <c r="XDI34" s="557"/>
      <c r="XDJ34" s="557"/>
      <c r="XDK34" s="661"/>
      <c r="XDL34" s="556"/>
      <c r="XDM34" s="557"/>
      <c r="XDN34" s="557"/>
      <c r="XDO34" s="557"/>
      <c r="XDP34" s="557"/>
      <c r="XDQ34" s="557"/>
      <c r="XDR34" s="557"/>
      <c r="XDS34" s="557"/>
      <c r="XDT34" s="557"/>
      <c r="XDU34" s="557"/>
      <c r="XDV34" s="557"/>
      <c r="XDW34" s="557"/>
      <c r="XDX34" s="557"/>
      <c r="XDY34" s="557"/>
      <c r="XDZ34" s="557"/>
      <c r="XEA34" s="557"/>
      <c r="XEB34" s="557"/>
      <c r="XEC34" s="557"/>
      <c r="XED34" s="557"/>
      <c r="XEE34" s="661"/>
      <c r="XEF34" s="556"/>
      <c r="XEG34" s="557"/>
      <c r="XEH34" s="557"/>
      <c r="XEI34" s="557"/>
      <c r="XEJ34" s="557"/>
      <c r="XEK34" s="557"/>
      <c r="XEL34" s="557"/>
      <c r="XEM34" s="557"/>
      <c r="XEN34" s="557"/>
      <c r="XEO34" s="557"/>
      <c r="XEP34" s="557"/>
      <c r="XEQ34" s="557"/>
      <c r="XER34" s="557"/>
      <c r="XES34" s="557"/>
      <c r="XET34" s="557"/>
      <c r="XEU34" s="557"/>
      <c r="XEV34" s="557"/>
      <c r="XEW34" s="557"/>
      <c r="XEX34" s="557"/>
      <c r="XEY34" s="661"/>
      <c r="XEZ34" s="556"/>
      <c r="XFA34" s="556"/>
      <c r="XFB34" s="556"/>
      <c r="XFC34" s="556"/>
    </row>
    <row r="35" spans="1:16383" ht="14.25" customHeight="1" x14ac:dyDescent="0.2">
      <c r="A35" s="593">
        <v>5</v>
      </c>
      <c r="B35" s="585" t="s">
        <v>1135</v>
      </c>
      <c r="C35" s="597" t="s">
        <v>1124</v>
      </c>
      <c r="D35" s="597">
        <v>2440072962</v>
      </c>
      <c r="E35" s="597" t="s">
        <v>44</v>
      </c>
      <c r="F35" s="597" t="s">
        <v>54</v>
      </c>
      <c r="G35" s="346" t="s">
        <v>92</v>
      </c>
      <c r="H35" s="347"/>
      <c r="I35" s="348"/>
      <c r="J35" s="348"/>
      <c r="K35" s="349"/>
      <c r="L35" s="348">
        <v>38000</v>
      </c>
      <c r="M35" s="348">
        <v>44460</v>
      </c>
      <c r="N35" s="346" t="s">
        <v>1136</v>
      </c>
      <c r="O35" s="560" t="s">
        <v>116</v>
      </c>
      <c r="P35" s="560" t="s">
        <v>1137</v>
      </c>
      <c r="Q35" s="330"/>
      <c r="R35" s="657">
        <v>44460</v>
      </c>
      <c r="S35" s="659" t="s">
        <v>18</v>
      </c>
    </row>
    <row r="36" spans="1:16383" ht="14.25" x14ac:dyDescent="0.2">
      <c r="A36" s="594"/>
      <c r="B36" s="586"/>
      <c r="C36" s="598"/>
      <c r="D36" s="678"/>
      <c r="E36" s="678"/>
      <c r="F36" s="678"/>
      <c r="G36" s="329"/>
      <c r="H36" s="332"/>
      <c r="I36" s="34"/>
      <c r="J36" s="34"/>
      <c r="K36" s="329"/>
      <c r="L36" s="34"/>
      <c r="M36" s="34"/>
      <c r="N36" s="329"/>
      <c r="O36" s="561"/>
      <c r="P36" s="561"/>
      <c r="Q36" s="331"/>
      <c r="R36" s="673"/>
      <c r="S36" s="674"/>
    </row>
    <row r="37" spans="1:16383" ht="14.25" x14ac:dyDescent="0.2">
      <c r="A37" s="594"/>
      <c r="B37" s="586"/>
      <c r="C37" s="598"/>
      <c r="D37" s="678"/>
      <c r="E37" s="678"/>
      <c r="F37" s="678"/>
      <c r="G37" s="329"/>
      <c r="H37" s="332"/>
      <c r="I37" s="34"/>
      <c r="J37" s="34"/>
      <c r="K37" s="329"/>
      <c r="L37" s="34"/>
      <c r="M37" s="34"/>
      <c r="N37" s="329"/>
      <c r="O37" s="561"/>
      <c r="P37" s="561"/>
      <c r="Q37" s="331"/>
      <c r="R37" s="673"/>
      <c r="S37" s="674"/>
    </row>
    <row r="38" spans="1:16383" ht="14.25" x14ac:dyDescent="0.2">
      <c r="A38" s="594"/>
      <c r="B38" s="586"/>
      <c r="C38" s="598"/>
      <c r="D38" s="678"/>
      <c r="E38" s="678"/>
      <c r="F38" s="678"/>
      <c r="G38" s="329"/>
      <c r="H38" s="332"/>
      <c r="I38" s="34"/>
      <c r="J38" s="34"/>
      <c r="K38" s="329"/>
      <c r="L38" s="34"/>
      <c r="M38" s="34"/>
      <c r="N38" s="329"/>
      <c r="O38" s="561"/>
      <c r="P38" s="561"/>
      <c r="Q38" s="331"/>
      <c r="R38" s="673"/>
      <c r="S38" s="674"/>
    </row>
    <row r="39" spans="1:16383" ht="14.25" x14ac:dyDescent="0.2">
      <c r="A39" s="594"/>
      <c r="B39" s="586"/>
      <c r="C39" s="598"/>
      <c r="D39" s="679"/>
      <c r="E39" s="679"/>
      <c r="F39" s="679"/>
      <c r="G39" s="329"/>
      <c r="H39" s="332"/>
      <c r="I39" s="34"/>
      <c r="J39" s="34"/>
      <c r="K39" s="329"/>
      <c r="L39" s="34"/>
      <c r="M39" s="34"/>
      <c r="N39" s="329"/>
      <c r="O39" s="562"/>
      <c r="P39" s="561"/>
      <c r="Q39" s="331"/>
      <c r="R39" s="673"/>
      <c r="S39" s="674"/>
    </row>
    <row r="40" spans="1:16383" ht="14.25" x14ac:dyDescent="0.2">
      <c r="A40" s="595"/>
      <c r="B40" s="581" t="s">
        <v>1138</v>
      </c>
      <c r="C40" s="582"/>
      <c r="D40" s="582"/>
      <c r="E40" s="582"/>
      <c r="F40" s="582"/>
      <c r="G40" s="582"/>
      <c r="H40" s="582"/>
      <c r="I40" s="582"/>
      <c r="J40" s="582"/>
      <c r="K40" s="582"/>
      <c r="L40" s="582"/>
      <c r="M40" s="582"/>
      <c r="N40" s="582"/>
      <c r="O40" s="582"/>
      <c r="P40" s="582"/>
      <c r="Q40" s="582"/>
      <c r="R40" s="582"/>
      <c r="S40" s="582"/>
    </row>
    <row r="41" spans="1:16383" ht="15.75" x14ac:dyDescent="0.2">
      <c r="A41" s="556" t="s">
        <v>1139</v>
      </c>
      <c r="B41" s="557"/>
      <c r="C41" s="557"/>
      <c r="D41" s="557"/>
      <c r="E41" s="557"/>
      <c r="F41" s="557"/>
      <c r="G41" s="557"/>
      <c r="H41" s="557"/>
      <c r="I41" s="557"/>
      <c r="J41" s="557"/>
      <c r="K41" s="557"/>
      <c r="L41" s="557"/>
      <c r="M41" s="557"/>
      <c r="N41" s="557"/>
      <c r="O41" s="557"/>
      <c r="P41" s="557"/>
      <c r="Q41" s="557"/>
      <c r="R41" s="557"/>
      <c r="S41" s="557"/>
    </row>
    <row r="42" spans="1:16383" ht="15" customHeight="1" x14ac:dyDescent="0.2">
      <c r="A42" s="593">
        <v>6</v>
      </c>
      <c r="B42" s="585" t="s">
        <v>1140</v>
      </c>
      <c r="C42" s="597" t="s">
        <v>1141</v>
      </c>
      <c r="D42" s="597">
        <v>1764000750</v>
      </c>
      <c r="E42" s="597" t="s">
        <v>43</v>
      </c>
      <c r="F42" s="597" t="s">
        <v>54</v>
      </c>
      <c r="G42" s="351" t="s">
        <v>1142</v>
      </c>
      <c r="H42" s="352">
        <v>75</v>
      </c>
      <c r="I42" s="353" t="s">
        <v>73</v>
      </c>
      <c r="J42" s="353">
        <v>250</v>
      </c>
      <c r="K42" s="354">
        <v>80</v>
      </c>
      <c r="L42" s="353">
        <v>20000</v>
      </c>
      <c r="M42" s="353">
        <v>23400</v>
      </c>
      <c r="N42" s="351" t="s">
        <v>1143</v>
      </c>
      <c r="O42" s="560" t="s">
        <v>15</v>
      </c>
      <c r="P42" s="560" t="s">
        <v>97</v>
      </c>
      <c r="Q42" s="330"/>
      <c r="R42" s="657">
        <v>23400</v>
      </c>
      <c r="S42" s="659" t="s">
        <v>18</v>
      </c>
    </row>
    <row r="43" spans="1:16383" ht="14.25" x14ac:dyDescent="0.2">
      <c r="A43" s="594"/>
      <c r="B43" s="586"/>
      <c r="C43" s="598" t="s">
        <v>1141</v>
      </c>
      <c r="D43" s="680"/>
      <c r="E43" s="678"/>
      <c r="F43" s="678"/>
      <c r="G43" s="329" t="s">
        <v>482</v>
      </c>
      <c r="H43" s="332">
        <v>74</v>
      </c>
      <c r="I43" s="34" t="s">
        <v>73</v>
      </c>
      <c r="J43" s="34">
        <v>250</v>
      </c>
      <c r="K43" s="329">
        <v>80</v>
      </c>
      <c r="L43" s="34">
        <v>20000</v>
      </c>
      <c r="M43" s="34">
        <v>23400</v>
      </c>
      <c r="N43" s="329" t="s">
        <v>1143</v>
      </c>
      <c r="O43" s="561"/>
      <c r="P43" s="561"/>
      <c r="Q43" s="331"/>
      <c r="R43" s="673"/>
      <c r="S43" s="674"/>
    </row>
    <row r="44" spans="1:16383" ht="14.25" x14ac:dyDescent="0.2">
      <c r="A44" s="594"/>
      <c r="B44" s="586"/>
      <c r="C44" s="598" t="s">
        <v>1141</v>
      </c>
      <c r="D44" s="680"/>
      <c r="E44" s="678"/>
      <c r="F44" s="678"/>
      <c r="G44" s="329" t="s">
        <v>1144</v>
      </c>
      <c r="H44" s="332">
        <v>63</v>
      </c>
      <c r="I44" s="34" t="s">
        <v>73</v>
      </c>
      <c r="J44" s="34">
        <v>290</v>
      </c>
      <c r="K44" s="329">
        <v>80</v>
      </c>
      <c r="L44" s="34">
        <v>23200</v>
      </c>
      <c r="M44" s="34">
        <v>27144</v>
      </c>
      <c r="N44" s="329" t="s">
        <v>1143</v>
      </c>
      <c r="O44" s="561"/>
      <c r="P44" s="561"/>
      <c r="Q44" s="331"/>
      <c r="R44" s="673"/>
      <c r="S44" s="674"/>
    </row>
    <row r="45" spans="1:16383" ht="14.25" x14ac:dyDescent="0.2">
      <c r="A45" s="594"/>
      <c r="B45" s="586"/>
      <c r="C45" s="598" t="s">
        <v>1141</v>
      </c>
      <c r="D45" s="680"/>
      <c r="E45" s="678"/>
      <c r="F45" s="678"/>
      <c r="G45" s="329"/>
      <c r="H45" s="332"/>
      <c r="I45" s="34"/>
      <c r="J45" s="34"/>
      <c r="K45" s="329"/>
      <c r="L45" s="34"/>
      <c r="M45" s="34"/>
      <c r="N45" s="329"/>
      <c r="O45" s="561"/>
      <c r="P45" s="561"/>
      <c r="Q45" s="331"/>
      <c r="R45" s="673"/>
      <c r="S45" s="674"/>
    </row>
    <row r="46" spans="1:16383" ht="14.25" x14ac:dyDescent="0.2">
      <c r="A46" s="594"/>
      <c r="B46" s="586"/>
      <c r="C46" s="599" t="s">
        <v>1141</v>
      </c>
      <c r="D46" s="681"/>
      <c r="E46" s="679"/>
      <c r="F46" s="679"/>
      <c r="G46" s="329"/>
      <c r="H46" s="332"/>
      <c r="I46" s="34"/>
      <c r="J46" s="34"/>
      <c r="K46" s="329"/>
      <c r="L46" s="34"/>
      <c r="M46" s="34"/>
      <c r="N46" s="329"/>
      <c r="O46" s="562"/>
      <c r="P46" s="561"/>
      <c r="Q46" s="331"/>
      <c r="R46" s="673"/>
      <c r="S46" s="674"/>
    </row>
    <row r="47" spans="1:16383" ht="14.25" x14ac:dyDescent="0.2">
      <c r="A47" s="595"/>
      <c r="B47" s="581"/>
      <c r="C47" s="582"/>
      <c r="D47" s="582"/>
      <c r="E47" s="582"/>
      <c r="F47" s="582"/>
      <c r="G47" s="582"/>
      <c r="H47" s="582"/>
      <c r="I47" s="582"/>
      <c r="J47" s="582"/>
      <c r="K47" s="582"/>
      <c r="L47" s="582"/>
      <c r="M47" s="582"/>
      <c r="N47" s="582"/>
      <c r="O47" s="582"/>
      <c r="P47" s="582"/>
      <c r="Q47" s="582"/>
      <c r="R47" s="582"/>
      <c r="S47" s="582"/>
    </row>
    <row r="48" spans="1:16383" ht="15.75" x14ac:dyDescent="0.2">
      <c r="A48" s="556" t="s">
        <v>1145</v>
      </c>
      <c r="B48" s="557"/>
      <c r="C48" s="557"/>
      <c r="D48" s="557"/>
      <c r="E48" s="557"/>
      <c r="F48" s="557"/>
      <c r="G48" s="557"/>
      <c r="H48" s="557"/>
      <c r="I48" s="557"/>
      <c r="J48" s="557"/>
      <c r="K48" s="557"/>
      <c r="L48" s="557"/>
      <c r="M48" s="557"/>
      <c r="N48" s="557"/>
      <c r="O48" s="557"/>
      <c r="P48" s="557"/>
      <c r="Q48" s="557"/>
      <c r="R48" s="557"/>
      <c r="S48" s="557"/>
    </row>
    <row r="49" spans="1:16383" ht="15" customHeight="1" x14ac:dyDescent="0.2">
      <c r="A49" s="593">
        <v>7</v>
      </c>
      <c r="B49" s="585" t="s">
        <v>1146</v>
      </c>
      <c r="C49" s="597" t="s">
        <v>1147</v>
      </c>
      <c r="D49" s="597">
        <v>23008</v>
      </c>
      <c r="E49" s="597" t="s">
        <v>36</v>
      </c>
      <c r="F49" s="597" t="s">
        <v>54</v>
      </c>
      <c r="G49" s="356" t="s">
        <v>1148</v>
      </c>
      <c r="H49" s="357">
        <v>75</v>
      </c>
      <c r="I49" s="358" t="s">
        <v>847</v>
      </c>
      <c r="J49" s="358">
        <v>8733</v>
      </c>
      <c r="K49" s="359">
        <v>1</v>
      </c>
      <c r="L49" s="358">
        <v>8733</v>
      </c>
      <c r="M49" s="358">
        <v>10217.61</v>
      </c>
      <c r="N49" s="356" t="s">
        <v>1143</v>
      </c>
      <c r="O49" s="560" t="s">
        <v>722</v>
      </c>
      <c r="P49" s="560" t="s">
        <v>1149</v>
      </c>
      <c r="Q49" s="330"/>
      <c r="R49" s="657"/>
      <c r="S49" s="659" t="s">
        <v>18</v>
      </c>
    </row>
    <row r="50" spans="1:16383" ht="14.25" x14ac:dyDescent="0.2">
      <c r="A50" s="594"/>
      <c r="B50" s="586"/>
      <c r="C50" s="682"/>
      <c r="D50" s="682"/>
      <c r="E50" s="678"/>
      <c r="F50" s="678"/>
      <c r="G50" s="329" t="s">
        <v>1150</v>
      </c>
      <c r="H50" s="332">
        <v>67</v>
      </c>
      <c r="I50" s="34" t="s">
        <v>847</v>
      </c>
      <c r="J50" s="34">
        <v>9700</v>
      </c>
      <c r="K50" s="329">
        <v>1</v>
      </c>
      <c r="L50" s="34">
        <v>9700</v>
      </c>
      <c r="M50" s="34">
        <v>11349</v>
      </c>
      <c r="N50" s="329" t="s">
        <v>1111</v>
      </c>
      <c r="O50" s="561"/>
      <c r="P50" s="561"/>
      <c r="Q50" s="331"/>
      <c r="R50" s="673"/>
      <c r="S50" s="674"/>
    </row>
    <row r="51" spans="1:16383" ht="14.25" x14ac:dyDescent="0.2">
      <c r="A51" s="594"/>
      <c r="B51" s="586"/>
      <c r="C51" s="682"/>
      <c r="D51" s="682"/>
      <c r="E51" s="678"/>
      <c r="F51" s="678"/>
      <c r="G51" s="329" t="s">
        <v>1151</v>
      </c>
      <c r="H51" s="332">
        <v>62</v>
      </c>
      <c r="I51" s="34" t="s">
        <v>847</v>
      </c>
      <c r="J51" s="34">
        <v>10330</v>
      </c>
      <c r="K51" s="329">
        <v>1</v>
      </c>
      <c r="L51" s="34">
        <v>10330</v>
      </c>
      <c r="M51" s="34">
        <v>12086.099999999999</v>
      </c>
      <c r="N51" s="329" t="s">
        <v>1111</v>
      </c>
      <c r="O51" s="561"/>
      <c r="P51" s="561"/>
      <c r="Q51" s="331"/>
      <c r="R51" s="673"/>
      <c r="S51" s="674"/>
    </row>
    <row r="52" spans="1:16383" ht="14.25" x14ac:dyDescent="0.2">
      <c r="A52" s="594"/>
      <c r="B52" s="586"/>
      <c r="C52" s="682"/>
      <c r="D52" s="682"/>
      <c r="E52" s="678"/>
      <c r="F52" s="678"/>
      <c r="G52" s="329" t="s">
        <v>1152</v>
      </c>
      <c r="H52" s="332">
        <v>39</v>
      </c>
      <c r="I52" s="34" t="s">
        <v>847</v>
      </c>
      <c r="J52" s="34">
        <v>15980</v>
      </c>
      <c r="K52" s="329">
        <v>1</v>
      </c>
      <c r="L52" s="34">
        <v>15980</v>
      </c>
      <c r="M52" s="34">
        <v>18696.599999999999</v>
      </c>
      <c r="N52" s="329" t="s">
        <v>1143</v>
      </c>
      <c r="O52" s="561"/>
      <c r="P52" s="561"/>
      <c r="Q52" s="331"/>
      <c r="R52" s="673"/>
      <c r="S52" s="674"/>
    </row>
    <row r="53" spans="1:16383" ht="14.25" x14ac:dyDescent="0.2">
      <c r="A53" s="594"/>
      <c r="B53" s="596"/>
      <c r="C53" s="683"/>
      <c r="D53" s="683"/>
      <c r="E53" s="679"/>
      <c r="F53" s="679"/>
      <c r="G53" s="329"/>
      <c r="H53" s="332"/>
      <c r="I53" s="34"/>
      <c r="J53" s="34"/>
      <c r="K53" s="329"/>
      <c r="L53" s="34"/>
      <c r="M53" s="34"/>
      <c r="N53" s="329"/>
      <c r="O53" s="562"/>
      <c r="P53" s="562"/>
      <c r="Q53" s="331"/>
      <c r="R53" s="658"/>
      <c r="S53" s="674"/>
    </row>
    <row r="54" spans="1:16383" ht="14.25" x14ac:dyDescent="0.2">
      <c r="A54" s="595"/>
      <c r="B54" s="581"/>
      <c r="C54" s="582"/>
      <c r="D54" s="582"/>
      <c r="E54" s="582"/>
      <c r="F54" s="582"/>
      <c r="G54" s="582"/>
      <c r="H54" s="582"/>
      <c r="I54" s="582"/>
      <c r="J54" s="582"/>
      <c r="K54" s="582"/>
      <c r="L54" s="582"/>
      <c r="M54" s="582"/>
      <c r="N54" s="582"/>
      <c r="O54" s="582"/>
      <c r="P54" s="582"/>
      <c r="Q54" s="582"/>
      <c r="R54" s="582"/>
      <c r="S54" s="582"/>
    </row>
    <row r="55" spans="1:16383" ht="15.75" x14ac:dyDescent="0.2">
      <c r="A55" s="556" t="s">
        <v>1153</v>
      </c>
      <c r="B55" s="557"/>
      <c r="C55" s="557"/>
      <c r="D55" s="557"/>
      <c r="E55" s="557"/>
      <c r="F55" s="557"/>
      <c r="G55" s="557"/>
      <c r="H55" s="557"/>
      <c r="I55" s="557"/>
      <c r="J55" s="557"/>
      <c r="K55" s="557"/>
      <c r="L55" s="557"/>
      <c r="M55" s="557"/>
      <c r="N55" s="557"/>
      <c r="O55" s="557"/>
      <c r="P55" s="557"/>
      <c r="Q55" s="557"/>
      <c r="R55" s="557"/>
      <c r="S55" s="557"/>
      <c r="T55" s="556"/>
      <c r="U55" s="557"/>
      <c r="V55" s="557"/>
      <c r="W55" s="557"/>
      <c r="X55" s="557"/>
      <c r="Y55" s="557"/>
      <c r="Z55" s="557"/>
      <c r="AA55" s="557"/>
      <c r="AB55" s="557"/>
      <c r="AC55" s="557"/>
      <c r="AD55" s="557"/>
      <c r="AE55" s="557"/>
      <c r="AF55" s="557"/>
      <c r="AG55" s="557"/>
      <c r="AH55" s="557"/>
      <c r="AI55" s="557"/>
      <c r="AJ55" s="557"/>
      <c r="AK55" s="557"/>
      <c r="AL55" s="557"/>
      <c r="AM55" s="661"/>
      <c r="AN55" s="556"/>
      <c r="AO55" s="557"/>
      <c r="AP55" s="557"/>
      <c r="AQ55" s="557"/>
      <c r="AR55" s="557"/>
      <c r="AS55" s="557"/>
      <c r="AT55" s="557"/>
      <c r="AU55" s="557"/>
      <c r="AV55" s="557"/>
      <c r="AW55" s="557"/>
      <c r="AX55" s="557"/>
      <c r="AY55" s="557"/>
      <c r="AZ55" s="557"/>
      <c r="BA55" s="557"/>
      <c r="BB55" s="557"/>
      <c r="BC55" s="557"/>
      <c r="BD55" s="557"/>
      <c r="BE55" s="557"/>
      <c r="BF55" s="557"/>
      <c r="BG55" s="661"/>
      <c r="BH55" s="556"/>
      <c r="BI55" s="557"/>
      <c r="BJ55" s="557"/>
      <c r="BK55" s="557"/>
      <c r="BL55" s="557"/>
      <c r="BM55" s="557"/>
      <c r="BN55" s="557"/>
      <c r="BO55" s="557"/>
      <c r="BP55" s="557"/>
      <c r="BQ55" s="557"/>
      <c r="BR55" s="557"/>
      <c r="BS55" s="557"/>
      <c r="BT55" s="557"/>
      <c r="BU55" s="557"/>
      <c r="BV55" s="557"/>
      <c r="BW55" s="557"/>
      <c r="BX55" s="557"/>
      <c r="BY55" s="557"/>
      <c r="BZ55" s="557"/>
      <c r="CA55" s="661"/>
      <c r="CB55" s="556"/>
      <c r="CC55" s="557"/>
      <c r="CD55" s="557"/>
      <c r="CE55" s="557"/>
      <c r="CF55" s="557"/>
      <c r="CG55" s="557"/>
      <c r="CH55" s="557"/>
      <c r="CI55" s="557"/>
      <c r="CJ55" s="557"/>
      <c r="CK55" s="557"/>
      <c r="CL55" s="557"/>
      <c r="CM55" s="557"/>
      <c r="CN55" s="557"/>
      <c r="CO55" s="557"/>
      <c r="CP55" s="557"/>
      <c r="CQ55" s="557"/>
      <c r="CR55" s="557"/>
      <c r="CS55" s="557"/>
      <c r="CT55" s="557"/>
      <c r="CU55" s="661"/>
      <c r="CV55" s="556"/>
      <c r="CW55" s="557"/>
      <c r="CX55" s="557"/>
      <c r="CY55" s="557"/>
      <c r="CZ55" s="557"/>
      <c r="DA55" s="557"/>
      <c r="DB55" s="557"/>
      <c r="DC55" s="557"/>
      <c r="DD55" s="557"/>
      <c r="DE55" s="557"/>
      <c r="DF55" s="557"/>
      <c r="DG55" s="557"/>
      <c r="DH55" s="557"/>
      <c r="DI55" s="557"/>
      <c r="DJ55" s="557"/>
      <c r="DK55" s="557"/>
      <c r="DL55" s="557"/>
      <c r="DM55" s="557"/>
      <c r="DN55" s="557"/>
      <c r="DO55" s="661"/>
      <c r="DP55" s="556"/>
      <c r="DQ55" s="557"/>
      <c r="DR55" s="557"/>
      <c r="DS55" s="557"/>
      <c r="DT55" s="557"/>
      <c r="DU55" s="557"/>
      <c r="DV55" s="557"/>
      <c r="DW55" s="557"/>
      <c r="DX55" s="557"/>
      <c r="DY55" s="557"/>
      <c r="DZ55" s="557"/>
      <c r="EA55" s="557"/>
      <c r="EB55" s="557"/>
      <c r="EC55" s="557"/>
      <c r="ED55" s="557"/>
      <c r="EE55" s="557"/>
      <c r="EF55" s="557"/>
      <c r="EG55" s="557"/>
      <c r="EH55" s="557"/>
      <c r="EI55" s="661"/>
      <c r="EJ55" s="556"/>
      <c r="EK55" s="557"/>
      <c r="EL55" s="557"/>
      <c r="EM55" s="557"/>
      <c r="EN55" s="557"/>
      <c r="EO55" s="557"/>
      <c r="EP55" s="557"/>
      <c r="EQ55" s="557"/>
      <c r="ER55" s="557"/>
      <c r="ES55" s="557"/>
      <c r="ET55" s="557"/>
      <c r="EU55" s="557"/>
      <c r="EV55" s="557"/>
      <c r="EW55" s="557"/>
      <c r="EX55" s="557"/>
      <c r="EY55" s="557"/>
      <c r="EZ55" s="557"/>
      <c r="FA55" s="557"/>
      <c r="FB55" s="557"/>
      <c r="FC55" s="661"/>
      <c r="FD55" s="556"/>
      <c r="FE55" s="557"/>
      <c r="FF55" s="557"/>
      <c r="FG55" s="557"/>
      <c r="FH55" s="557"/>
      <c r="FI55" s="557"/>
      <c r="FJ55" s="557"/>
      <c r="FK55" s="557"/>
      <c r="FL55" s="557"/>
      <c r="FM55" s="557"/>
      <c r="FN55" s="557"/>
      <c r="FO55" s="557"/>
      <c r="FP55" s="557"/>
      <c r="FQ55" s="557"/>
      <c r="FR55" s="557"/>
      <c r="FS55" s="557"/>
      <c r="FT55" s="557"/>
      <c r="FU55" s="557"/>
      <c r="FV55" s="557"/>
      <c r="FW55" s="661"/>
      <c r="FX55" s="556"/>
      <c r="FY55" s="557"/>
      <c r="FZ55" s="557"/>
      <c r="GA55" s="557"/>
      <c r="GB55" s="557"/>
      <c r="GC55" s="557"/>
      <c r="GD55" s="557"/>
      <c r="GE55" s="557"/>
      <c r="GF55" s="557"/>
      <c r="GG55" s="557"/>
      <c r="GH55" s="557"/>
      <c r="GI55" s="557"/>
      <c r="GJ55" s="557"/>
      <c r="GK55" s="557"/>
      <c r="GL55" s="557"/>
      <c r="GM55" s="557"/>
      <c r="GN55" s="557"/>
      <c r="GO55" s="557"/>
      <c r="GP55" s="557"/>
      <c r="GQ55" s="661"/>
      <c r="GR55" s="556"/>
      <c r="GS55" s="557"/>
      <c r="GT55" s="557"/>
      <c r="GU55" s="557"/>
      <c r="GV55" s="557"/>
      <c r="GW55" s="557"/>
      <c r="GX55" s="557"/>
      <c r="GY55" s="557"/>
      <c r="GZ55" s="557"/>
      <c r="HA55" s="557"/>
      <c r="HB55" s="557"/>
      <c r="HC55" s="557"/>
      <c r="HD55" s="557"/>
      <c r="HE55" s="557"/>
      <c r="HF55" s="557"/>
      <c r="HG55" s="557"/>
      <c r="HH55" s="557"/>
      <c r="HI55" s="557"/>
      <c r="HJ55" s="557"/>
      <c r="HK55" s="661"/>
      <c r="HL55" s="556"/>
      <c r="HM55" s="557"/>
      <c r="HN55" s="557"/>
      <c r="HO55" s="557"/>
      <c r="HP55" s="557"/>
      <c r="HQ55" s="557"/>
      <c r="HR55" s="557"/>
      <c r="HS55" s="557"/>
      <c r="HT55" s="557"/>
      <c r="HU55" s="557"/>
      <c r="HV55" s="557"/>
      <c r="HW55" s="557"/>
      <c r="HX55" s="557"/>
      <c r="HY55" s="557"/>
      <c r="HZ55" s="557"/>
      <c r="IA55" s="557"/>
      <c r="IB55" s="557"/>
      <c r="IC55" s="557"/>
      <c r="ID55" s="557"/>
      <c r="IE55" s="661"/>
      <c r="IF55" s="556"/>
      <c r="IG55" s="557"/>
      <c r="IH55" s="557"/>
      <c r="II55" s="557"/>
      <c r="IJ55" s="557"/>
      <c r="IK55" s="557"/>
      <c r="IL55" s="557"/>
      <c r="IM55" s="557"/>
      <c r="IN55" s="557"/>
      <c r="IO55" s="557"/>
      <c r="IP55" s="557"/>
      <c r="IQ55" s="557"/>
      <c r="IR55" s="557"/>
      <c r="IS55" s="557"/>
      <c r="IT55" s="557"/>
      <c r="IU55" s="557"/>
      <c r="IV55" s="557"/>
      <c r="IW55" s="557"/>
      <c r="IX55" s="557"/>
      <c r="IY55" s="661"/>
      <c r="IZ55" s="556"/>
      <c r="JA55" s="557"/>
      <c r="JB55" s="557"/>
      <c r="JC55" s="557"/>
      <c r="JD55" s="557"/>
      <c r="JE55" s="557"/>
      <c r="JF55" s="557"/>
      <c r="JG55" s="557"/>
      <c r="JH55" s="557"/>
      <c r="JI55" s="557"/>
      <c r="JJ55" s="557"/>
      <c r="JK55" s="557"/>
      <c r="JL55" s="557"/>
      <c r="JM55" s="557"/>
      <c r="JN55" s="557"/>
      <c r="JO55" s="557"/>
      <c r="JP55" s="557"/>
      <c r="JQ55" s="557"/>
      <c r="JR55" s="557"/>
      <c r="JS55" s="661"/>
      <c r="JT55" s="556"/>
      <c r="JU55" s="557"/>
      <c r="JV55" s="557"/>
      <c r="JW55" s="557"/>
      <c r="JX55" s="557"/>
      <c r="JY55" s="557"/>
      <c r="JZ55" s="557"/>
      <c r="KA55" s="557"/>
      <c r="KB55" s="557"/>
      <c r="KC55" s="557"/>
      <c r="KD55" s="557"/>
      <c r="KE55" s="557"/>
      <c r="KF55" s="557"/>
      <c r="KG55" s="557"/>
      <c r="KH55" s="557"/>
      <c r="KI55" s="557"/>
      <c r="KJ55" s="557"/>
      <c r="KK55" s="557"/>
      <c r="KL55" s="557"/>
      <c r="KM55" s="661"/>
      <c r="KN55" s="556"/>
      <c r="KO55" s="557"/>
      <c r="KP55" s="557"/>
      <c r="KQ55" s="557"/>
      <c r="KR55" s="557"/>
      <c r="KS55" s="557"/>
      <c r="KT55" s="557"/>
      <c r="KU55" s="557"/>
      <c r="KV55" s="557"/>
      <c r="KW55" s="557"/>
      <c r="KX55" s="557"/>
      <c r="KY55" s="557"/>
      <c r="KZ55" s="557"/>
      <c r="LA55" s="557"/>
      <c r="LB55" s="557"/>
      <c r="LC55" s="557"/>
      <c r="LD55" s="557"/>
      <c r="LE55" s="557"/>
      <c r="LF55" s="557"/>
      <c r="LG55" s="661"/>
      <c r="LH55" s="556"/>
      <c r="LI55" s="557"/>
      <c r="LJ55" s="557"/>
      <c r="LK55" s="557"/>
      <c r="LL55" s="557"/>
      <c r="LM55" s="557"/>
      <c r="LN55" s="557"/>
      <c r="LO55" s="557"/>
      <c r="LP55" s="557"/>
      <c r="LQ55" s="557"/>
      <c r="LR55" s="557"/>
      <c r="LS55" s="557"/>
      <c r="LT55" s="557"/>
      <c r="LU55" s="557"/>
      <c r="LV55" s="557"/>
      <c r="LW55" s="557"/>
      <c r="LX55" s="557"/>
      <c r="LY55" s="557"/>
      <c r="LZ55" s="557"/>
      <c r="MA55" s="661"/>
      <c r="MB55" s="556"/>
      <c r="MC55" s="557"/>
      <c r="MD55" s="557"/>
      <c r="ME55" s="557"/>
      <c r="MF55" s="557"/>
      <c r="MG55" s="557"/>
      <c r="MH55" s="557"/>
      <c r="MI55" s="557"/>
      <c r="MJ55" s="557"/>
      <c r="MK55" s="557"/>
      <c r="ML55" s="557"/>
      <c r="MM55" s="557"/>
      <c r="MN55" s="557"/>
      <c r="MO55" s="557"/>
      <c r="MP55" s="557"/>
      <c r="MQ55" s="557"/>
      <c r="MR55" s="557"/>
      <c r="MS55" s="557"/>
      <c r="MT55" s="557"/>
      <c r="MU55" s="661"/>
      <c r="MV55" s="556"/>
      <c r="MW55" s="557"/>
      <c r="MX55" s="557"/>
      <c r="MY55" s="557"/>
      <c r="MZ55" s="557"/>
      <c r="NA55" s="557"/>
      <c r="NB55" s="557"/>
      <c r="NC55" s="557"/>
      <c r="ND55" s="557"/>
      <c r="NE55" s="557"/>
      <c r="NF55" s="557"/>
      <c r="NG55" s="557"/>
      <c r="NH55" s="557"/>
      <c r="NI55" s="557"/>
      <c r="NJ55" s="557"/>
      <c r="NK55" s="557"/>
      <c r="NL55" s="557"/>
      <c r="NM55" s="557"/>
      <c r="NN55" s="557"/>
      <c r="NO55" s="661"/>
      <c r="NP55" s="556"/>
      <c r="NQ55" s="557"/>
      <c r="NR55" s="557"/>
      <c r="NS55" s="557"/>
      <c r="NT55" s="557"/>
      <c r="NU55" s="557"/>
      <c r="NV55" s="557"/>
      <c r="NW55" s="557"/>
      <c r="NX55" s="557"/>
      <c r="NY55" s="557"/>
      <c r="NZ55" s="557"/>
      <c r="OA55" s="557"/>
      <c r="OB55" s="557"/>
      <c r="OC55" s="557"/>
      <c r="OD55" s="557"/>
      <c r="OE55" s="557"/>
      <c r="OF55" s="557"/>
      <c r="OG55" s="557"/>
      <c r="OH55" s="557"/>
      <c r="OI55" s="661"/>
      <c r="OJ55" s="556"/>
      <c r="OK55" s="557"/>
      <c r="OL55" s="557"/>
      <c r="OM55" s="557"/>
      <c r="ON55" s="557"/>
      <c r="OO55" s="557"/>
      <c r="OP55" s="557"/>
      <c r="OQ55" s="557"/>
      <c r="OR55" s="557"/>
      <c r="OS55" s="557"/>
      <c r="OT55" s="557"/>
      <c r="OU55" s="557"/>
      <c r="OV55" s="557"/>
      <c r="OW55" s="557"/>
      <c r="OX55" s="557"/>
      <c r="OY55" s="557"/>
      <c r="OZ55" s="557"/>
      <c r="PA55" s="557"/>
      <c r="PB55" s="557"/>
      <c r="PC55" s="661"/>
      <c r="PD55" s="556"/>
      <c r="PE55" s="557"/>
      <c r="PF55" s="557"/>
      <c r="PG55" s="557"/>
      <c r="PH55" s="557"/>
      <c r="PI55" s="557"/>
      <c r="PJ55" s="557"/>
      <c r="PK55" s="557"/>
      <c r="PL55" s="557"/>
      <c r="PM55" s="557"/>
      <c r="PN55" s="557"/>
      <c r="PO55" s="557"/>
      <c r="PP55" s="557"/>
      <c r="PQ55" s="557"/>
      <c r="PR55" s="557"/>
      <c r="PS55" s="557"/>
      <c r="PT55" s="557"/>
      <c r="PU55" s="557"/>
      <c r="PV55" s="557"/>
      <c r="PW55" s="661"/>
      <c r="PX55" s="556"/>
      <c r="PY55" s="557"/>
      <c r="PZ55" s="557"/>
      <c r="QA55" s="557"/>
      <c r="QB55" s="557"/>
      <c r="QC55" s="557"/>
      <c r="QD55" s="557"/>
      <c r="QE55" s="557"/>
      <c r="QF55" s="557"/>
      <c r="QG55" s="557"/>
      <c r="QH55" s="557"/>
      <c r="QI55" s="557"/>
      <c r="QJ55" s="557"/>
      <c r="QK55" s="557"/>
      <c r="QL55" s="557"/>
      <c r="QM55" s="557"/>
      <c r="QN55" s="557"/>
      <c r="QO55" s="557"/>
      <c r="QP55" s="557"/>
      <c r="QQ55" s="661"/>
      <c r="QR55" s="556"/>
      <c r="QS55" s="557"/>
      <c r="QT55" s="557"/>
      <c r="QU55" s="557"/>
      <c r="QV55" s="557"/>
      <c r="QW55" s="557"/>
      <c r="QX55" s="557"/>
      <c r="QY55" s="557"/>
      <c r="QZ55" s="557"/>
      <c r="RA55" s="557"/>
      <c r="RB55" s="557"/>
      <c r="RC55" s="557"/>
      <c r="RD55" s="557"/>
      <c r="RE55" s="557"/>
      <c r="RF55" s="557"/>
      <c r="RG55" s="557"/>
      <c r="RH55" s="557"/>
      <c r="RI55" s="557"/>
      <c r="RJ55" s="557"/>
      <c r="RK55" s="661"/>
      <c r="RL55" s="556"/>
      <c r="RM55" s="557"/>
      <c r="RN55" s="557"/>
      <c r="RO55" s="557"/>
      <c r="RP55" s="557"/>
      <c r="RQ55" s="557"/>
      <c r="RR55" s="557"/>
      <c r="RS55" s="557"/>
      <c r="RT55" s="557"/>
      <c r="RU55" s="557"/>
      <c r="RV55" s="557"/>
      <c r="RW55" s="557"/>
      <c r="RX55" s="557"/>
      <c r="RY55" s="557"/>
      <c r="RZ55" s="557"/>
      <c r="SA55" s="557"/>
      <c r="SB55" s="557"/>
      <c r="SC55" s="557"/>
      <c r="SD55" s="557"/>
      <c r="SE55" s="661"/>
      <c r="SF55" s="556"/>
      <c r="SG55" s="557"/>
      <c r="SH55" s="557"/>
      <c r="SI55" s="557"/>
      <c r="SJ55" s="557"/>
      <c r="SK55" s="557"/>
      <c r="SL55" s="557"/>
      <c r="SM55" s="557"/>
      <c r="SN55" s="557"/>
      <c r="SO55" s="557"/>
      <c r="SP55" s="557"/>
      <c r="SQ55" s="557"/>
      <c r="SR55" s="557"/>
      <c r="SS55" s="557"/>
      <c r="ST55" s="557"/>
      <c r="SU55" s="557"/>
      <c r="SV55" s="557"/>
      <c r="SW55" s="557"/>
      <c r="SX55" s="557"/>
      <c r="SY55" s="661"/>
      <c r="SZ55" s="556"/>
      <c r="TA55" s="557"/>
      <c r="TB55" s="557"/>
      <c r="TC55" s="557"/>
      <c r="TD55" s="557"/>
      <c r="TE55" s="557"/>
      <c r="TF55" s="557"/>
      <c r="TG55" s="557"/>
      <c r="TH55" s="557"/>
      <c r="TI55" s="557"/>
      <c r="TJ55" s="557"/>
      <c r="TK55" s="557"/>
      <c r="TL55" s="557"/>
      <c r="TM55" s="557"/>
      <c r="TN55" s="557"/>
      <c r="TO55" s="557"/>
      <c r="TP55" s="557"/>
      <c r="TQ55" s="557"/>
      <c r="TR55" s="557"/>
      <c r="TS55" s="661"/>
      <c r="TT55" s="556"/>
      <c r="TU55" s="557"/>
      <c r="TV55" s="557"/>
      <c r="TW55" s="557"/>
      <c r="TX55" s="557"/>
      <c r="TY55" s="557"/>
      <c r="TZ55" s="557"/>
      <c r="UA55" s="557"/>
      <c r="UB55" s="557"/>
      <c r="UC55" s="557"/>
      <c r="UD55" s="557"/>
      <c r="UE55" s="557"/>
      <c r="UF55" s="557"/>
      <c r="UG55" s="557"/>
      <c r="UH55" s="557"/>
      <c r="UI55" s="557"/>
      <c r="UJ55" s="557"/>
      <c r="UK55" s="557"/>
      <c r="UL55" s="557"/>
      <c r="UM55" s="661"/>
      <c r="UN55" s="556"/>
      <c r="UO55" s="557"/>
      <c r="UP55" s="557"/>
      <c r="UQ55" s="557"/>
      <c r="UR55" s="557"/>
      <c r="US55" s="557"/>
      <c r="UT55" s="557"/>
      <c r="UU55" s="557"/>
      <c r="UV55" s="557"/>
      <c r="UW55" s="557"/>
      <c r="UX55" s="557"/>
      <c r="UY55" s="557"/>
      <c r="UZ55" s="557"/>
      <c r="VA55" s="557"/>
      <c r="VB55" s="557"/>
      <c r="VC55" s="557"/>
      <c r="VD55" s="557"/>
      <c r="VE55" s="557"/>
      <c r="VF55" s="557"/>
      <c r="VG55" s="661"/>
      <c r="VH55" s="556"/>
      <c r="VI55" s="557"/>
      <c r="VJ55" s="557"/>
      <c r="VK55" s="557"/>
      <c r="VL55" s="557"/>
      <c r="VM55" s="557"/>
      <c r="VN55" s="557"/>
      <c r="VO55" s="557"/>
      <c r="VP55" s="557"/>
      <c r="VQ55" s="557"/>
      <c r="VR55" s="557"/>
      <c r="VS55" s="557"/>
      <c r="VT55" s="557"/>
      <c r="VU55" s="557"/>
      <c r="VV55" s="557"/>
      <c r="VW55" s="557"/>
      <c r="VX55" s="557"/>
      <c r="VY55" s="557"/>
      <c r="VZ55" s="557"/>
      <c r="WA55" s="661"/>
      <c r="WB55" s="556"/>
      <c r="WC55" s="557"/>
      <c r="WD55" s="557"/>
      <c r="WE55" s="557"/>
      <c r="WF55" s="557"/>
      <c r="WG55" s="557"/>
      <c r="WH55" s="557"/>
      <c r="WI55" s="557"/>
      <c r="WJ55" s="557"/>
      <c r="WK55" s="557"/>
      <c r="WL55" s="557"/>
      <c r="WM55" s="557"/>
      <c r="WN55" s="557"/>
      <c r="WO55" s="557"/>
      <c r="WP55" s="557"/>
      <c r="WQ55" s="557"/>
      <c r="WR55" s="557"/>
      <c r="WS55" s="557"/>
      <c r="WT55" s="557"/>
      <c r="WU55" s="661"/>
      <c r="WV55" s="556"/>
      <c r="WW55" s="557"/>
      <c r="WX55" s="557"/>
      <c r="WY55" s="557"/>
      <c r="WZ55" s="557"/>
      <c r="XA55" s="557"/>
      <c r="XB55" s="557"/>
      <c r="XC55" s="557"/>
      <c r="XD55" s="557"/>
      <c r="XE55" s="557"/>
      <c r="XF55" s="557"/>
      <c r="XG55" s="557"/>
      <c r="XH55" s="557"/>
      <c r="XI55" s="557"/>
      <c r="XJ55" s="557"/>
      <c r="XK55" s="557"/>
      <c r="XL55" s="557"/>
      <c r="XM55" s="557"/>
      <c r="XN55" s="557"/>
      <c r="XO55" s="661"/>
      <c r="XP55" s="556"/>
      <c r="XQ55" s="557"/>
      <c r="XR55" s="557"/>
      <c r="XS55" s="557"/>
      <c r="XT55" s="557"/>
      <c r="XU55" s="557"/>
      <c r="XV55" s="557"/>
      <c r="XW55" s="557"/>
      <c r="XX55" s="557"/>
      <c r="XY55" s="557"/>
      <c r="XZ55" s="557"/>
      <c r="YA55" s="557"/>
      <c r="YB55" s="557"/>
      <c r="YC55" s="557"/>
      <c r="YD55" s="557"/>
      <c r="YE55" s="557"/>
      <c r="YF55" s="557"/>
      <c r="YG55" s="557"/>
      <c r="YH55" s="557"/>
      <c r="YI55" s="661"/>
      <c r="YJ55" s="556"/>
      <c r="YK55" s="557"/>
      <c r="YL55" s="557"/>
      <c r="YM55" s="557"/>
      <c r="YN55" s="557"/>
      <c r="YO55" s="557"/>
      <c r="YP55" s="557"/>
      <c r="YQ55" s="557"/>
      <c r="YR55" s="557"/>
      <c r="YS55" s="557"/>
      <c r="YT55" s="557"/>
      <c r="YU55" s="557"/>
      <c r="YV55" s="557"/>
      <c r="YW55" s="557"/>
      <c r="YX55" s="557"/>
      <c r="YY55" s="557"/>
      <c r="YZ55" s="557"/>
      <c r="ZA55" s="557"/>
      <c r="ZB55" s="557"/>
      <c r="ZC55" s="661"/>
      <c r="ZD55" s="556"/>
      <c r="ZE55" s="557"/>
      <c r="ZF55" s="557"/>
      <c r="ZG55" s="557"/>
      <c r="ZH55" s="557"/>
      <c r="ZI55" s="557"/>
      <c r="ZJ55" s="557"/>
      <c r="ZK55" s="557"/>
      <c r="ZL55" s="557"/>
      <c r="ZM55" s="557"/>
      <c r="ZN55" s="557"/>
      <c r="ZO55" s="557"/>
      <c r="ZP55" s="557"/>
      <c r="ZQ55" s="557"/>
      <c r="ZR55" s="557"/>
      <c r="ZS55" s="557"/>
      <c r="ZT55" s="557"/>
      <c r="ZU55" s="557"/>
      <c r="ZV55" s="557"/>
      <c r="ZW55" s="661"/>
      <c r="ZX55" s="556"/>
      <c r="ZY55" s="557"/>
      <c r="ZZ55" s="557"/>
      <c r="AAA55" s="557"/>
      <c r="AAB55" s="557"/>
      <c r="AAC55" s="557"/>
      <c r="AAD55" s="557"/>
      <c r="AAE55" s="557"/>
      <c r="AAF55" s="557"/>
      <c r="AAG55" s="557"/>
      <c r="AAH55" s="557"/>
      <c r="AAI55" s="557"/>
      <c r="AAJ55" s="557"/>
      <c r="AAK55" s="557"/>
      <c r="AAL55" s="557"/>
      <c r="AAM55" s="557"/>
      <c r="AAN55" s="557"/>
      <c r="AAO55" s="557"/>
      <c r="AAP55" s="557"/>
      <c r="AAQ55" s="661"/>
      <c r="AAR55" s="556"/>
      <c r="AAS55" s="557"/>
      <c r="AAT55" s="557"/>
      <c r="AAU55" s="557"/>
      <c r="AAV55" s="557"/>
      <c r="AAW55" s="557"/>
      <c r="AAX55" s="557"/>
      <c r="AAY55" s="557"/>
      <c r="AAZ55" s="557"/>
      <c r="ABA55" s="557"/>
      <c r="ABB55" s="557"/>
      <c r="ABC55" s="557"/>
      <c r="ABD55" s="557"/>
      <c r="ABE55" s="557"/>
      <c r="ABF55" s="557"/>
      <c r="ABG55" s="557"/>
      <c r="ABH55" s="557"/>
      <c r="ABI55" s="557"/>
      <c r="ABJ55" s="557"/>
      <c r="ABK55" s="661"/>
      <c r="ABL55" s="556"/>
      <c r="ABM55" s="557"/>
      <c r="ABN55" s="557"/>
      <c r="ABO55" s="557"/>
      <c r="ABP55" s="557"/>
      <c r="ABQ55" s="557"/>
      <c r="ABR55" s="557"/>
      <c r="ABS55" s="557"/>
      <c r="ABT55" s="557"/>
      <c r="ABU55" s="557"/>
      <c r="ABV55" s="557"/>
      <c r="ABW55" s="557"/>
      <c r="ABX55" s="557"/>
      <c r="ABY55" s="557"/>
      <c r="ABZ55" s="557"/>
      <c r="ACA55" s="557"/>
      <c r="ACB55" s="557"/>
      <c r="ACC55" s="557"/>
      <c r="ACD55" s="557"/>
      <c r="ACE55" s="661"/>
      <c r="ACF55" s="556"/>
      <c r="ACG55" s="557"/>
      <c r="ACH55" s="557"/>
      <c r="ACI55" s="557"/>
      <c r="ACJ55" s="557"/>
      <c r="ACK55" s="557"/>
      <c r="ACL55" s="557"/>
      <c r="ACM55" s="557"/>
      <c r="ACN55" s="557"/>
      <c r="ACO55" s="557"/>
      <c r="ACP55" s="557"/>
      <c r="ACQ55" s="557"/>
      <c r="ACR55" s="557"/>
      <c r="ACS55" s="557"/>
      <c r="ACT55" s="557"/>
      <c r="ACU55" s="557"/>
      <c r="ACV55" s="557"/>
      <c r="ACW55" s="557"/>
      <c r="ACX55" s="557"/>
      <c r="ACY55" s="661"/>
      <c r="ACZ55" s="556"/>
      <c r="ADA55" s="557"/>
      <c r="ADB55" s="557"/>
      <c r="ADC55" s="557"/>
      <c r="ADD55" s="557"/>
      <c r="ADE55" s="557"/>
      <c r="ADF55" s="557"/>
      <c r="ADG55" s="557"/>
      <c r="ADH55" s="557"/>
      <c r="ADI55" s="557"/>
      <c r="ADJ55" s="557"/>
      <c r="ADK55" s="557"/>
      <c r="ADL55" s="557"/>
      <c r="ADM55" s="557"/>
      <c r="ADN55" s="557"/>
      <c r="ADO55" s="557"/>
      <c r="ADP55" s="557"/>
      <c r="ADQ55" s="557"/>
      <c r="ADR55" s="557"/>
      <c r="ADS55" s="661"/>
      <c r="ADT55" s="556"/>
      <c r="ADU55" s="557"/>
      <c r="ADV55" s="557"/>
      <c r="ADW55" s="557"/>
      <c r="ADX55" s="557"/>
      <c r="ADY55" s="557"/>
      <c r="ADZ55" s="557"/>
      <c r="AEA55" s="557"/>
      <c r="AEB55" s="557"/>
      <c r="AEC55" s="557"/>
      <c r="AED55" s="557"/>
      <c r="AEE55" s="557"/>
      <c r="AEF55" s="557"/>
      <c r="AEG55" s="557"/>
      <c r="AEH55" s="557"/>
      <c r="AEI55" s="557"/>
      <c r="AEJ55" s="557"/>
      <c r="AEK55" s="557"/>
      <c r="AEL55" s="557"/>
      <c r="AEM55" s="661"/>
      <c r="AEN55" s="556"/>
      <c r="AEO55" s="557"/>
      <c r="AEP55" s="557"/>
      <c r="AEQ55" s="557"/>
      <c r="AER55" s="557"/>
      <c r="AES55" s="557"/>
      <c r="AET55" s="557"/>
      <c r="AEU55" s="557"/>
      <c r="AEV55" s="557"/>
      <c r="AEW55" s="557"/>
      <c r="AEX55" s="557"/>
      <c r="AEY55" s="557"/>
      <c r="AEZ55" s="557"/>
      <c r="AFA55" s="557"/>
      <c r="AFB55" s="557"/>
      <c r="AFC55" s="557"/>
      <c r="AFD55" s="557"/>
      <c r="AFE55" s="557"/>
      <c r="AFF55" s="557"/>
      <c r="AFG55" s="661"/>
      <c r="AFH55" s="556"/>
      <c r="AFI55" s="557"/>
      <c r="AFJ55" s="557"/>
      <c r="AFK55" s="557"/>
      <c r="AFL55" s="557"/>
      <c r="AFM55" s="557"/>
      <c r="AFN55" s="557"/>
      <c r="AFO55" s="557"/>
      <c r="AFP55" s="557"/>
      <c r="AFQ55" s="557"/>
      <c r="AFR55" s="557"/>
      <c r="AFS55" s="557"/>
      <c r="AFT55" s="557"/>
      <c r="AFU55" s="557"/>
      <c r="AFV55" s="557"/>
      <c r="AFW55" s="557"/>
      <c r="AFX55" s="557"/>
      <c r="AFY55" s="557"/>
      <c r="AFZ55" s="557"/>
      <c r="AGA55" s="661"/>
      <c r="AGB55" s="556"/>
      <c r="AGC55" s="557"/>
      <c r="AGD55" s="557"/>
      <c r="AGE55" s="557"/>
      <c r="AGF55" s="557"/>
      <c r="AGG55" s="557"/>
      <c r="AGH55" s="557"/>
      <c r="AGI55" s="557"/>
      <c r="AGJ55" s="557"/>
      <c r="AGK55" s="557"/>
      <c r="AGL55" s="557"/>
      <c r="AGM55" s="557"/>
      <c r="AGN55" s="557"/>
      <c r="AGO55" s="557"/>
      <c r="AGP55" s="557"/>
      <c r="AGQ55" s="557"/>
      <c r="AGR55" s="557"/>
      <c r="AGS55" s="557"/>
      <c r="AGT55" s="557"/>
      <c r="AGU55" s="661"/>
      <c r="AGV55" s="556"/>
      <c r="AGW55" s="557"/>
      <c r="AGX55" s="557"/>
      <c r="AGY55" s="557"/>
      <c r="AGZ55" s="557"/>
      <c r="AHA55" s="557"/>
      <c r="AHB55" s="557"/>
      <c r="AHC55" s="557"/>
      <c r="AHD55" s="557"/>
      <c r="AHE55" s="557"/>
      <c r="AHF55" s="557"/>
      <c r="AHG55" s="557"/>
      <c r="AHH55" s="557"/>
      <c r="AHI55" s="557"/>
      <c r="AHJ55" s="557"/>
      <c r="AHK55" s="557"/>
      <c r="AHL55" s="557"/>
      <c r="AHM55" s="557"/>
      <c r="AHN55" s="557"/>
      <c r="AHO55" s="661"/>
      <c r="AHP55" s="556"/>
      <c r="AHQ55" s="557"/>
      <c r="AHR55" s="557"/>
      <c r="AHS55" s="557"/>
      <c r="AHT55" s="557"/>
      <c r="AHU55" s="557"/>
      <c r="AHV55" s="557"/>
      <c r="AHW55" s="557"/>
      <c r="AHX55" s="557"/>
      <c r="AHY55" s="557"/>
      <c r="AHZ55" s="557"/>
      <c r="AIA55" s="557"/>
      <c r="AIB55" s="557"/>
      <c r="AIC55" s="557"/>
      <c r="AID55" s="557"/>
      <c r="AIE55" s="557"/>
      <c r="AIF55" s="557"/>
      <c r="AIG55" s="557"/>
      <c r="AIH55" s="557"/>
      <c r="AII55" s="661"/>
      <c r="AIJ55" s="556"/>
      <c r="AIK55" s="557"/>
      <c r="AIL55" s="557"/>
      <c r="AIM55" s="557"/>
      <c r="AIN55" s="557"/>
      <c r="AIO55" s="557"/>
      <c r="AIP55" s="557"/>
      <c r="AIQ55" s="557"/>
      <c r="AIR55" s="557"/>
      <c r="AIS55" s="557"/>
      <c r="AIT55" s="557"/>
      <c r="AIU55" s="557"/>
      <c r="AIV55" s="557"/>
      <c r="AIW55" s="557"/>
      <c r="AIX55" s="557"/>
      <c r="AIY55" s="557"/>
      <c r="AIZ55" s="557"/>
      <c r="AJA55" s="557"/>
      <c r="AJB55" s="557"/>
      <c r="AJC55" s="661"/>
      <c r="AJD55" s="556"/>
      <c r="AJE55" s="557"/>
      <c r="AJF55" s="557"/>
      <c r="AJG55" s="557"/>
      <c r="AJH55" s="557"/>
      <c r="AJI55" s="557"/>
      <c r="AJJ55" s="557"/>
      <c r="AJK55" s="557"/>
      <c r="AJL55" s="557"/>
      <c r="AJM55" s="557"/>
      <c r="AJN55" s="557"/>
      <c r="AJO55" s="557"/>
      <c r="AJP55" s="557"/>
      <c r="AJQ55" s="557"/>
      <c r="AJR55" s="557"/>
      <c r="AJS55" s="557"/>
      <c r="AJT55" s="557"/>
      <c r="AJU55" s="557"/>
      <c r="AJV55" s="557"/>
      <c r="AJW55" s="661"/>
      <c r="AJX55" s="556"/>
      <c r="AJY55" s="557"/>
      <c r="AJZ55" s="557"/>
      <c r="AKA55" s="557"/>
      <c r="AKB55" s="557"/>
      <c r="AKC55" s="557"/>
      <c r="AKD55" s="557"/>
      <c r="AKE55" s="557"/>
      <c r="AKF55" s="557"/>
      <c r="AKG55" s="557"/>
      <c r="AKH55" s="557"/>
      <c r="AKI55" s="557"/>
      <c r="AKJ55" s="557"/>
      <c r="AKK55" s="557"/>
      <c r="AKL55" s="557"/>
      <c r="AKM55" s="557"/>
      <c r="AKN55" s="557"/>
      <c r="AKO55" s="557"/>
      <c r="AKP55" s="557"/>
      <c r="AKQ55" s="661"/>
      <c r="AKR55" s="556"/>
      <c r="AKS55" s="557"/>
      <c r="AKT55" s="557"/>
      <c r="AKU55" s="557"/>
      <c r="AKV55" s="557"/>
      <c r="AKW55" s="557"/>
      <c r="AKX55" s="557"/>
      <c r="AKY55" s="557"/>
      <c r="AKZ55" s="557"/>
      <c r="ALA55" s="557"/>
      <c r="ALB55" s="557"/>
      <c r="ALC55" s="557"/>
      <c r="ALD55" s="557"/>
      <c r="ALE55" s="557"/>
      <c r="ALF55" s="557"/>
      <c r="ALG55" s="557"/>
      <c r="ALH55" s="557"/>
      <c r="ALI55" s="557"/>
      <c r="ALJ55" s="557"/>
      <c r="ALK55" s="661"/>
      <c r="ALL55" s="556"/>
      <c r="ALM55" s="557"/>
      <c r="ALN55" s="557"/>
      <c r="ALO55" s="557"/>
      <c r="ALP55" s="557"/>
      <c r="ALQ55" s="557"/>
      <c r="ALR55" s="557"/>
      <c r="ALS55" s="557"/>
      <c r="ALT55" s="557"/>
      <c r="ALU55" s="557"/>
      <c r="ALV55" s="557"/>
      <c r="ALW55" s="557"/>
      <c r="ALX55" s="557"/>
      <c r="ALY55" s="557"/>
      <c r="ALZ55" s="557"/>
      <c r="AMA55" s="557"/>
      <c r="AMB55" s="557"/>
      <c r="AMC55" s="557"/>
      <c r="AMD55" s="557"/>
      <c r="AME55" s="661"/>
      <c r="AMF55" s="556"/>
      <c r="AMG55" s="557"/>
      <c r="AMH55" s="557"/>
      <c r="AMI55" s="557"/>
      <c r="AMJ55" s="557"/>
      <c r="AMK55" s="557"/>
      <c r="AML55" s="557"/>
      <c r="AMM55" s="557"/>
      <c r="AMN55" s="557"/>
      <c r="AMO55" s="557"/>
      <c r="AMP55" s="557"/>
      <c r="AMQ55" s="557"/>
      <c r="AMR55" s="557"/>
      <c r="AMS55" s="557"/>
      <c r="AMT55" s="557"/>
      <c r="AMU55" s="557"/>
      <c r="AMV55" s="557"/>
      <c r="AMW55" s="557"/>
      <c r="AMX55" s="557"/>
      <c r="AMY55" s="661"/>
      <c r="AMZ55" s="556"/>
      <c r="ANA55" s="557"/>
      <c r="ANB55" s="557"/>
      <c r="ANC55" s="557"/>
      <c r="AND55" s="557"/>
      <c r="ANE55" s="557"/>
      <c r="ANF55" s="557"/>
      <c r="ANG55" s="557"/>
      <c r="ANH55" s="557"/>
      <c r="ANI55" s="557"/>
      <c r="ANJ55" s="557"/>
      <c r="ANK55" s="557"/>
      <c r="ANL55" s="557"/>
      <c r="ANM55" s="557"/>
      <c r="ANN55" s="557"/>
      <c r="ANO55" s="557"/>
      <c r="ANP55" s="557"/>
      <c r="ANQ55" s="557"/>
      <c r="ANR55" s="557"/>
      <c r="ANS55" s="661"/>
      <c r="ANT55" s="556"/>
      <c r="ANU55" s="557"/>
      <c r="ANV55" s="557"/>
      <c r="ANW55" s="557"/>
      <c r="ANX55" s="557"/>
      <c r="ANY55" s="557"/>
      <c r="ANZ55" s="557"/>
      <c r="AOA55" s="557"/>
      <c r="AOB55" s="557"/>
      <c r="AOC55" s="557"/>
      <c r="AOD55" s="557"/>
      <c r="AOE55" s="557"/>
      <c r="AOF55" s="557"/>
      <c r="AOG55" s="557"/>
      <c r="AOH55" s="557"/>
      <c r="AOI55" s="557"/>
      <c r="AOJ55" s="557"/>
      <c r="AOK55" s="557"/>
      <c r="AOL55" s="557"/>
      <c r="AOM55" s="661"/>
      <c r="AON55" s="556"/>
      <c r="AOO55" s="557"/>
      <c r="AOP55" s="557"/>
      <c r="AOQ55" s="557"/>
      <c r="AOR55" s="557"/>
      <c r="AOS55" s="557"/>
      <c r="AOT55" s="557"/>
      <c r="AOU55" s="557"/>
      <c r="AOV55" s="557"/>
      <c r="AOW55" s="557"/>
      <c r="AOX55" s="557"/>
      <c r="AOY55" s="557"/>
      <c r="AOZ55" s="557"/>
      <c r="APA55" s="557"/>
      <c r="APB55" s="557"/>
      <c r="APC55" s="557"/>
      <c r="APD55" s="557"/>
      <c r="APE55" s="557"/>
      <c r="APF55" s="557"/>
      <c r="APG55" s="661"/>
      <c r="APH55" s="556"/>
      <c r="API55" s="557"/>
      <c r="APJ55" s="557"/>
      <c r="APK55" s="557"/>
      <c r="APL55" s="557"/>
      <c r="APM55" s="557"/>
      <c r="APN55" s="557"/>
      <c r="APO55" s="557"/>
      <c r="APP55" s="557"/>
      <c r="APQ55" s="557"/>
      <c r="APR55" s="557"/>
      <c r="APS55" s="557"/>
      <c r="APT55" s="557"/>
      <c r="APU55" s="557"/>
      <c r="APV55" s="557"/>
      <c r="APW55" s="557"/>
      <c r="APX55" s="557"/>
      <c r="APY55" s="557"/>
      <c r="APZ55" s="557"/>
      <c r="AQA55" s="661"/>
      <c r="AQB55" s="556"/>
      <c r="AQC55" s="557"/>
      <c r="AQD55" s="557"/>
      <c r="AQE55" s="557"/>
      <c r="AQF55" s="557"/>
      <c r="AQG55" s="557"/>
      <c r="AQH55" s="557"/>
      <c r="AQI55" s="557"/>
      <c r="AQJ55" s="557"/>
      <c r="AQK55" s="557"/>
      <c r="AQL55" s="557"/>
      <c r="AQM55" s="557"/>
      <c r="AQN55" s="557"/>
      <c r="AQO55" s="557"/>
      <c r="AQP55" s="557"/>
      <c r="AQQ55" s="557"/>
      <c r="AQR55" s="557"/>
      <c r="AQS55" s="557"/>
      <c r="AQT55" s="557"/>
      <c r="AQU55" s="661"/>
      <c r="AQV55" s="556"/>
      <c r="AQW55" s="557"/>
      <c r="AQX55" s="557"/>
      <c r="AQY55" s="557"/>
      <c r="AQZ55" s="557"/>
      <c r="ARA55" s="557"/>
      <c r="ARB55" s="557"/>
      <c r="ARC55" s="557"/>
      <c r="ARD55" s="557"/>
      <c r="ARE55" s="557"/>
      <c r="ARF55" s="557"/>
      <c r="ARG55" s="557"/>
      <c r="ARH55" s="557"/>
      <c r="ARI55" s="557"/>
      <c r="ARJ55" s="557"/>
      <c r="ARK55" s="557"/>
      <c r="ARL55" s="557"/>
      <c r="ARM55" s="557"/>
      <c r="ARN55" s="557"/>
      <c r="ARO55" s="661"/>
      <c r="ARP55" s="556"/>
      <c r="ARQ55" s="557"/>
      <c r="ARR55" s="557"/>
      <c r="ARS55" s="557"/>
      <c r="ART55" s="557"/>
      <c r="ARU55" s="557"/>
      <c r="ARV55" s="557"/>
      <c r="ARW55" s="557"/>
      <c r="ARX55" s="557"/>
      <c r="ARY55" s="557"/>
      <c r="ARZ55" s="557"/>
      <c r="ASA55" s="557"/>
      <c r="ASB55" s="557"/>
      <c r="ASC55" s="557"/>
      <c r="ASD55" s="557"/>
      <c r="ASE55" s="557"/>
      <c r="ASF55" s="557"/>
      <c r="ASG55" s="557"/>
      <c r="ASH55" s="557"/>
      <c r="ASI55" s="661"/>
      <c r="ASJ55" s="556"/>
      <c r="ASK55" s="557"/>
      <c r="ASL55" s="557"/>
      <c r="ASM55" s="557"/>
      <c r="ASN55" s="557"/>
      <c r="ASO55" s="557"/>
      <c r="ASP55" s="557"/>
      <c r="ASQ55" s="557"/>
      <c r="ASR55" s="557"/>
      <c r="ASS55" s="557"/>
      <c r="AST55" s="557"/>
      <c r="ASU55" s="557"/>
      <c r="ASV55" s="557"/>
      <c r="ASW55" s="557"/>
      <c r="ASX55" s="557"/>
      <c r="ASY55" s="557"/>
      <c r="ASZ55" s="557"/>
      <c r="ATA55" s="557"/>
      <c r="ATB55" s="557"/>
      <c r="ATC55" s="661"/>
      <c r="ATD55" s="556"/>
      <c r="ATE55" s="557"/>
      <c r="ATF55" s="557"/>
      <c r="ATG55" s="557"/>
      <c r="ATH55" s="557"/>
      <c r="ATI55" s="557"/>
      <c r="ATJ55" s="557"/>
      <c r="ATK55" s="557"/>
      <c r="ATL55" s="557"/>
      <c r="ATM55" s="557"/>
      <c r="ATN55" s="557"/>
      <c r="ATO55" s="557"/>
      <c r="ATP55" s="557"/>
      <c r="ATQ55" s="557"/>
      <c r="ATR55" s="557"/>
      <c r="ATS55" s="557"/>
      <c r="ATT55" s="557"/>
      <c r="ATU55" s="557"/>
      <c r="ATV55" s="557"/>
      <c r="ATW55" s="661"/>
      <c r="ATX55" s="556"/>
      <c r="ATY55" s="557"/>
      <c r="ATZ55" s="557"/>
      <c r="AUA55" s="557"/>
      <c r="AUB55" s="557"/>
      <c r="AUC55" s="557"/>
      <c r="AUD55" s="557"/>
      <c r="AUE55" s="557"/>
      <c r="AUF55" s="557"/>
      <c r="AUG55" s="557"/>
      <c r="AUH55" s="557"/>
      <c r="AUI55" s="557"/>
      <c r="AUJ55" s="557"/>
      <c r="AUK55" s="557"/>
      <c r="AUL55" s="557"/>
      <c r="AUM55" s="557"/>
      <c r="AUN55" s="557"/>
      <c r="AUO55" s="557"/>
      <c r="AUP55" s="557"/>
      <c r="AUQ55" s="661"/>
      <c r="AUR55" s="556"/>
      <c r="AUS55" s="557"/>
      <c r="AUT55" s="557"/>
      <c r="AUU55" s="557"/>
      <c r="AUV55" s="557"/>
      <c r="AUW55" s="557"/>
      <c r="AUX55" s="557"/>
      <c r="AUY55" s="557"/>
      <c r="AUZ55" s="557"/>
      <c r="AVA55" s="557"/>
      <c r="AVB55" s="557"/>
      <c r="AVC55" s="557"/>
      <c r="AVD55" s="557"/>
      <c r="AVE55" s="557"/>
      <c r="AVF55" s="557"/>
      <c r="AVG55" s="557"/>
      <c r="AVH55" s="557"/>
      <c r="AVI55" s="557"/>
      <c r="AVJ55" s="557"/>
      <c r="AVK55" s="661"/>
      <c r="AVL55" s="556"/>
      <c r="AVM55" s="557"/>
      <c r="AVN55" s="557"/>
      <c r="AVO55" s="557"/>
      <c r="AVP55" s="557"/>
      <c r="AVQ55" s="557"/>
      <c r="AVR55" s="557"/>
      <c r="AVS55" s="557"/>
      <c r="AVT55" s="557"/>
      <c r="AVU55" s="557"/>
      <c r="AVV55" s="557"/>
      <c r="AVW55" s="557"/>
      <c r="AVX55" s="557"/>
      <c r="AVY55" s="557"/>
      <c r="AVZ55" s="557"/>
      <c r="AWA55" s="557"/>
      <c r="AWB55" s="557"/>
      <c r="AWC55" s="557"/>
      <c r="AWD55" s="557"/>
      <c r="AWE55" s="661"/>
      <c r="AWF55" s="556"/>
      <c r="AWG55" s="557"/>
      <c r="AWH55" s="557"/>
      <c r="AWI55" s="557"/>
      <c r="AWJ55" s="557"/>
      <c r="AWK55" s="557"/>
      <c r="AWL55" s="557"/>
      <c r="AWM55" s="557"/>
      <c r="AWN55" s="557"/>
      <c r="AWO55" s="557"/>
      <c r="AWP55" s="557"/>
      <c r="AWQ55" s="557"/>
      <c r="AWR55" s="557"/>
      <c r="AWS55" s="557"/>
      <c r="AWT55" s="557"/>
      <c r="AWU55" s="557"/>
      <c r="AWV55" s="557"/>
      <c r="AWW55" s="557"/>
      <c r="AWX55" s="557"/>
      <c r="AWY55" s="661"/>
      <c r="AWZ55" s="556"/>
      <c r="AXA55" s="557"/>
      <c r="AXB55" s="557"/>
      <c r="AXC55" s="557"/>
      <c r="AXD55" s="557"/>
      <c r="AXE55" s="557"/>
      <c r="AXF55" s="557"/>
      <c r="AXG55" s="557"/>
      <c r="AXH55" s="557"/>
      <c r="AXI55" s="557"/>
      <c r="AXJ55" s="557"/>
      <c r="AXK55" s="557"/>
      <c r="AXL55" s="557"/>
      <c r="AXM55" s="557"/>
      <c r="AXN55" s="557"/>
      <c r="AXO55" s="557"/>
      <c r="AXP55" s="557"/>
      <c r="AXQ55" s="557"/>
      <c r="AXR55" s="557"/>
      <c r="AXS55" s="661"/>
      <c r="AXT55" s="556"/>
      <c r="AXU55" s="557"/>
      <c r="AXV55" s="557"/>
      <c r="AXW55" s="557"/>
      <c r="AXX55" s="557"/>
      <c r="AXY55" s="557"/>
      <c r="AXZ55" s="557"/>
      <c r="AYA55" s="557"/>
      <c r="AYB55" s="557"/>
      <c r="AYC55" s="557"/>
      <c r="AYD55" s="557"/>
      <c r="AYE55" s="557"/>
      <c r="AYF55" s="557"/>
      <c r="AYG55" s="557"/>
      <c r="AYH55" s="557"/>
      <c r="AYI55" s="557"/>
      <c r="AYJ55" s="557"/>
      <c r="AYK55" s="557"/>
      <c r="AYL55" s="557"/>
      <c r="AYM55" s="661"/>
      <c r="AYN55" s="556"/>
      <c r="AYO55" s="557"/>
      <c r="AYP55" s="557"/>
      <c r="AYQ55" s="557"/>
      <c r="AYR55" s="557"/>
      <c r="AYS55" s="557"/>
      <c r="AYT55" s="557"/>
      <c r="AYU55" s="557"/>
      <c r="AYV55" s="557"/>
      <c r="AYW55" s="557"/>
      <c r="AYX55" s="557"/>
      <c r="AYY55" s="557"/>
      <c r="AYZ55" s="557"/>
      <c r="AZA55" s="557"/>
      <c r="AZB55" s="557"/>
      <c r="AZC55" s="557"/>
      <c r="AZD55" s="557"/>
      <c r="AZE55" s="557"/>
      <c r="AZF55" s="557"/>
      <c r="AZG55" s="661"/>
      <c r="AZH55" s="556"/>
      <c r="AZI55" s="557"/>
      <c r="AZJ55" s="557"/>
      <c r="AZK55" s="557"/>
      <c r="AZL55" s="557"/>
      <c r="AZM55" s="557"/>
      <c r="AZN55" s="557"/>
      <c r="AZO55" s="557"/>
      <c r="AZP55" s="557"/>
      <c r="AZQ55" s="557"/>
      <c r="AZR55" s="557"/>
      <c r="AZS55" s="557"/>
      <c r="AZT55" s="557"/>
      <c r="AZU55" s="557"/>
      <c r="AZV55" s="557"/>
      <c r="AZW55" s="557"/>
      <c r="AZX55" s="557"/>
      <c r="AZY55" s="557"/>
      <c r="AZZ55" s="557"/>
      <c r="BAA55" s="661"/>
      <c r="BAB55" s="556"/>
      <c r="BAC55" s="557"/>
      <c r="BAD55" s="557"/>
      <c r="BAE55" s="557"/>
      <c r="BAF55" s="557"/>
      <c r="BAG55" s="557"/>
      <c r="BAH55" s="557"/>
      <c r="BAI55" s="557"/>
      <c r="BAJ55" s="557"/>
      <c r="BAK55" s="557"/>
      <c r="BAL55" s="557"/>
      <c r="BAM55" s="557"/>
      <c r="BAN55" s="557"/>
      <c r="BAO55" s="557"/>
      <c r="BAP55" s="557"/>
      <c r="BAQ55" s="557"/>
      <c r="BAR55" s="557"/>
      <c r="BAS55" s="557"/>
      <c r="BAT55" s="557"/>
      <c r="BAU55" s="661"/>
      <c r="BAV55" s="556"/>
      <c r="BAW55" s="557"/>
      <c r="BAX55" s="557"/>
      <c r="BAY55" s="557"/>
      <c r="BAZ55" s="557"/>
      <c r="BBA55" s="557"/>
      <c r="BBB55" s="557"/>
      <c r="BBC55" s="557"/>
      <c r="BBD55" s="557"/>
      <c r="BBE55" s="557"/>
      <c r="BBF55" s="557"/>
      <c r="BBG55" s="557"/>
      <c r="BBH55" s="557"/>
      <c r="BBI55" s="557"/>
      <c r="BBJ55" s="557"/>
      <c r="BBK55" s="557"/>
      <c r="BBL55" s="557"/>
      <c r="BBM55" s="557"/>
      <c r="BBN55" s="557"/>
      <c r="BBO55" s="661"/>
      <c r="BBP55" s="556"/>
      <c r="BBQ55" s="557"/>
      <c r="BBR55" s="557"/>
      <c r="BBS55" s="557"/>
      <c r="BBT55" s="557"/>
      <c r="BBU55" s="557"/>
      <c r="BBV55" s="557"/>
      <c r="BBW55" s="557"/>
      <c r="BBX55" s="557"/>
      <c r="BBY55" s="557"/>
      <c r="BBZ55" s="557"/>
      <c r="BCA55" s="557"/>
      <c r="BCB55" s="557"/>
      <c r="BCC55" s="557"/>
      <c r="BCD55" s="557"/>
      <c r="BCE55" s="557"/>
      <c r="BCF55" s="557"/>
      <c r="BCG55" s="557"/>
      <c r="BCH55" s="557"/>
      <c r="BCI55" s="661"/>
      <c r="BCJ55" s="556"/>
      <c r="BCK55" s="557"/>
      <c r="BCL55" s="557"/>
      <c r="BCM55" s="557"/>
      <c r="BCN55" s="557"/>
      <c r="BCO55" s="557"/>
      <c r="BCP55" s="557"/>
      <c r="BCQ55" s="557"/>
      <c r="BCR55" s="557"/>
      <c r="BCS55" s="557"/>
      <c r="BCT55" s="557"/>
      <c r="BCU55" s="557"/>
      <c r="BCV55" s="557"/>
      <c r="BCW55" s="557"/>
      <c r="BCX55" s="557"/>
      <c r="BCY55" s="557"/>
      <c r="BCZ55" s="557"/>
      <c r="BDA55" s="557"/>
      <c r="BDB55" s="557"/>
      <c r="BDC55" s="661"/>
      <c r="BDD55" s="556"/>
      <c r="BDE55" s="557"/>
      <c r="BDF55" s="557"/>
      <c r="BDG55" s="557"/>
      <c r="BDH55" s="557"/>
      <c r="BDI55" s="557"/>
      <c r="BDJ55" s="557"/>
      <c r="BDK55" s="557"/>
      <c r="BDL55" s="557"/>
      <c r="BDM55" s="557"/>
      <c r="BDN55" s="557"/>
      <c r="BDO55" s="557"/>
      <c r="BDP55" s="557"/>
      <c r="BDQ55" s="557"/>
      <c r="BDR55" s="557"/>
      <c r="BDS55" s="557"/>
      <c r="BDT55" s="557"/>
      <c r="BDU55" s="557"/>
      <c r="BDV55" s="557"/>
      <c r="BDW55" s="661"/>
      <c r="BDX55" s="556"/>
      <c r="BDY55" s="557"/>
      <c r="BDZ55" s="557"/>
      <c r="BEA55" s="557"/>
      <c r="BEB55" s="557"/>
      <c r="BEC55" s="557"/>
      <c r="BED55" s="557"/>
      <c r="BEE55" s="557"/>
      <c r="BEF55" s="557"/>
      <c r="BEG55" s="557"/>
      <c r="BEH55" s="557"/>
      <c r="BEI55" s="557"/>
      <c r="BEJ55" s="557"/>
      <c r="BEK55" s="557"/>
      <c r="BEL55" s="557"/>
      <c r="BEM55" s="557"/>
      <c r="BEN55" s="557"/>
      <c r="BEO55" s="557"/>
      <c r="BEP55" s="557"/>
      <c r="BEQ55" s="661"/>
      <c r="BER55" s="556"/>
      <c r="BES55" s="557"/>
      <c r="BET55" s="557"/>
      <c r="BEU55" s="557"/>
      <c r="BEV55" s="557"/>
      <c r="BEW55" s="557"/>
      <c r="BEX55" s="557"/>
      <c r="BEY55" s="557"/>
      <c r="BEZ55" s="557"/>
      <c r="BFA55" s="557"/>
      <c r="BFB55" s="557"/>
      <c r="BFC55" s="557"/>
      <c r="BFD55" s="557"/>
      <c r="BFE55" s="557"/>
      <c r="BFF55" s="557"/>
      <c r="BFG55" s="557"/>
      <c r="BFH55" s="557"/>
      <c r="BFI55" s="557"/>
      <c r="BFJ55" s="557"/>
      <c r="BFK55" s="661"/>
      <c r="BFL55" s="556"/>
      <c r="BFM55" s="557"/>
      <c r="BFN55" s="557"/>
      <c r="BFO55" s="557"/>
      <c r="BFP55" s="557"/>
      <c r="BFQ55" s="557"/>
      <c r="BFR55" s="557"/>
      <c r="BFS55" s="557"/>
      <c r="BFT55" s="557"/>
      <c r="BFU55" s="557"/>
      <c r="BFV55" s="557"/>
      <c r="BFW55" s="557"/>
      <c r="BFX55" s="557"/>
      <c r="BFY55" s="557"/>
      <c r="BFZ55" s="557"/>
      <c r="BGA55" s="557"/>
      <c r="BGB55" s="557"/>
      <c r="BGC55" s="557"/>
      <c r="BGD55" s="557"/>
      <c r="BGE55" s="661"/>
      <c r="BGF55" s="556"/>
      <c r="BGG55" s="557"/>
      <c r="BGH55" s="557"/>
      <c r="BGI55" s="557"/>
      <c r="BGJ55" s="557"/>
      <c r="BGK55" s="557"/>
      <c r="BGL55" s="557"/>
      <c r="BGM55" s="557"/>
      <c r="BGN55" s="557"/>
      <c r="BGO55" s="557"/>
      <c r="BGP55" s="557"/>
      <c r="BGQ55" s="557"/>
      <c r="BGR55" s="557"/>
      <c r="BGS55" s="557"/>
      <c r="BGT55" s="557"/>
      <c r="BGU55" s="557"/>
      <c r="BGV55" s="557"/>
      <c r="BGW55" s="557"/>
      <c r="BGX55" s="557"/>
      <c r="BGY55" s="661"/>
      <c r="BGZ55" s="556"/>
      <c r="BHA55" s="557"/>
      <c r="BHB55" s="557"/>
      <c r="BHC55" s="557"/>
      <c r="BHD55" s="557"/>
      <c r="BHE55" s="557"/>
      <c r="BHF55" s="557"/>
      <c r="BHG55" s="557"/>
      <c r="BHH55" s="557"/>
      <c r="BHI55" s="557"/>
      <c r="BHJ55" s="557"/>
      <c r="BHK55" s="557"/>
      <c r="BHL55" s="557"/>
      <c r="BHM55" s="557"/>
      <c r="BHN55" s="557"/>
      <c r="BHO55" s="557"/>
      <c r="BHP55" s="557"/>
      <c r="BHQ55" s="557"/>
      <c r="BHR55" s="557"/>
      <c r="BHS55" s="661"/>
      <c r="BHT55" s="556"/>
      <c r="BHU55" s="557"/>
      <c r="BHV55" s="557"/>
      <c r="BHW55" s="557"/>
      <c r="BHX55" s="557"/>
      <c r="BHY55" s="557"/>
      <c r="BHZ55" s="557"/>
      <c r="BIA55" s="557"/>
      <c r="BIB55" s="557"/>
      <c r="BIC55" s="557"/>
      <c r="BID55" s="557"/>
      <c r="BIE55" s="557"/>
      <c r="BIF55" s="557"/>
      <c r="BIG55" s="557"/>
      <c r="BIH55" s="557"/>
      <c r="BII55" s="557"/>
      <c r="BIJ55" s="557"/>
      <c r="BIK55" s="557"/>
      <c r="BIL55" s="557"/>
      <c r="BIM55" s="661"/>
      <c r="BIN55" s="556"/>
      <c r="BIO55" s="557"/>
      <c r="BIP55" s="557"/>
      <c r="BIQ55" s="557"/>
      <c r="BIR55" s="557"/>
      <c r="BIS55" s="557"/>
      <c r="BIT55" s="557"/>
      <c r="BIU55" s="557"/>
      <c r="BIV55" s="557"/>
      <c r="BIW55" s="557"/>
      <c r="BIX55" s="557"/>
      <c r="BIY55" s="557"/>
      <c r="BIZ55" s="557"/>
      <c r="BJA55" s="557"/>
      <c r="BJB55" s="557"/>
      <c r="BJC55" s="557"/>
      <c r="BJD55" s="557"/>
      <c r="BJE55" s="557"/>
      <c r="BJF55" s="557"/>
      <c r="BJG55" s="661"/>
      <c r="BJH55" s="556"/>
      <c r="BJI55" s="557"/>
      <c r="BJJ55" s="557"/>
      <c r="BJK55" s="557"/>
      <c r="BJL55" s="557"/>
      <c r="BJM55" s="557"/>
      <c r="BJN55" s="557"/>
      <c r="BJO55" s="557"/>
      <c r="BJP55" s="557"/>
      <c r="BJQ55" s="557"/>
      <c r="BJR55" s="557"/>
      <c r="BJS55" s="557"/>
      <c r="BJT55" s="557"/>
      <c r="BJU55" s="557"/>
      <c r="BJV55" s="557"/>
      <c r="BJW55" s="557"/>
      <c r="BJX55" s="557"/>
      <c r="BJY55" s="557"/>
      <c r="BJZ55" s="557"/>
      <c r="BKA55" s="661"/>
      <c r="BKB55" s="556"/>
      <c r="BKC55" s="557"/>
      <c r="BKD55" s="557"/>
      <c r="BKE55" s="557"/>
      <c r="BKF55" s="557"/>
      <c r="BKG55" s="557"/>
      <c r="BKH55" s="557"/>
      <c r="BKI55" s="557"/>
      <c r="BKJ55" s="557"/>
      <c r="BKK55" s="557"/>
      <c r="BKL55" s="557"/>
      <c r="BKM55" s="557"/>
      <c r="BKN55" s="557"/>
      <c r="BKO55" s="557"/>
      <c r="BKP55" s="557"/>
      <c r="BKQ55" s="557"/>
      <c r="BKR55" s="557"/>
      <c r="BKS55" s="557"/>
      <c r="BKT55" s="557"/>
      <c r="BKU55" s="661"/>
      <c r="BKV55" s="556"/>
      <c r="BKW55" s="557"/>
      <c r="BKX55" s="557"/>
      <c r="BKY55" s="557"/>
      <c r="BKZ55" s="557"/>
      <c r="BLA55" s="557"/>
      <c r="BLB55" s="557"/>
      <c r="BLC55" s="557"/>
      <c r="BLD55" s="557"/>
      <c r="BLE55" s="557"/>
      <c r="BLF55" s="557"/>
      <c r="BLG55" s="557"/>
      <c r="BLH55" s="557"/>
      <c r="BLI55" s="557"/>
      <c r="BLJ55" s="557"/>
      <c r="BLK55" s="557"/>
      <c r="BLL55" s="557"/>
      <c r="BLM55" s="557"/>
      <c r="BLN55" s="557"/>
      <c r="BLO55" s="661"/>
      <c r="BLP55" s="556"/>
      <c r="BLQ55" s="557"/>
      <c r="BLR55" s="557"/>
      <c r="BLS55" s="557"/>
      <c r="BLT55" s="557"/>
      <c r="BLU55" s="557"/>
      <c r="BLV55" s="557"/>
      <c r="BLW55" s="557"/>
      <c r="BLX55" s="557"/>
      <c r="BLY55" s="557"/>
      <c r="BLZ55" s="557"/>
      <c r="BMA55" s="557"/>
      <c r="BMB55" s="557"/>
      <c r="BMC55" s="557"/>
      <c r="BMD55" s="557"/>
      <c r="BME55" s="557"/>
      <c r="BMF55" s="557"/>
      <c r="BMG55" s="557"/>
      <c r="BMH55" s="557"/>
      <c r="BMI55" s="661"/>
      <c r="BMJ55" s="556"/>
      <c r="BMK55" s="557"/>
      <c r="BML55" s="557"/>
      <c r="BMM55" s="557"/>
      <c r="BMN55" s="557"/>
      <c r="BMO55" s="557"/>
      <c r="BMP55" s="557"/>
      <c r="BMQ55" s="557"/>
      <c r="BMR55" s="557"/>
      <c r="BMS55" s="557"/>
      <c r="BMT55" s="557"/>
      <c r="BMU55" s="557"/>
      <c r="BMV55" s="557"/>
      <c r="BMW55" s="557"/>
      <c r="BMX55" s="557"/>
      <c r="BMY55" s="557"/>
      <c r="BMZ55" s="557"/>
      <c r="BNA55" s="557"/>
      <c r="BNB55" s="557"/>
      <c r="BNC55" s="661"/>
      <c r="BND55" s="556"/>
      <c r="BNE55" s="557"/>
      <c r="BNF55" s="557"/>
      <c r="BNG55" s="557"/>
      <c r="BNH55" s="557"/>
      <c r="BNI55" s="557"/>
      <c r="BNJ55" s="557"/>
      <c r="BNK55" s="557"/>
      <c r="BNL55" s="557"/>
      <c r="BNM55" s="557"/>
      <c r="BNN55" s="557"/>
      <c r="BNO55" s="557"/>
      <c r="BNP55" s="557"/>
      <c r="BNQ55" s="557"/>
      <c r="BNR55" s="557"/>
      <c r="BNS55" s="557"/>
      <c r="BNT55" s="557"/>
      <c r="BNU55" s="557"/>
      <c r="BNV55" s="557"/>
      <c r="BNW55" s="661"/>
      <c r="BNX55" s="556"/>
      <c r="BNY55" s="557"/>
      <c r="BNZ55" s="557"/>
      <c r="BOA55" s="557"/>
      <c r="BOB55" s="557"/>
      <c r="BOC55" s="557"/>
      <c r="BOD55" s="557"/>
      <c r="BOE55" s="557"/>
      <c r="BOF55" s="557"/>
      <c r="BOG55" s="557"/>
      <c r="BOH55" s="557"/>
      <c r="BOI55" s="557"/>
      <c r="BOJ55" s="557"/>
      <c r="BOK55" s="557"/>
      <c r="BOL55" s="557"/>
      <c r="BOM55" s="557"/>
      <c r="BON55" s="557"/>
      <c r="BOO55" s="557"/>
      <c r="BOP55" s="557"/>
      <c r="BOQ55" s="661"/>
      <c r="BOR55" s="556"/>
      <c r="BOS55" s="557"/>
      <c r="BOT55" s="557"/>
      <c r="BOU55" s="557"/>
      <c r="BOV55" s="557"/>
      <c r="BOW55" s="557"/>
      <c r="BOX55" s="557"/>
      <c r="BOY55" s="557"/>
      <c r="BOZ55" s="557"/>
      <c r="BPA55" s="557"/>
      <c r="BPB55" s="557"/>
      <c r="BPC55" s="557"/>
      <c r="BPD55" s="557"/>
      <c r="BPE55" s="557"/>
      <c r="BPF55" s="557"/>
      <c r="BPG55" s="557"/>
      <c r="BPH55" s="557"/>
      <c r="BPI55" s="557"/>
      <c r="BPJ55" s="557"/>
      <c r="BPK55" s="661"/>
      <c r="BPL55" s="556"/>
      <c r="BPM55" s="557"/>
      <c r="BPN55" s="557"/>
      <c r="BPO55" s="557"/>
      <c r="BPP55" s="557"/>
      <c r="BPQ55" s="557"/>
      <c r="BPR55" s="557"/>
      <c r="BPS55" s="557"/>
      <c r="BPT55" s="557"/>
      <c r="BPU55" s="557"/>
      <c r="BPV55" s="557"/>
      <c r="BPW55" s="557"/>
      <c r="BPX55" s="557"/>
      <c r="BPY55" s="557"/>
      <c r="BPZ55" s="557"/>
      <c r="BQA55" s="557"/>
      <c r="BQB55" s="557"/>
      <c r="BQC55" s="557"/>
      <c r="BQD55" s="557"/>
      <c r="BQE55" s="661"/>
      <c r="BQF55" s="556"/>
      <c r="BQG55" s="557"/>
      <c r="BQH55" s="557"/>
      <c r="BQI55" s="557"/>
      <c r="BQJ55" s="557"/>
      <c r="BQK55" s="557"/>
      <c r="BQL55" s="557"/>
      <c r="BQM55" s="557"/>
      <c r="BQN55" s="557"/>
      <c r="BQO55" s="557"/>
      <c r="BQP55" s="557"/>
      <c r="BQQ55" s="557"/>
      <c r="BQR55" s="557"/>
      <c r="BQS55" s="557"/>
      <c r="BQT55" s="557"/>
      <c r="BQU55" s="557"/>
      <c r="BQV55" s="557"/>
      <c r="BQW55" s="557"/>
      <c r="BQX55" s="557"/>
      <c r="BQY55" s="661"/>
      <c r="BQZ55" s="556"/>
      <c r="BRA55" s="557"/>
      <c r="BRB55" s="557"/>
      <c r="BRC55" s="557"/>
      <c r="BRD55" s="557"/>
      <c r="BRE55" s="557"/>
      <c r="BRF55" s="557"/>
      <c r="BRG55" s="557"/>
      <c r="BRH55" s="557"/>
      <c r="BRI55" s="557"/>
      <c r="BRJ55" s="557"/>
      <c r="BRK55" s="557"/>
      <c r="BRL55" s="557"/>
      <c r="BRM55" s="557"/>
      <c r="BRN55" s="557"/>
      <c r="BRO55" s="557"/>
      <c r="BRP55" s="557"/>
      <c r="BRQ55" s="557"/>
      <c r="BRR55" s="557"/>
      <c r="BRS55" s="661"/>
      <c r="BRT55" s="556"/>
      <c r="BRU55" s="557"/>
      <c r="BRV55" s="557"/>
      <c r="BRW55" s="557"/>
      <c r="BRX55" s="557"/>
      <c r="BRY55" s="557"/>
      <c r="BRZ55" s="557"/>
      <c r="BSA55" s="557"/>
      <c r="BSB55" s="557"/>
      <c r="BSC55" s="557"/>
      <c r="BSD55" s="557"/>
      <c r="BSE55" s="557"/>
      <c r="BSF55" s="557"/>
      <c r="BSG55" s="557"/>
      <c r="BSH55" s="557"/>
      <c r="BSI55" s="557"/>
      <c r="BSJ55" s="557"/>
      <c r="BSK55" s="557"/>
      <c r="BSL55" s="557"/>
      <c r="BSM55" s="661"/>
      <c r="BSN55" s="556"/>
      <c r="BSO55" s="557"/>
      <c r="BSP55" s="557"/>
      <c r="BSQ55" s="557"/>
      <c r="BSR55" s="557"/>
      <c r="BSS55" s="557"/>
      <c r="BST55" s="557"/>
      <c r="BSU55" s="557"/>
      <c r="BSV55" s="557"/>
      <c r="BSW55" s="557"/>
      <c r="BSX55" s="557"/>
      <c r="BSY55" s="557"/>
      <c r="BSZ55" s="557"/>
      <c r="BTA55" s="557"/>
      <c r="BTB55" s="557"/>
      <c r="BTC55" s="557"/>
      <c r="BTD55" s="557"/>
      <c r="BTE55" s="557"/>
      <c r="BTF55" s="557"/>
      <c r="BTG55" s="661"/>
      <c r="BTH55" s="556"/>
      <c r="BTI55" s="557"/>
      <c r="BTJ55" s="557"/>
      <c r="BTK55" s="557"/>
      <c r="BTL55" s="557"/>
      <c r="BTM55" s="557"/>
      <c r="BTN55" s="557"/>
      <c r="BTO55" s="557"/>
      <c r="BTP55" s="557"/>
      <c r="BTQ55" s="557"/>
      <c r="BTR55" s="557"/>
      <c r="BTS55" s="557"/>
      <c r="BTT55" s="557"/>
      <c r="BTU55" s="557"/>
      <c r="BTV55" s="557"/>
      <c r="BTW55" s="557"/>
      <c r="BTX55" s="557"/>
      <c r="BTY55" s="557"/>
      <c r="BTZ55" s="557"/>
      <c r="BUA55" s="661"/>
      <c r="BUB55" s="556"/>
      <c r="BUC55" s="557"/>
      <c r="BUD55" s="557"/>
      <c r="BUE55" s="557"/>
      <c r="BUF55" s="557"/>
      <c r="BUG55" s="557"/>
      <c r="BUH55" s="557"/>
      <c r="BUI55" s="557"/>
      <c r="BUJ55" s="557"/>
      <c r="BUK55" s="557"/>
      <c r="BUL55" s="557"/>
      <c r="BUM55" s="557"/>
      <c r="BUN55" s="557"/>
      <c r="BUO55" s="557"/>
      <c r="BUP55" s="557"/>
      <c r="BUQ55" s="557"/>
      <c r="BUR55" s="557"/>
      <c r="BUS55" s="557"/>
      <c r="BUT55" s="557"/>
      <c r="BUU55" s="661"/>
      <c r="BUV55" s="556"/>
      <c r="BUW55" s="557"/>
      <c r="BUX55" s="557"/>
      <c r="BUY55" s="557"/>
      <c r="BUZ55" s="557"/>
      <c r="BVA55" s="557"/>
      <c r="BVB55" s="557"/>
      <c r="BVC55" s="557"/>
      <c r="BVD55" s="557"/>
      <c r="BVE55" s="557"/>
      <c r="BVF55" s="557"/>
      <c r="BVG55" s="557"/>
      <c r="BVH55" s="557"/>
      <c r="BVI55" s="557"/>
      <c r="BVJ55" s="557"/>
      <c r="BVK55" s="557"/>
      <c r="BVL55" s="557"/>
      <c r="BVM55" s="557"/>
      <c r="BVN55" s="557"/>
      <c r="BVO55" s="661"/>
      <c r="BVP55" s="556"/>
      <c r="BVQ55" s="557"/>
      <c r="BVR55" s="557"/>
      <c r="BVS55" s="557"/>
      <c r="BVT55" s="557"/>
      <c r="BVU55" s="557"/>
      <c r="BVV55" s="557"/>
      <c r="BVW55" s="557"/>
      <c r="BVX55" s="557"/>
      <c r="BVY55" s="557"/>
      <c r="BVZ55" s="557"/>
      <c r="BWA55" s="557"/>
      <c r="BWB55" s="557"/>
      <c r="BWC55" s="557"/>
      <c r="BWD55" s="557"/>
      <c r="BWE55" s="557"/>
      <c r="BWF55" s="557"/>
      <c r="BWG55" s="557"/>
      <c r="BWH55" s="557"/>
      <c r="BWI55" s="661"/>
      <c r="BWJ55" s="556"/>
      <c r="BWK55" s="557"/>
      <c r="BWL55" s="557"/>
      <c r="BWM55" s="557"/>
      <c r="BWN55" s="557"/>
      <c r="BWO55" s="557"/>
      <c r="BWP55" s="557"/>
      <c r="BWQ55" s="557"/>
      <c r="BWR55" s="557"/>
      <c r="BWS55" s="557"/>
      <c r="BWT55" s="557"/>
      <c r="BWU55" s="557"/>
      <c r="BWV55" s="557"/>
      <c r="BWW55" s="557"/>
      <c r="BWX55" s="557"/>
      <c r="BWY55" s="557"/>
      <c r="BWZ55" s="557"/>
      <c r="BXA55" s="557"/>
      <c r="BXB55" s="557"/>
      <c r="BXC55" s="661"/>
      <c r="BXD55" s="556"/>
      <c r="BXE55" s="557"/>
      <c r="BXF55" s="557"/>
      <c r="BXG55" s="557"/>
      <c r="BXH55" s="557"/>
      <c r="BXI55" s="557"/>
      <c r="BXJ55" s="557"/>
      <c r="BXK55" s="557"/>
      <c r="BXL55" s="557"/>
      <c r="BXM55" s="557"/>
      <c r="BXN55" s="557"/>
      <c r="BXO55" s="557"/>
      <c r="BXP55" s="557"/>
      <c r="BXQ55" s="557"/>
      <c r="BXR55" s="557"/>
      <c r="BXS55" s="557"/>
      <c r="BXT55" s="557"/>
      <c r="BXU55" s="557"/>
      <c r="BXV55" s="557"/>
      <c r="BXW55" s="661"/>
      <c r="BXX55" s="556"/>
      <c r="BXY55" s="557"/>
      <c r="BXZ55" s="557"/>
      <c r="BYA55" s="557"/>
      <c r="BYB55" s="557"/>
      <c r="BYC55" s="557"/>
      <c r="BYD55" s="557"/>
      <c r="BYE55" s="557"/>
      <c r="BYF55" s="557"/>
      <c r="BYG55" s="557"/>
      <c r="BYH55" s="557"/>
      <c r="BYI55" s="557"/>
      <c r="BYJ55" s="557"/>
      <c r="BYK55" s="557"/>
      <c r="BYL55" s="557"/>
      <c r="BYM55" s="557"/>
      <c r="BYN55" s="557"/>
      <c r="BYO55" s="557"/>
      <c r="BYP55" s="557"/>
      <c r="BYQ55" s="661"/>
      <c r="BYR55" s="556"/>
      <c r="BYS55" s="557"/>
      <c r="BYT55" s="557"/>
      <c r="BYU55" s="557"/>
      <c r="BYV55" s="557"/>
      <c r="BYW55" s="557"/>
      <c r="BYX55" s="557"/>
      <c r="BYY55" s="557"/>
      <c r="BYZ55" s="557"/>
      <c r="BZA55" s="557"/>
      <c r="BZB55" s="557"/>
      <c r="BZC55" s="557"/>
      <c r="BZD55" s="557"/>
      <c r="BZE55" s="557"/>
      <c r="BZF55" s="557"/>
      <c r="BZG55" s="557"/>
      <c r="BZH55" s="557"/>
      <c r="BZI55" s="557"/>
      <c r="BZJ55" s="557"/>
      <c r="BZK55" s="661"/>
      <c r="BZL55" s="556"/>
      <c r="BZM55" s="557"/>
      <c r="BZN55" s="557"/>
      <c r="BZO55" s="557"/>
      <c r="BZP55" s="557"/>
      <c r="BZQ55" s="557"/>
      <c r="BZR55" s="557"/>
      <c r="BZS55" s="557"/>
      <c r="BZT55" s="557"/>
      <c r="BZU55" s="557"/>
      <c r="BZV55" s="557"/>
      <c r="BZW55" s="557"/>
      <c r="BZX55" s="557"/>
      <c r="BZY55" s="557"/>
      <c r="BZZ55" s="557"/>
      <c r="CAA55" s="557"/>
      <c r="CAB55" s="557"/>
      <c r="CAC55" s="557"/>
      <c r="CAD55" s="557"/>
      <c r="CAE55" s="661"/>
      <c r="CAF55" s="556"/>
      <c r="CAG55" s="557"/>
      <c r="CAH55" s="557"/>
      <c r="CAI55" s="557"/>
      <c r="CAJ55" s="557"/>
      <c r="CAK55" s="557"/>
      <c r="CAL55" s="557"/>
      <c r="CAM55" s="557"/>
      <c r="CAN55" s="557"/>
      <c r="CAO55" s="557"/>
      <c r="CAP55" s="557"/>
      <c r="CAQ55" s="557"/>
      <c r="CAR55" s="557"/>
      <c r="CAS55" s="557"/>
      <c r="CAT55" s="557"/>
      <c r="CAU55" s="557"/>
      <c r="CAV55" s="557"/>
      <c r="CAW55" s="557"/>
      <c r="CAX55" s="557"/>
      <c r="CAY55" s="661"/>
      <c r="CAZ55" s="556"/>
      <c r="CBA55" s="557"/>
      <c r="CBB55" s="557"/>
      <c r="CBC55" s="557"/>
      <c r="CBD55" s="557"/>
      <c r="CBE55" s="557"/>
      <c r="CBF55" s="557"/>
      <c r="CBG55" s="557"/>
      <c r="CBH55" s="557"/>
      <c r="CBI55" s="557"/>
      <c r="CBJ55" s="557"/>
      <c r="CBK55" s="557"/>
      <c r="CBL55" s="557"/>
      <c r="CBM55" s="557"/>
      <c r="CBN55" s="557"/>
      <c r="CBO55" s="557"/>
      <c r="CBP55" s="557"/>
      <c r="CBQ55" s="557"/>
      <c r="CBR55" s="557"/>
      <c r="CBS55" s="661"/>
      <c r="CBT55" s="556"/>
      <c r="CBU55" s="557"/>
      <c r="CBV55" s="557"/>
      <c r="CBW55" s="557"/>
      <c r="CBX55" s="557"/>
      <c r="CBY55" s="557"/>
      <c r="CBZ55" s="557"/>
      <c r="CCA55" s="557"/>
      <c r="CCB55" s="557"/>
      <c r="CCC55" s="557"/>
      <c r="CCD55" s="557"/>
      <c r="CCE55" s="557"/>
      <c r="CCF55" s="557"/>
      <c r="CCG55" s="557"/>
      <c r="CCH55" s="557"/>
      <c r="CCI55" s="557"/>
      <c r="CCJ55" s="557"/>
      <c r="CCK55" s="557"/>
      <c r="CCL55" s="557"/>
      <c r="CCM55" s="661"/>
      <c r="CCN55" s="556"/>
      <c r="CCO55" s="557"/>
      <c r="CCP55" s="557"/>
      <c r="CCQ55" s="557"/>
      <c r="CCR55" s="557"/>
      <c r="CCS55" s="557"/>
      <c r="CCT55" s="557"/>
      <c r="CCU55" s="557"/>
      <c r="CCV55" s="557"/>
      <c r="CCW55" s="557"/>
      <c r="CCX55" s="557"/>
      <c r="CCY55" s="557"/>
      <c r="CCZ55" s="557"/>
      <c r="CDA55" s="557"/>
      <c r="CDB55" s="557"/>
      <c r="CDC55" s="557"/>
      <c r="CDD55" s="557"/>
      <c r="CDE55" s="557"/>
      <c r="CDF55" s="557"/>
      <c r="CDG55" s="661"/>
      <c r="CDH55" s="556"/>
      <c r="CDI55" s="557"/>
      <c r="CDJ55" s="557"/>
      <c r="CDK55" s="557"/>
      <c r="CDL55" s="557"/>
      <c r="CDM55" s="557"/>
      <c r="CDN55" s="557"/>
      <c r="CDO55" s="557"/>
      <c r="CDP55" s="557"/>
      <c r="CDQ55" s="557"/>
      <c r="CDR55" s="557"/>
      <c r="CDS55" s="557"/>
      <c r="CDT55" s="557"/>
      <c r="CDU55" s="557"/>
      <c r="CDV55" s="557"/>
      <c r="CDW55" s="557"/>
      <c r="CDX55" s="557"/>
      <c r="CDY55" s="557"/>
      <c r="CDZ55" s="557"/>
      <c r="CEA55" s="661"/>
      <c r="CEB55" s="556"/>
      <c r="CEC55" s="557"/>
      <c r="CED55" s="557"/>
      <c r="CEE55" s="557"/>
      <c r="CEF55" s="557"/>
      <c r="CEG55" s="557"/>
      <c r="CEH55" s="557"/>
      <c r="CEI55" s="557"/>
      <c r="CEJ55" s="557"/>
      <c r="CEK55" s="557"/>
      <c r="CEL55" s="557"/>
      <c r="CEM55" s="557"/>
      <c r="CEN55" s="557"/>
      <c r="CEO55" s="557"/>
      <c r="CEP55" s="557"/>
      <c r="CEQ55" s="557"/>
      <c r="CER55" s="557"/>
      <c r="CES55" s="557"/>
      <c r="CET55" s="557"/>
      <c r="CEU55" s="661"/>
      <c r="CEV55" s="556"/>
      <c r="CEW55" s="557"/>
      <c r="CEX55" s="557"/>
      <c r="CEY55" s="557"/>
      <c r="CEZ55" s="557"/>
      <c r="CFA55" s="557"/>
      <c r="CFB55" s="557"/>
      <c r="CFC55" s="557"/>
      <c r="CFD55" s="557"/>
      <c r="CFE55" s="557"/>
      <c r="CFF55" s="557"/>
      <c r="CFG55" s="557"/>
      <c r="CFH55" s="557"/>
      <c r="CFI55" s="557"/>
      <c r="CFJ55" s="557"/>
      <c r="CFK55" s="557"/>
      <c r="CFL55" s="557"/>
      <c r="CFM55" s="557"/>
      <c r="CFN55" s="557"/>
      <c r="CFO55" s="661"/>
      <c r="CFP55" s="556"/>
      <c r="CFQ55" s="557"/>
      <c r="CFR55" s="557"/>
      <c r="CFS55" s="557"/>
      <c r="CFT55" s="557"/>
      <c r="CFU55" s="557"/>
      <c r="CFV55" s="557"/>
      <c r="CFW55" s="557"/>
      <c r="CFX55" s="557"/>
      <c r="CFY55" s="557"/>
      <c r="CFZ55" s="557"/>
      <c r="CGA55" s="557"/>
      <c r="CGB55" s="557"/>
      <c r="CGC55" s="557"/>
      <c r="CGD55" s="557"/>
      <c r="CGE55" s="557"/>
      <c r="CGF55" s="557"/>
      <c r="CGG55" s="557"/>
      <c r="CGH55" s="557"/>
      <c r="CGI55" s="661"/>
      <c r="CGJ55" s="556"/>
      <c r="CGK55" s="557"/>
      <c r="CGL55" s="557"/>
      <c r="CGM55" s="557"/>
      <c r="CGN55" s="557"/>
      <c r="CGO55" s="557"/>
      <c r="CGP55" s="557"/>
      <c r="CGQ55" s="557"/>
      <c r="CGR55" s="557"/>
      <c r="CGS55" s="557"/>
      <c r="CGT55" s="557"/>
      <c r="CGU55" s="557"/>
      <c r="CGV55" s="557"/>
      <c r="CGW55" s="557"/>
      <c r="CGX55" s="557"/>
      <c r="CGY55" s="557"/>
      <c r="CGZ55" s="557"/>
      <c r="CHA55" s="557"/>
      <c r="CHB55" s="557"/>
      <c r="CHC55" s="661"/>
      <c r="CHD55" s="556"/>
      <c r="CHE55" s="557"/>
      <c r="CHF55" s="557"/>
      <c r="CHG55" s="557"/>
      <c r="CHH55" s="557"/>
      <c r="CHI55" s="557"/>
      <c r="CHJ55" s="557"/>
      <c r="CHK55" s="557"/>
      <c r="CHL55" s="557"/>
      <c r="CHM55" s="557"/>
      <c r="CHN55" s="557"/>
      <c r="CHO55" s="557"/>
      <c r="CHP55" s="557"/>
      <c r="CHQ55" s="557"/>
      <c r="CHR55" s="557"/>
      <c r="CHS55" s="557"/>
      <c r="CHT55" s="557"/>
      <c r="CHU55" s="557"/>
      <c r="CHV55" s="557"/>
      <c r="CHW55" s="661"/>
      <c r="CHX55" s="556"/>
      <c r="CHY55" s="557"/>
      <c r="CHZ55" s="557"/>
      <c r="CIA55" s="557"/>
      <c r="CIB55" s="557"/>
      <c r="CIC55" s="557"/>
      <c r="CID55" s="557"/>
      <c r="CIE55" s="557"/>
      <c r="CIF55" s="557"/>
      <c r="CIG55" s="557"/>
      <c r="CIH55" s="557"/>
      <c r="CII55" s="557"/>
      <c r="CIJ55" s="557"/>
      <c r="CIK55" s="557"/>
      <c r="CIL55" s="557"/>
      <c r="CIM55" s="557"/>
      <c r="CIN55" s="557"/>
      <c r="CIO55" s="557"/>
      <c r="CIP55" s="557"/>
      <c r="CIQ55" s="661"/>
      <c r="CIR55" s="556"/>
      <c r="CIS55" s="557"/>
      <c r="CIT55" s="557"/>
      <c r="CIU55" s="557"/>
      <c r="CIV55" s="557"/>
      <c r="CIW55" s="557"/>
      <c r="CIX55" s="557"/>
      <c r="CIY55" s="557"/>
      <c r="CIZ55" s="557"/>
      <c r="CJA55" s="557"/>
      <c r="CJB55" s="557"/>
      <c r="CJC55" s="557"/>
      <c r="CJD55" s="557"/>
      <c r="CJE55" s="557"/>
      <c r="CJF55" s="557"/>
      <c r="CJG55" s="557"/>
      <c r="CJH55" s="557"/>
      <c r="CJI55" s="557"/>
      <c r="CJJ55" s="557"/>
      <c r="CJK55" s="661"/>
      <c r="CJL55" s="556"/>
      <c r="CJM55" s="557"/>
      <c r="CJN55" s="557"/>
      <c r="CJO55" s="557"/>
      <c r="CJP55" s="557"/>
      <c r="CJQ55" s="557"/>
      <c r="CJR55" s="557"/>
      <c r="CJS55" s="557"/>
      <c r="CJT55" s="557"/>
      <c r="CJU55" s="557"/>
      <c r="CJV55" s="557"/>
      <c r="CJW55" s="557"/>
      <c r="CJX55" s="557"/>
      <c r="CJY55" s="557"/>
      <c r="CJZ55" s="557"/>
      <c r="CKA55" s="557"/>
      <c r="CKB55" s="557"/>
      <c r="CKC55" s="557"/>
      <c r="CKD55" s="557"/>
      <c r="CKE55" s="661"/>
      <c r="CKF55" s="556"/>
      <c r="CKG55" s="557"/>
      <c r="CKH55" s="557"/>
      <c r="CKI55" s="557"/>
      <c r="CKJ55" s="557"/>
      <c r="CKK55" s="557"/>
      <c r="CKL55" s="557"/>
      <c r="CKM55" s="557"/>
      <c r="CKN55" s="557"/>
      <c r="CKO55" s="557"/>
      <c r="CKP55" s="557"/>
      <c r="CKQ55" s="557"/>
      <c r="CKR55" s="557"/>
      <c r="CKS55" s="557"/>
      <c r="CKT55" s="557"/>
      <c r="CKU55" s="557"/>
      <c r="CKV55" s="557"/>
      <c r="CKW55" s="557"/>
      <c r="CKX55" s="557"/>
      <c r="CKY55" s="661"/>
      <c r="CKZ55" s="556"/>
      <c r="CLA55" s="557"/>
      <c r="CLB55" s="557"/>
      <c r="CLC55" s="557"/>
      <c r="CLD55" s="557"/>
      <c r="CLE55" s="557"/>
      <c r="CLF55" s="557"/>
      <c r="CLG55" s="557"/>
      <c r="CLH55" s="557"/>
      <c r="CLI55" s="557"/>
      <c r="CLJ55" s="557"/>
      <c r="CLK55" s="557"/>
      <c r="CLL55" s="557"/>
      <c r="CLM55" s="557"/>
      <c r="CLN55" s="557"/>
      <c r="CLO55" s="557"/>
      <c r="CLP55" s="557"/>
      <c r="CLQ55" s="557"/>
      <c r="CLR55" s="557"/>
      <c r="CLS55" s="661"/>
      <c r="CLT55" s="556"/>
      <c r="CLU55" s="557"/>
      <c r="CLV55" s="557"/>
      <c r="CLW55" s="557"/>
      <c r="CLX55" s="557"/>
      <c r="CLY55" s="557"/>
      <c r="CLZ55" s="557"/>
      <c r="CMA55" s="557"/>
      <c r="CMB55" s="557"/>
      <c r="CMC55" s="557"/>
      <c r="CMD55" s="557"/>
      <c r="CME55" s="557"/>
      <c r="CMF55" s="557"/>
      <c r="CMG55" s="557"/>
      <c r="CMH55" s="557"/>
      <c r="CMI55" s="557"/>
      <c r="CMJ55" s="557"/>
      <c r="CMK55" s="557"/>
      <c r="CML55" s="557"/>
      <c r="CMM55" s="661"/>
      <c r="CMN55" s="556"/>
      <c r="CMO55" s="557"/>
      <c r="CMP55" s="557"/>
      <c r="CMQ55" s="557"/>
      <c r="CMR55" s="557"/>
      <c r="CMS55" s="557"/>
      <c r="CMT55" s="557"/>
      <c r="CMU55" s="557"/>
      <c r="CMV55" s="557"/>
      <c r="CMW55" s="557"/>
      <c r="CMX55" s="557"/>
      <c r="CMY55" s="557"/>
      <c r="CMZ55" s="557"/>
      <c r="CNA55" s="557"/>
      <c r="CNB55" s="557"/>
      <c r="CNC55" s="557"/>
      <c r="CND55" s="557"/>
      <c r="CNE55" s="557"/>
      <c r="CNF55" s="557"/>
      <c r="CNG55" s="661"/>
      <c r="CNH55" s="556"/>
      <c r="CNI55" s="557"/>
      <c r="CNJ55" s="557"/>
      <c r="CNK55" s="557"/>
      <c r="CNL55" s="557"/>
      <c r="CNM55" s="557"/>
      <c r="CNN55" s="557"/>
      <c r="CNO55" s="557"/>
      <c r="CNP55" s="557"/>
      <c r="CNQ55" s="557"/>
      <c r="CNR55" s="557"/>
      <c r="CNS55" s="557"/>
      <c r="CNT55" s="557"/>
      <c r="CNU55" s="557"/>
      <c r="CNV55" s="557"/>
      <c r="CNW55" s="557"/>
      <c r="CNX55" s="557"/>
      <c r="CNY55" s="557"/>
      <c r="CNZ55" s="557"/>
      <c r="COA55" s="661"/>
      <c r="COB55" s="556"/>
      <c r="COC55" s="557"/>
      <c r="COD55" s="557"/>
      <c r="COE55" s="557"/>
      <c r="COF55" s="557"/>
      <c r="COG55" s="557"/>
      <c r="COH55" s="557"/>
      <c r="COI55" s="557"/>
      <c r="COJ55" s="557"/>
      <c r="COK55" s="557"/>
      <c r="COL55" s="557"/>
      <c r="COM55" s="557"/>
      <c r="CON55" s="557"/>
      <c r="COO55" s="557"/>
      <c r="COP55" s="557"/>
      <c r="COQ55" s="557"/>
      <c r="COR55" s="557"/>
      <c r="COS55" s="557"/>
      <c r="COT55" s="557"/>
      <c r="COU55" s="661"/>
      <c r="COV55" s="556"/>
      <c r="COW55" s="557"/>
      <c r="COX55" s="557"/>
      <c r="COY55" s="557"/>
      <c r="COZ55" s="557"/>
      <c r="CPA55" s="557"/>
      <c r="CPB55" s="557"/>
      <c r="CPC55" s="557"/>
      <c r="CPD55" s="557"/>
      <c r="CPE55" s="557"/>
      <c r="CPF55" s="557"/>
      <c r="CPG55" s="557"/>
      <c r="CPH55" s="557"/>
      <c r="CPI55" s="557"/>
      <c r="CPJ55" s="557"/>
      <c r="CPK55" s="557"/>
      <c r="CPL55" s="557"/>
      <c r="CPM55" s="557"/>
      <c r="CPN55" s="557"/>
      <c r="CPO55" s="661"/>
      <c r="CPP55" s="556"/>
      <c r="CPQ55" s="557"/>
      <c r="CPR55" s="557"/>
      <c r="CPS55" s="557"/>
      <c r="CPT55" s="557"/>
      <c r="CPU55" s="557"/>
      <c r="CPV55" s="557"/>
      <c r="CPW55" s="557"/>
      <c r="CPX55" s="557"/>
      <c r="CPY55" s="557"/>
      <c r="CPZ55" s="557"/>
      <c r="CQA55" s="557"/>
      <c r="CQB55" s="557"/>
      <c r="CQC55" s="557"/>
      <c r="CQD55" s="557"/>
      <c r="CQE55" s="557"/>
      <c r="CQF55" s="557"/>
      <c r="CQG55" s="557"/>
      <c r="CQH55" s="557"/>
      <c r="CQI55" s="661"/>
      <c r="CQJ55" s="556"/>
      <c r="CQK55" s="557"/>
      <c r="CQL55" s="557"/>
      <c r="CQM55" s="557"/>
      <c r="CQN55" s="557"/>
      <c r="CQO55" s="557"/>
      <c r="CQP55" s="557"/>
      <c r="CQQ55" s="557"/>
      <c r="CQR55" s="557"/>
      <c r="CQS55" s="557"/>
      <c r="CQT55" s="557"/>
      <c r="CQU55" s="557"/>
      <c r="CQV55" s="557"/>
      <c r="CQW55" s="557"/>
      <c r="CQX55" s="557"/>
      <c r="CQY55" s="557"/>
      <c r="CQZ55" s="557"/>
      <c r="CRA55" s="557"/>
      <c r="CRB55" s="557"/>
      <c r="CRC55" s="661"/>
      <c r="CRD55" s="556"/>
      <c r="CRE55" s="557"/>
      <c r="CRF55" s="557"/>
      <c r="CRG55" s="557"/>
      <c r="CRH55" s="557"/>
      <c r="CRI55" s="557"/>
      <c r="CRJ55" s="557"/>
      <c r="CRK55" s="557"/>
      <c r="CRL55" s="557"/>
      <c r="CRM55" s="557"/>
      <c r="CRN55" s="557"/>
      <c r="CRO55" s="557"/>
      <c r="CRP55" s="557"/>
      <c r="CRQ55" s="557"/>
      <c r="CRR55" s="557"/>
      <c r="CRS55" s="557"/>
      <c r="CRT55" s="557"/>
      <c r="CRU55" s="557"/>
      <c r="CRV55" s="557"/>
      <c r="CRW55" s="661"/>
      <c r="CRX55" s="556"/>
      <c r="CRY55" s="557"/>
      <c r="CRZ55" s="557"/>
      <c r="CSA55" s="557"/>
      <c r="CSB55" s="557"/>
      <c r="CSC55" s="557"/>
      <c r="CSD55" s="557"/>
      <c r="CSE55" s="557"/>
      <c r="CSF55" s="557"/>
      <c r="CSG55" s="557"/>
      <c r="CSH55" s="557"/>
      <c r="CSI55" s="557"/>
      <c r="CSJ55" s="557"/>
      <c r="CSK55" s="557"/>
      <c r="CSL55" s="557"/>
      <c r="CSM55" s="557"/>
      <c r="CSN55" s="557"/>
      <c r="CSO55" s="557"/>
      <c r="CSP55" s="557"/>
      <c r="CSQ55" s="661"/>
      <c r="CSR55" s="556"/>
      <c r="CSS55" s="557"/>
      <c r="CST55" s="557"/>
      <c r="CSU55" s="557"/>
      <c r="CSV55" s="557"/>
      <c r="CSW55" s="557"/>
      <c r="CSX55" s="557"/>
      <c r="CSY55" s="557"/>
      <c r="CSZ55" s="557"/>
      <c r="CTA55" s="557"/>
      <c r="CTB55" s="557"/>
      <c r="CTC55" s="557"/>
      <c r="CTD55" s="557"/>
      <c r="CTE55" s="557"/>
      <c r="CTF55" s="557"/>
      <c r="CTG55" s="557"/>
      <c r="CTH55" s="557"/>
      <c r="CTI55" s="557"/>
      <c r="CTJ55" s="557"/>
      <c r="CTK55" s="661"/>
      <c r="CTL55" s="556"/>
      <c r="CTM55" s="557"/>
      <c r="CTN55" s="557"/>
      <c r="CTO55" s="557"/>
      <c r="CTP55" s="557"/>
      <c r="CTQ55" s="557"/>
      <c r="CTR55" s="557"/>
      <c r="CTS55" s="557"/>
      <c r="CTT55" s="557"/>
      <c r="CTU55" s="557"/>
      <c r="CTV55" s="557"/>
      <c r="CTW55" s="557"/>
      <c r="CTX55" s="557"/>
      <c r="CTY55" s="557"/>
      <c r="CTZ55" s="557"/>
      <c r="CUA55" s="557"/>
      <c r="CUB55" s="557"/>
      <c r="CUC55" s="557"/>
      <c r="CUD55" s="557"/>
      <c r="CUE55" s="661"/>
      <c r="CUF55" s="556"/>
      <c r="CUG55" s="557"/>
      <c r="CUH55" s="557"/>
      <c r="CUI55" s="557"/>
      <c r="CUJ55" s="557"/>
      <c r="CUK55" s="557"/>
      <c r="CUL55" s="557"/>
      <c r="CUM55" s="557"/>
      <c r="CUN55" s="557"/>
      <c r="CUO55" s="557"/>
      <c r="CUP55" s="557"/>
      <c r="CUQ55" s="557"/>
      <c r="CUR55" s="557"/>
      <c r="CUS55" s="557"/>
      <c r="CUT55" s="557"/>
      <c r="CUU55" s="557"/>
      <c r="CUV55" s="557"/>
      <c r="CUW55" s="557"/>
      <c r="CUX55" s="557"/>
      <c r="CUY55" s="661"/>
      <c r="CUZ55" s="556"/>
      <c r="CVA55" s="557"/>
      <c r="CVB55" s="557"/>
      <c r="CVC55" s="557"/>
      <c r="CVD55" s="557"/>
      <c r="CVE55" s="557"/>
      <c r="CVF55" s="557"/>
      <c r="CVG55" s="557"/>
      <c r="CVH55" s="557"/>
      <c r="CVI55" s="557"/>
      <c r="CVJ55" s="557"/>
      <c r="CVK55" s="557"/>
      <c r="CVL55" s="557"/>
      <c r="CVM55" s="557"/>
      <c r="CVN55" s="557"/>
      <c r="CVO55" s="557"/>
      <c r="CVP55" s="557"/>
      <c r="CVQ55" s="557"/>
      <c r="CVR55" s="557"/>
      <c r="CVS55" s="661"/>
      <c r="CVT55" s="556"/>
      <c r="CVU55" s="557"/>
      <c r="CVV55" s="557"/>
      <c r="CVW55" s="557"/>
      <c r="CVX55" s="557"/>
      <c r="CVY55" s="557"/>
      <c r="CVZ55" s="557"/>
      <c r="CWA55" s="557"/>
      <c r="CWB55" s="557"/>
      <c r="CWC55" s="557"/>
      <c r="CWD55" s="557"/>
      <c r="CWE55" s="557"/>
      <c r="CWF55" s="557"/>
      <c r="CWG55" s="557"/>
      <c r="CWH55" s="557"/>
      <c r="CWI55" s="557"/>
      <c r="CWJ55" s="557"/>
      <c r="CWK55" s="557"/>
      <c r="CWL55" s="557"/>
      <c r="CWM55" s="661"/>
      <c r="CWN55" s="556"/>
      <c r="CWO55" s="557"/>
      <c r="CWP55" s="557"/>
      <c r="CWQ55" s="557"/>
      <c r="CWR55" s="557"/>
      <c r="CWS55" s="557"/>
      <c r="CWT55" s="557"/>
      <c r="CWU55" s="557"/>
      <c r="CWV55" s="557"/>
      <c r="CWW55" s="557"/>
      <c r="CWX55" s="557"/>
      <c r="CWY55" s="557"/>
      <c r="CWZ55" s="557"/>
      <c r="CXA55" s="557"/>
      <c r="CXB55" s="557"/>
      <c r="CXC55" s="557"/>
      <c r="CXD55" s="557"/>
      <c r="CXE55" s="557"/>
      <c r="CXF55" s="557"/>
      <c r="CXG55" s="661"/>
      <c r="CXH55" s="556"/>
      <c r="CXI55" s="557"/>
      <c r="CXJ55" s="557"/>
      <c r="CXK55" s="557"/>
      <c r="CXL55" s="557"/>
      <c r="CXM55" s="557"/>
      <c r="CXN55" s="557"/>
      <c r="CXO55" s="557"/>
      <c r="CXP55" s="557"/>
      <c r="CXQ55" s="557"/>
      <c r="CXR55" s="557"/>
      <c r="CXS55" s="557"/>
      <c r="CXT55" s="557"/>
      <c r="CXU55" s="557"/>
      <c r="CXV55" s="557"/>
      <c r="CXW55" s="557"/>
      <c r="CXX55" s="557"/>
      <c r="CXY55" s="557"/>
      <c r="CXZ55" s="557"/>
      <c r="CYA55" s="661"/>
      <c r="CYB55" s="556"/>
      <c r="CYC55" s="557"/>
      <c r="CYD55" s="557"/>
      <c r="CYE55" s="557"/>
      <c r="CYF55" s="557"/>
      <c r="CYG55" s="557"/>
      <c r="CYH55" s="557"/>
      <c r="CYI55" s="557"/>
      <c r="CYJ55" s="557"/>
      <c r="CYK55" s="557"/>
      <c r="CYL55" s="557"/>
      <c r="CYM55" s="557"/>
      <c r="CYN55" s="557"/>
      <c r="CYO55" s="557"/>
      <c r="CYP55" s="557"/>
      <c r="CYQ55" s="557"/>
      <c r="CYR55" s="557"/>
      <c r="CYS55" s="557"/>
      <c r="CYT55" s="557"/>
      <c r="CYU55" s="661"/>
      <c r="CYV55" s="556"/>
      <c r="CYW55" s="557"/>
      <c r="CYX55" s="557"/>
      <c r="CYY55" s="557"/>
      <c r="CYZ55" s="557"/>
      <c r="CZA55" s="557"/>
      <c r="CZB55" s="557"/>
      <c r="CZC55" s="557"/>
      <c r="CZD55" s="557"/>
      <c r="CZE55" s="557"/>
      <c r="CZF55" s="557"/>
      <c r="CZG55" s="557"/>
      <c r="CZH55" s="557"/>
      <c r="CZI55" s="557"/>
      <c r="CZJ55" s="557"/>
      <c r="CZK55" s="557"/>
      <c r="CZL55" s="557"/>
      <c r="CZM55" s="557"/>
      <c r="CZN55" s="557"/>
      <c r="CZO55" s="661"/>
      <c r="CZP55" s="556"/>
      <c r="CZQ55" s="557"/>
      <c r="CZR55" s="557"/>
      <c r="CZS55" s="557"/>
      <c r="CZT55" s="557"/>
      <c r="CZU55" s="557"/>
      <c r="CZV55" s="557"/>
      <c r="CZW55" s="557"/>
      <c r="CZX55" s="557"/>
      <c r="CZY55" s="557"/>
      <c r="CZZ55" s="557"/>
      <c r="DAA55" s="557"/>
      <c r="DAB55" s="557"/>
      <c r="DAC55" s="557"/>
      <c r="DAD55" s="557"/>
      <c r="DAE55" s="557"/>
      <c r="DAF55" s="557"/>
      <c r="DAG55" s="557"/>
      <c r="DAH55" s="557"/>
      <c r="DAI55" s="661"/>
      <c r="DAJ55" s="556"/>
      <c r="DAK55" s="557"/>
      <c r="DAL55" s="557"/>
      <c r="DAM55" s="557"/>
      <c r="DAN55" s="557"/>
      <c r="DAO55" s="557"/>
      <c r="DAP55" s="557"/>
      <c r="DAQ55" s="557"/>
      <c r="DAR55" s="557"/>
      <c r="DAS55" s="557"/>
      <c r="DAT55" s="557"/>
      <c r="DAU55" s="557"/>
      <c r="DAV55" s="557"/>
      <c r="DAW55" s="557"/>
      <c r="DAX55" s="557"/>
      <c r="DAY55" s="557"/>
      <c r="DAZ55" s="557"/>
      <c r="DBA55" s="557"/>
      <c r="DBB55" s="557"/>
      <c r="DBC55" s="661"/>
      <c r="DBD55" s="556"/>
      <c r="DBE55" s="557"/>
      <c r="DBF55" s="557"/>
      <c r="DBG55" s="557"/>
      <c r="DBH55" s="557"/>
      <c r="DBI55" s="557"/>
      <c r="DBJ55" s="557"/>
      <c r="DBK55" s="557"/>
      <c r="DBL55" s="557"/>
      <c r="DBM55" s="557"/>
      <c r="DBN55" s="557"/>
      <c r="DBO55" s="557"/>
      <c r="DBP55" s="557"/>
      <c r="DBQ55" s="557"/>
      <c r="DBR55" s="557"/>
      <c r="DBS55" s="557"/>
      <c r="DBT55" s="557"/>
      <c r="DBU55" s="557"/>
      <c r="DBV55" s="557"/>
      <c r="DBW55" s="661"/>
      <c r="DBX55" s="556"/>
      <c r="DBY55" s="557"/>
      <c r="DBZ55" s="557"/>
      <c r="DCA55" s="557"/>
      <c r="DCB55" s="557"/>
      <c r="DCC55" s="557"/>
      <c r="DCD55" s="557"/>
      <c r="DCE55" s="557"/>
      <c r="DCF55" s="557"/>
      <c r="DCG55" s="557"/>
      <c r="DCH55" s="557"/>
      <c r="DCI55" s="557"/>
      <c r="DCJ55" s="557"/>
      <c r="DCK55" s="557"/>
      <c r="DCL55" s="557"/>
      <c r="DCM55" s="557"/>
      <c r="DCN55" s="557"/>
      <c r="DCO55" s="557"/>
      <c r="DCP55" s="557"/>
      <c r="DCQ55" s="661"/>
      <c r="DCR55" s="556"/>
      <c r="DCS55" s="557"/>
      <c r="DCT55" s="557"/>
      <c r="DCU55" s="557"/>
      <c r="DCV55" s="557"/>
      <c r="DCW55" s="557"/>
      <c r="DCX55" s="557"/>
      <c r="DCY55" s="557"/>
      <c r="DCZ55" s="557"/>
      <c r="DDA55" s="557"/>
      <c r="DDB55" s="557"/>
      <c r="DDC55" s="557"/>
      <c r="DDD55" s="557"/>
      <c r="DDE55" s="557"/>
      <c r="DDF55" s="557"/>
      <c r="DDG55" s="557"/>
      <c r="DDH55" s="557"/>
      <c r="DDI55" s="557"/>
      <c r="DDJ55" s="557"/>
      <c r="DDK55" s="661"/>
      <c r="DDL55" s="556"/>
      <c r="DDM55" s="557"/>
      <c r="DDN55" s="557"/>
      <c r="DDO55" s="557"/>
      <c r="DDP55" s="557"/>
      <c r="DDQ55" s="557"/>
      <c r="DDR55" s="557"/>
      <c r="DDS55" s="557"/>
      <c r="DDT55" s="557"/>
      <c r="DDU55" s="557"/>
      <c r="DDV55" s="557"/>
      <c r="DDW55" s="557"/>
      <c r="DDX55" s="557"/>
      <c r="DDY55" s="557"/>
      <c r="DDZ55" s="557"/>
      <c r="DEA55" s="557"/>
      <c r="DEB55" s="557"/>
      <c r="DEC55" s="557"/>
      <c r="DED55" s="557"/>
      <c r="DEE55" s="661"/>
      <c r="DEF55" s="556"/>
      <c r="DEG55" s="557"/>
      <c r="DEH55" s="557"/>
      <c r="DEI55" s="557"/>
      <c r="DEJ55" s="557"/>
      <c r="DEK55" s="557"/>
      <c r="DEL55" s="557"/>
      <c r="DEM55" s="557"/>
      <c r="DEN55" s="557"/>
      <c r="DEO55" s="557"/>
      <c r="DEP55" s="557"/>
      <c r="DEQ55" s="557"/>
      <c r="DER55" s="557"/>
      <c r="DES55" s="557"/>
      <c r="DET55" s="557"/>
      <c r="DEU55" s="557"/>
      <c r="DEV55" s="557"/>
      <c r="DEW55" s="557"/>
      <c r="DEX55" s="557"/>
      <c r="DEY55" s="661"/>
      <c r="DEZ55" s="556"/>
      <c r="DFA55" s="557"/>
      <c r="DFB55" s="557"/>
      <c r="DFC55" s="557"/>
      <c r="DFD55" s="557"/>
      <c r="DFE55" s="557"/>
      <c r="DFF55" s="557"/>
      <c r="DFG55" s="557"/>
      <c r="DFH55" s="557"/>
      <c r="DFI55" s="557"/>
      <c r="DFJ55" s="557"/>
      <c r="DFK55" s="557"/>
      <c r="DFL55" s="557"/>
      <c r="DFM55" s="557"/>
      <c r="DFN55" s="557"/>
      <c r="DFO55" s="557"/>
      <c r="DFP55" s="557"/>
      <c r="DFQ55" s="557"/>
      <c r="DFR55" s="557"/>
      <c r="DFS55" s="661"/>
      <c r="DFT55" s="556"/>
      <c r="DFU55" s="557"/>
      <c r="DFV55" s="557"/>
      <c r="DFW55" s="557"/>
      <c r="DFX55" s="557"/>
      <c r="DFY55" s="557"/>
      <c r="DFZ55" s="557"/>
      <c r="DGA55" s="557"/>
      <c r="DGB55" s="557"/>
      <c r="DGC55" s="557"/>
      <c r="DGD55" s="557"/>
      <c r="DGE55" s="557"/>
      <c r="DGF55" s="557"/>
      <c r="DGG55" s="557"/>
      <c r="DGH55" s="557"/>
      <c r="DGI55" s="557"/>
      <c r="DGJ55" s="557"/>
      <c r="DGK55" s="557"/>
      <c r="DGL55" s="557"/>
      <c r="DGM55" s="661"/>
      <c r="DGN55" s="556"/>
      <c r="DGO55" s="557"/>
      <c r="DGP55" s="557"/>
      <c r="DGQ55" s="557"/>
      <c r="DGR55" s="557"/>
      <c r="DGS55" s="557"/>
      <c r="DGT55" s="557"/>
      <c r="DGU55" s="557"/>
      <c r="DGV55" s="557"/>
      <c r="DGW55" s="557"/>
      <c r="DGX55" s="557"/>
      <c r="DGY55" s="557"/>
      <c r="DGZ55" s="557"/>
      <c r="DHA55" s="557"/>
      <c r="DHB55" s="557"/>
      <c r="DHC55" s="557"/>
      <c r="DHD55" s="557"/>
      <c r="DHE55" s="557"/>
      <c r="DHF55" s="557"/>
      <c r="DHG55" s="661"/>
      <c r="DHH55" s="556"/>
      <c r="DHI55" s="557"/>
      <c r="DHJ55" s="557"/>
      <c r="DHK55" s="557"/>
      <c r="DHL55" s="557"/>
      <c r="DHM55" s="557"/>
      <c r="DHN55" s="557"/>
      <c r="DHO55" s="557"/>
      <c r="DHP55" s="557"/>
      <c r="DHQ55" s="557"/>
      <c r="DHR55" s="557"/>
      <c r="DHS55" s="557"/>
      <c r="DHT55" s="557"/>
      <c r="DHU55" s="557"/>
      <c r="DHV55" s="557"/>
      <c r="DHW55" s="557"/>
      <c r="DHX55" s="557"/>
      <c r="DHY55" s="557"/>
      <c r="DHZ55" s="557"/>
      <c r="DIA55" s="661"/>
      <c r="DIB55" s="556"/>
      <c r="DIC55" s="557"/>
      <c r="DID55" s="557"/>
      <c r="DIE55" s="557"/>
      <c r="DIF55" s="557"/>
      <c r="DIG55" s="557"/>
      <c r="DIH55" s="557"/>
      <c r="DII55" s="557"/>
      <c r="DIJ55" s="557"/>
      <c r="DIK55" s="557"/>
      <c r="DIL55" s="557"/>
      <c r="DIM55" s="557"/>
      <c r="DIN55" s="557"/>
      <c r="DIO55" s="557"/>
      <c r="DIP55" s="557"/>
      <c r="DIQ55" s="557"/>
      <c r="DIR55" s="557"/>
      <c r="DIS55" s="557"/>
      <c r="DIT55" s="557"/>
      <c r="DIU55" s="661"/>
      <c r="DIV55" s="556"/>
      <c r="DIW55" s="557"/>
      <c r="DIX55" s="557"/>
      <c r="DIY55" s="557"/>
      <c r="DIZ55" s="557"/>
      <c r="DJA55" s="557"/>
      <c r="DJB55" s="557"/>
      <c r="DJC55" s="557"/>
      <c r="DJD55" s="557"/>
      <c r="DJE55" s="557"/>
      <c r="DJF55" s="557"/>
      <c r="DJG55" s="557"/>
      <c r="DJH55" s="557"/>
      <c r="DJI55" s="557"/>
      <c r="DJJ55" s="557"/>
      <c r="DJK55" s="557"/>
      <c r="DJL55" s="557"/>
      <c r="DJM55" s="557"/>
      <c r="DJN55" s="557"/>
      <c r="DJO55" s="661"/>
      <c r="DJP55" s="556"/>
      <c r="DJQ55" s="557"/>
      <c r="DJR55" s="557"/>
      <c r="DJS55" s="557"/>
      <c r="DJT55" s="557"/>
      <c r="DJU55" s="557"/>
      <c r="DJV55" s="557"/>
      <c r="DJW55" s="557"/>
      <c r="DJX55" s="557"/>
      <c r="DJY55" s="557"/>
      <c r="DJZ55" s="557"/>
      <c r="DKA55" s="557"/>
      <c r="DKB55" s="557"/>
      <c r="DKC55" s="557"/>
      <c r="DKD55" s="557"/>
      <c r="DKE55" s="557"/>
      <c r="DKF55" s="557"/>
      <c r="DKG55" s="557"/>
      <c r="DKH55" s="557"/>
      <c r="DKI55" s="661"/>
      <c r="DKJ55" s="556"/>
      <c r="DKK55" s="557"/>
      <c r="DKL55" s="557"/>
      <c r="DKM55" s="557"/>
      <c r="DKN55" s="557"/>
      <c r="DKO55" s="557"/>
      <c r="DKP55" s="557"/>
      <c r="DKQ55" s="557"/>
      <c r="DKR55" s="557"/>
      <c r="DKS55" s="557"/>
      <c r="DKT55" s="557"/>
      <c r="DKU55" s="557"/>
      <c r="DKV55" s="557"/>
      <c r="DKW55" s="557"/>
      <c r="DKX55" s="557"/>
      <c r="DKY55" s="557"/>
      <c r="DKZ55" s="557"/>
      <c r="DLA55" s="557"/>
      <c r="DLB55" s="557"/>
      <c r="DLC55" s="661"/>
      <c r="DLD55" s="556"/>
      <c r="DLE55" s="557"/>
      <c r="DLF55" s="557"/>
      <c r="DLG55" s="557"/>
      <c r="DLH55" s="557"/>
      <c r="DLI55" s="557"/>
      <c r="DLJ55" s="557"/>
      <c r="DLK55" s="557"/>
      <c r="DLL55" s="557"/>
      <c r="DLM55" s="557"/>
      <c r="DLN55" s="557"/>
      <c r="DLO55" s="557"/>
      <c r="DLP55" s="557"/>
      <c r="DLQ55" s="557"/>
      <c r="DLR55" s="557"/>
      <c r="DLS55" s="557"/>
      <c r="DLT55" s="557"/>
      <c r="DLU55" s="557"/>
      <c r="DLV55" s="557"/>
      <c r="DLW55" s="661"/>
      <c r="DLX55" s="556"/>
      <c r="DLY55" s="557"/>
      <c r="DLZ55" s="557"/>
      <c r="DMA55" s="557"/>
      <c r="DMB55" s="557"/>
      <c r="DMC55" s="557"/>
      <c r="DMD55" s="557"/>
      <c r="DME55" s="557"/>
      <c r="DMF55" s="557"/>
      <c r="DMG55" s="557"/>
      <c r="DMH55" s="557"/>
      <c r="DMI55" s="557"/>
      <c r="DMJ55" s="557"/>
      <c r="DMK55" s="557"/>
      <c r="DML55" s="557"/>
      <c r="DMM55" s="557"/>
      <c r="DMN55" s="557"/>
      <c r="DMO55" s="557"/>
      <c r="DMP55" s="557"/>
      <c r="DMQ55" s="661"/>
      <c r="DMR55" s="556"/>
      <c r="DMS55" s="557"/>
      <c r="DMT55" s="557"/>
      <c r="DMU55" s="557"/>
      <c r="DMV55" s="557"/>
      <c r="DMW55" s="557"/>
      <c r="DMX55" s="557"/>
      <c r="DMY55" s="557"/>
      <c r="DMZ55" s="557"/>
      <c r="DNA55" s="557"/>
      <c r="DNB55" s="557"/>
      <c r="DNC55" s="557"/>
      <c r="DND55" s="557"/>
      <c r="DNE55" s="557"/>
      <c r="DNF55" s="557"/>
      <c r="DNG55" s="557"/>
      <c r="DNH55" s="557"/>
      <c r="DNI55" s="557"/>
      <c r="DNJ55" s="557"/>
      <c r="DNK55" s="661"/>
      <c r="DNL55" s="556"/>
      <c r="DNM55" s="557"/>
      <c r="DNN55" s="557"/>
      <c r="DNO55" s="557"/>
      <c r="DNP55" s="557"/>
      <c r="DNQ55" s="557"/>
      <c r="DNR55" s="557"/>
      <c r="DNS55" s="557"/>
      <c r="DNT55" s="557"/>
      <c r="DNU55" s="557"/>
      <c r="DNV55" s="557"/>
      <c r="DNW55" s="557"/>
      <c r="DNX55" s="557"/>
      <c r="DNY55" s="557"/>
      <c r="DNZ55" s="557"/>
      <c r="DOA55" s="557"/>
      <c r="DOB55" s="557"/>
      <c r="DOC55" s="557"/>
      <c r="DOD55" s="557"/>
      <c r="DOE55" s="661"/>
      <c r="DOF55" s="556"/>
      <c r="DOG55" s="557"/>
      <c r="DOH55" s="557"/>
      <c r="DOI55" s="557"/>
      <c r="DOJ55" s="557"/>
      <c r="DOK55" s="557"/>
      <c r="DOL55" s="557"/>
      <c r="DOM55" s="557"/>
      <c r="DON55" s="557"/>
      <c r="DOO55" s="557"/>
      <c r="DOP55" s="557"/>
      <c r="DOQ55" s="557"/>
      <c r="DOR55" s="557"/>
      <c r="DOS55" s="557"/>
      <c r="DOT55" s="557"/>
      <c r="DOU55" s="557"/>
      <c r="DOV55" s="557"/>
      <c r="DOW55" s="557"/>
      <c r="DOX55" s="557"/>
      <c r="DOY55" s="661"/>
      <c r="DOZ55" s="556"/>
      <c r="DPA55" s="557"/>
      <c r="DPB55" s="557"/>
      <c r="DPC55" s="557"/>
      <c r="DPD55" s="557"/>
      <c r="DPE55" s="557"/>
      <c r="DPF55" s="557"/>
      <c r="DPG55" s="557"/>
      <c r="DPH55" s="557"/>
      <c r="DPI55" s="557"/>
      <c r="DPJ55" s="557"/>
      <c r="DPK55" s="557"/>
      <c r="DPL55" s="557"/>
      <c r="DPM55" s="557"/>
      <c r="DPN55" s="557"/>
      <c r="DPO55" s="557"/>
      <c r="DPP55" s="557"/>
      <c r="DPQ55" s="557"/>
      <c r="DPR55" s="557"/>
      <c r="DPS55" s="661"/>
      <c r="DPT55" s="556"/>
      <c r="DPU55" s="557"/>
      <c r="DPV55" s="557"/>
      <c r="DPW55" s="557"/>
      <c r="DPX55" s="557"/>
      <c r="DPY55" s="557"/>
      <c r="DPZ55" s="557"/>
      <c r="DQA55" s="557"/>
      <c r="DQB55" s="557"/>
      <c r="DQC55" s="557"/>
      <c r="DQD55" s="557"/>
      <c r="DQE55" s="557"/>
      <c r="DQF55" s="557"/>
      <c r="DQG55" s="557"/>
      <c r="DQH55" s="557"/>
      <c r="DQI55" s="557"/>
      <c r="DQJ55" s="557"/>
      <c r="DQK55" s="557"/>
      <c r="DQL55" s="557"/>
      <c r="DQM55" s="661"/>
      <c r="DQN55" s="556"/>
      <c r="DQO55" s="557"/>
      <c r="DQP55" s="557"/>
      <c r="DQQ55" s="557"/>
      <c r="DQR55" s="557"/>
      <c r="DQS55" s="557"/>
      <c r="DQT55" s="557"/>
      <c r="DQU55" s="557"/>
      <c r="DQV55" s="557"/>
      <c r="DQW55" s="557"/>
      <c r="DQX55" s="557"/>
      <c r="DQY55" s="557"/>
      <c r="DQZ55" s="557"/>
      <c r="DRA55" s="557"/>
      <c r="DRB55" s="557"/>
      <c r="DRC55" s="557"/>
      <c r="DRD55" s="557"/>
      <c r="DRE55" s="557"/>
      <c r="DRF55" s="557"/>
      <c r="DRG55" s="661"/>
      <c r="DRH55" s="556"/>
      <c r="DRI55" s="557"/>
      <c r="DRJ55" s="557"/>
      <c r="DRK55" s="557"/>
      <c r="DRL55" s="557"/>
      <c r="DRM55" s="557"/>
      <c r="DRN55" s="557"/>
      <c r="DRO55" s="557"/>
      <c r="DRP55" s="557"/>
      <c r="DRQ55" s="557"/>
      <c r="DRR55" s="557"/>
      <c r="DRS55" s="557"/>
      <c r="DRT55" s="557"/>
      <c r="DRU55" s="557"/>
      <c r="DRV55" s="557"/>
      <c r="DRW55" s="557"/>
      <c r="DRX55" s="557"/>
      <c r="DRY55" s="557"/>
      <c r="DRZ55" s="557"/>
      <c r="DSA55" s="661"/>
      <c r="DSB55" s="556"/>
      <c r="DSC55" s="557"/>
      <c r="DSD55" s="557"/>
      <c r="DSE55" s="557"/>
      <c r="DSF55" s="557"/>
      <c r="DSG55" s="557"/>
      <c r="DSH55" s="557"/>
      <c r="DSI55" s="557"/>
      <c r="DSJ55" s="557"/>
      <c r="DSK55" s="557"/>
      <c r="DSL55" s="557"/>
      <c r="DSM55" s="557"/>
      <c r="DSN55" s="557"/>
      <c r="DSO55" s="557"/>
      <c r="DSP55" s="557"/>
      <c r="DSQ55" s="557"/>
      <c r="DSR55" s="557"/>
      <c r="DSS55" s="557"/>
      <c r="DST55" s="557"/>
      <c r="DSU55" s="661"/>
      <c r="DSV55" s="556"/>
      <c r="DSW55" s="557"/>
      <c r="DSX55" s="557"/>
      <c r="DSY55" s="557"/>
      <c r="DSZ55" s="557"/>
      <c r="DTA55" s="557"/>
      <c r="DTB55" s="557"/>
      <c r="DTC55" s="557"/>
      <c r="DTD55" s="557"/>
      <c r="DTE55" s="557"/>
      <c r="DTF55" s="557"/>
      <c r="DTG55" s="557"/>
      <c r="DTH55" s="557"/>
      <c r="DTI55" s="557"/>
      <c r="DTJ55" s="557"/>
      <c r="DTK55" s="557"/>
      <c r="DTL55" s="557"/>
      <c r="DTM55" s="557"/>
      <c r="DTN55" s="557"/>
      <c r="DTO55" s="661"/>
      <c r="DTP55" s="556"/>
      <c r="DTQ55" s="557"/>
      <c r="DTR55" s="557"/>
      <c r="DTS55" s="557"/>
      <c r="DTT55" s="557"/>
      <c r="DTU55" s="557"/>
      <c r="DTV55" s="557"/>
      <c r="DTW55" s="557"/>
      <c r="DTX55" s="557"/>
      <c r="DTY55" s="557"/>
      <c r="DTZ55" s="557"/>
      <c r="DUA55" s="557"/>
      <c r="DUB55" s="557"/>
      <c r="DUC55" s="557"/>
      <c r="DUD55" s="557"/>
      <c r="DUE55" s="557"/>
      <c r="DUF55" s="557"/>
      <c r="DUG55" s="557"/>
      <c r="DUH55" s="557"/>
      <c r="DUI55" s="661"/>
      <c r="DUJ55" s="556"/>
      <c r="DUK55" s="557"/>
      <c r="DUL55" s="557"/>
      <c r="DUM55" s="557"/>
      <c r="DUN55" s="557"/>
      <c r="DUO55" s="557"/>
      <c r="DUP55" s="557"/>
      <c r="DUQ55" s="557"/>
      <c r="DUR55" s="557"/>
      <c r="DUS55" s="557"/>
      <c r="DUT55" s="557"/>
      <c r="DUU55" s="557"/>
      <c r="DUV55" s="557"/>
      <c r="DUW55" s="557"/>
      <c r="DUX55" s="557"/>
      <c r="DUY55" s="557"/>
      <c r="DUZ55" s="557"/>
      <c r="DVA55" s="557"/>
      <c r="DVB55" s="557"/>
      <c r="DVC55" s="661"/>
      <c r="DVD55" s="556"/>
      <c r="DVE55" s="557"/>
      <c r="DVF55" s="557"/>
      <c r="DVG55" s="557"/>
      <c r="DVH55" s="557"/>
      <c r="DVI55" s="557"/>
      <c r="DVJ55" s="557"/>
      <c r="DVK55" s="557"/>
      <c r="DVL55" s="557"/>
      <c r="DVM55" s="557"/>
      <c r="DVN55" s="557"/>
      <c r="DVO55" s="557"/>
      <c r="DVP55" s="557"/>
      <c r="DVQ55" s="557"/>
      <c r="DVR55" s="557"/>
      <c r="DVS55" s="557"/>
      <c r="DVT55" s="557"/>
      <c r="DVU55" s="557"/>
      <c r="DVV55" s="557"/>
      <c r="DVW55" s="661"/>
      <c r="DVX55" s="556"/>
      <c r="DVY55" s="557"/>
      <c r="DVZ55" s="557"/>
      <c r="DWA55" s="557"/>
      <c r="DWB55" s="557"/>
      <c r="DWC55" s="557"/>
      <c r="DWD55" s="557"/>
      <c r="DWE55" s="557"/>
      <c r="DWF55" s="557"/>
      <c r="DWG55" s="557"/>
      <c r="DWH55" s="557"/>
      <c r="DWI55" s="557"/>
      <c r="DWJ55" s="557"/>
      <c r="DWK55" s="557"/>
      <c r="DWL55" s="557"/>
      <c r="DWM55" s="557"/>
      <c r="DWN55" s="557"/>
      <c r="DWO55" s="557"/>
      <c r="DWP55" s="557"/>
      <c r="DWQ55" s="661"/>
      <c r="DWR55" s="556"/>
      <c r="DWS55" s="557"/>
      <c r="DWT55" s="557"/>
      <c r="DWU55" s="557"/>
      <c r="DWV55" s="557"/>
      <c r="DWW55" s="557"/>
      <c r="DWX55" s="557"/>
      <c r="DWY55" s="557"/>
      <c r="DWZ55" s="557"/>
      <c r="DXA55" s="557"/>
      <c r="DXB55" s="557"/>
      <c r="DXC55" s="557"/>
      <c r="DXD55" s="557"/>
      <c r="DXE55" s="557"/>
      <c r="DXF55" s="557"/>
      <c r="DXG55" s="557"/>
      <c r="DXH55" s="557"/>
      <c r="DXI55" s="557"/>
      <c r="DXJ55" s="557"/>
      <c r="DXK55" s="661"/>
      <c r="DXL55" s="556"/>
      <c r="DXM55" s="557"/>
      <c r="DXN55" s="557"/>
      <c r="DXO55" s="557"/>
      <c r="DXP55" s="557"/>
      <c r="DXQ55" s="557"/>
      <c r="DXR55" s="557"/>
      <c r="DXS55" s="557"/>
      <c r="DXT55" s="557"/>
      <c r="DXU55" s="557"/>
      <c r="DXV55" s="557"/>
      <c r="DXW55" s="557"/>
      <c r="DXX55" s="557"/>
      <c r="DXY55" s="557"/>
      <c r="DXZ55" s="557"/>
      <c r="DYA55" s="557"/>
      <c r="DYB55" s="557"/>
      <c r="DYC55" s="557"/>
      <c r="DYD55" s="557"/>
      <c r="DYE55" s="661"/>
      <c r="DYF55" s="556"/>
      <c r="DYG55" s="557"/>
      <c r="DYH55" s="557"/>
      <c r="DYI55" s="557"/>
      <c r="DYJ55" s="557"/>
      <c r="DYK55" s="557"/>
      <c r="DYL55" s="557"/>
      <c r="DYM55" s="557"/>
      <c r="DYN55" s="557"/>
      <c r="DYO55" s="557"/>
      <c r="DYP55" s="557"/>
      <c r="DYQ55" s="557"/>
      <c r="DYR55" s="557"/>
      <c r="DYS55" s="557"/>
      <c r="DYT55" s="557"/>
      <c r="DYU55" s="557"/>
      <c r="DYV55" s="557"/>
      <c r="DYW55" s="557"/>
      <c r="DYX55" s="557"/>
      <c r="DYY55" s="661"/>
      <c r="DYZ55" s="556"/>
      <c r="DZA55" s="557"/>
      <c r="DZB55" s="557"/>
      <c r="DZC55" s="557"/>
      <c r="DZD55" s="557"/>
      <c r="DZE55" s="557"/>
      <c r="DZF55" s="557"/>
      <c r="DZG55" s="557"/>
      <c r="DZH55" s="557"/>
      <c r="DZI55" s="557"/>
      <c r="DZJ55" s="557"/>
      <c r="DZK55" s="557"/>
      <c r="DZL55" s="557"/>
      <c r="DZM55" s="557"/>
      <c r="DZN55" s="557"/>
      <c r="DZO55" s="557"/>
      <c r="DZP55" s="557"/>
      <c r="DZQ55" s="557"/>
      <c r="DZR55" s="557"/>
      <c r="DZS55" s="661"/>
      <c r="DZT55" s="556"/>
      <c r="DZU55" s="557"/>
      <c r="DZV55" s="557"/>
      <c r="DZW55" s="557"/>
      <c r="DZX55" s="557"/>
      <c r="DZY55" s="557"/>
      <c r="DZZ55" s="557"/>
      <c r="EAA55" s="557"/>
      <c r="EAB55" s="557"/>
      <c r="EAC55" s="557"/>
      <c r="EAD55" s="557"/>
      <c r="EAE55" s="557"/>
      <c r="EAF55" s="557"/>
      <c r="EAG55" s="557"/>
      <c r="EAH55" s="557"/>
      <c r="EAI55" s="557"/>
      <c r="EAJ55" s="557"/>
      <c r="EAK55" s="557"/>
      <c r="EAL55" s="557"/>
      <c r="EAM55" s="661"/>
      <c r="EAN55" s="556"/>
      <c r="EAO55" s="557"/>
      <c r="EAP55" s="557"/>
      <c r="EAQ55" s="557"/>
      <c r="EAR55" s="557"/>
      <c r="EAS55" s="557"/>
      <c r="EAT55" s="557"/>
      <c r="EAU55" s="557"/>
      <c r="EAV55" s="557"/>
      <c r="EAW55" s="557"/>
      <c r="EAX55" s="557"/>
      <c r="EAY55" s="557"/>
      <c r="EAZ55" s="557"/>
      <c r="EBA55" s="557"/>
      <c r="EBB55" s="557"/>
      <c r="EBC55" s="557"/>
      <c r="EBD55" s="557"/>
      <c r="EBE55" s="557"/>
      <c r="EBF55" s="557"/>
      <c r="EBG55" s="661"/>
      <c r="EBH55" s="556"/>
      <c r="EBI55" s="557"/>
      <c r="EBJ55" s="557"/>
      <c r="EBK55" s="557"/>
      <c r="EBL55" s="557"/>
      <c r="EBM55" s="557"/>
      <c r="EBN55" s="557"/>
      <c r="EBO55" s="557"/>
      <c r="EBP55" s="557"/>
      <c r="EBQ55" s="557"/>
      <c r="EBR55" s="557"/>
      <c r="EBS55" s="557"/>
      <c r="EBT55" s="557"/>
      <c r="EBU55" s="557"/>
      <c r="EBV55" s="557"/>
      <c r="EBW55" s="557"/>
      <c r="EBX55" s="557"/>
      <c r="EBY55" s="557"/>
      <c r="EBZ55" s="557"/>
      <c r="ECA55" s="661"/>
      <c r="ECB55" s="556"/>
      <c r="ECC55" s="557"/>
      <c r="ECD55" s="557"/>
      <c r="ECE55" s="557"/>
      <c r="ECF55" s="557"/>
      <c r="ECG55" s="557"/>
      <c r="ECH55" s="557"/>
      <c r="ECI55" s="557"/>
      <c r="ECJ55" s="557"/>
      <c r="ECK55" s="557"/>
      <c r="ECL55" s="557"/>
      <c r="ECM55" s="557"/>
      <c r="ECN55" s="557"/>
      <c r="ECO55" s="557"/>
      <c r="ECP55" s="557"/>
      <c r="ECQ55" s="557"/>
      <c r="ECR55" s="557"/>
      <c r="ECS55" s="557"/>
      <c r="ECT55" s="557"/>
      <c r="ECU55" s="661"/>
      <c r="ECV55" s="556"/>
      <c r="ECW55" s="557"/>
      <c r="ECX55" s="557"/>
      <c r="ECY55" s="557"/>
      <c r="ECZ55" s="557"/>
      <c r="EDA55" s="557"/>
      <c r="EDB55" s="557"/>
      <c r="EDC55" s="557"/>
      <c r="EDD55" s="557"/>
      <c r="EDE55" s="557"/>
      <c r="EDF55" s="557"/>
      <c r="EDG55" s="557"/>
      <c r="EDH55" s="557"/>
      <c r="EDI55" s="557"/>
      <c r="EDJ55" s="557"/>
      <c r="EDK55" s="557"/>
      <c r="EDL55" s="557"/>
      <c r="EDM55" s="557"/>
      <c r="EDN55" s="557"/>
      <c r="EDO55" s="661"/>
      <c r="EDP55" s="556"/>
      <c r="EDQ55" s="557"/>
      <c r="EDR55" s="557"/>
      <c r="EDS55" s="557"/>
      <c r="EDT55" s="557"/>
      <c r="EDU55" s="557"/>
      <c r="EDV55" s="557"/>
      <c r="EDW55" s="557"/>
      <c r="EDX55" s="557"/>
      <c r="EDY55" s="557"/>
      <c r="EDZ55" s="557"/>
      <c r="EEA55" s="557"/>
      <c r="EEB55" s="557"/>
      <c r="EEC55" s="557"/>
      <c r="EED55" s="557"/>
      <c r="EEE55" s="557"/>
      <c r="EEF55" s="557"/>
      <c r="EEG55" s="557"/>
      <c r="EEH55" s="557"/>
      <c r="EEI55" s="661"/>
      <c r="EEJ55" s="556"/>
      <c r="EEK55" s="557"/>
      <c r="EEL55" s="557"/>
      <c r="EEM55" s="557"/>
      <c r="EEN55" s="557"/>
      <c r="EEO55" s="557"/>
      <c r="EEP55" s="557"/>
      <c r="EEQ55" s="557"/>
      <c r="EER55" s="557"/>
      <c r="EES55" s="557"/>
      <c r="EET55" s="557"/>
      <c r="EEU55" s="557"/>
      <c r="EEV55" s="557"/>
      <c r="EEW55" s="557"/>
      <c r="EEX55" s="557"/>
      <c r="EEY55" s="557"/>
      <c r="EEZ55" s="557"/>
      <c r="EFA55" s="557"/>
      <c r="EFB55" s="557"/>
      <c r="EFC55" s="661"/>
      <c r="EFD55" s="556"/>
      <c r="EFE55" s="557"/>
      <c r="EFF55" s="557"/>
      <c r="EFG55" s="557"/>
      <c r="EFH55" s="557"/>
      <c r="EFI55" s="557"/>
      <c r="EFJ55" s="557"/>
      <c r="EFK55" s="557"/>
      <c r="EFL55" s="557"/>
      <c r="EFM55" s="557"/>
      <c r="EFN55" s="557"/>
      <c r="EFO55" s="557"/>
      <c r="EFP55" s="557"/>
      <c r="EFQ55" s="557"/>
      <c r="EFR55" s="557"/>
      <c r="EFS55" s="557"/>
      <c r="EFT55" s="557"/>
      <c r="EFU55" s="557"/>
      <c r="EFV55" s="557"/>
      <c r="EFW55" s="661"/>
      <c r="EFX55" s="556"/>
      <c r="EFY55" s="557"/>
      <c r="EFZ55" s="557"/>
      <c r="EGA55" s="557"/>
      <c r="EGB55" s="557"/>
      <c r="EGC55" s="557"/>
      <c r="EGD55" s="557"/>
      <c r="EGE55" s="557"/>
      <c r="EGF55" s="557"/>
      <c r="EGG55" s="557"/>
      <c r="EGH55" s="557"/>
      <c r="EGI55" s="557"/>
      <c r="EGJ55" s="557"/>
      <c r="EGK55" s="557"/>
      <c r="EGL55" s="557"/>
      <c r="EGM55" s="557"/>
      <c r="EGN55" s="557"/>
      <c r="EGO55" s="557"/>
      <c r="EGP55" s="557"/>
      <c r="EGQ55" s="661"/>
      <c r="EGR55" s="556"/>
      <c r="EGS55" s="557"/>
      <c r="EGT55" s="557"/>
      <c r="EGU55" s="557"/>
      <c r="EGV55" s="557"/>
      <c r="EGW55" s="557"/>
      <c r="EGX55" s="557"/>
      <c r="EGY55" s="557"/>
      <c r="EGZ55" s="557"/>
      <c r="EHA55" s="557"/>
      <c r="EHB55" s="557"/>
      <c r="EHC55" s="557"/>
      <c r="EHD55" s="557"/>
      <c r="EHE55" s="557"/>
      <c r="EHF55" s="557"/>
      <c r="EHG55" s="557"/>
      <c r="EHH55" s="557"/>
      <c r="EHI55" s="557"/>
      <c r="EHJ55" s="557"/>
      <c r="EHK55" s="661"/>
      <c r="EHL55" s="556"/>
      <c r="EHM55" s="557"/>
      <c r="EHN55" s="557"/>
      <c r="EHO55" s="557"/>
      <c r="EHP55" s="557"/>
      <c r="EHQ55" s="557"/>
      <c r="EHR55" s="557"/>
      <c r="EHS55" s="557"/>
      <c r="EHT55" s="557"/>
      <c r="EHU55" s="557"/>
      <c r="EHV55" s="557"/>
      <c r="EHW55" s="557"/>
      <c r="EHX55" s="557"/>
      <c r="EHY55" s="557"/>
      <c r="EHZ55" s="557"/>
      <c r="EIA55" s="557"/>
      <c r="EIB55" s="557"/>
      <c r="EIC55" s="557"/>
      <c r="EID55" s="557"/>
      <c r="EIE55" s="661"/>
      <c r="EIF55" s="556"/>
      <c r="EIG55" s="557"/>
      <c r="EIH55" s="557"/>
      <c r="EII55" s="557"/>
      <c r="EIJ55" s="557"/>
      <c r="EIK55" s="557"/>
      <c r="EIL55" s="557"/>
      <c r="EIM55" s="557"/>
      <c r="EIN55" s="557"/>
      <c r="EIO55" s="557"/>
      <c r="EIP55" s="557"/>
      <c r="EIQ55" s="557"/>
      <c r="EIR55" s="557"/>
      <c r="EIS55" s="557"/>
      <c r="EIT55" s="557"/>
      <c r="EIU55" s="557"/>
      <c r="EIV55" s="557"/>
      <c r="EIW55" s="557"/>
      <c r="EIX55" s="557"/>
      <c r="EIY55" s="661"/>
      <c r="EIZ55" s="556"/>
      <c r="EJA55" s="557"/>
      <c r="EJB55" s="557"/>
      <c r="EJC55" s="557"/>
      <c r="EJD55" s="557"/>
      <c r="EJE55" s="557"/>
      <c r="EJF55" s="557"/>
      <c r="EJG55" s="557"/>
      <c r="EJH55" s="557"/>
      <c r="EJI55" s="557"/>
      <c r="EJJ55" s="557"/>
      <c r="EJK55" s="557"/>
      <c r="EJL55" s="557"/>
      <c r="EJM55" s="557"/>
      <c r="EJN55" s="557"/>
      <c r="EJO55" s="557"/>
      <c r="EJP55" s="557"/>
      <c r="EJQ55" s="557"/>
      <c r="EJR55" s="557"/>
      <c r="EJS55" s="661"/>
      <c r="EJT55" s="556"/>
      <c r="EJU55" s="557"/>
      <c r="EJV55" s="557"/>
      <c r="EJW55" s="557"/>
      <c r="EJX55" s="557"/>
      <c r="EJY55" s="557"/>
      <c r="EJZ55" s="557"/>
      <c r="EKA55" s="557"/>
      <c r="EKB55" s="557"/>
      <c r="EKC55" s="557"/>
      <c r="EKD55" s="557"/>
      <c r="EKE55" s="557"/>
      <c r="EKF55" s="557"/>
      <c r="EKG55" s="557"/>
      <c r="EKH55" s="557"/>
      <c r="EKI55" s="557"/>
      <c r="EKJ55" s="557"/>
      <c r="EKK55" s="557"/>
      <c r="EKL55" s="557"/>
      <c r="EKM55" s="661"/>
      <c r="EKN55" s="556"/>
      <c r="EKO55" s="557"/>
      <c r="EKP55" s="557"/>
      <c r="EKQ55" s="557"/>
      <c r="EKR55" s="557"/>
      <c r="EKS55" s="557"/>
      <c r="EKT55" s="557"/>
      <c r="EKU55" s="557"/>
      <c r="EKV55" s="557"/>
      <c r="EKW55" s="557"/>
      <c r="EKX55" s="557"/>
      <c r="EKY55" s="557"/>
      <c r="EKZ55" s="557"/>
      <c r="ELA55" s="557"/>
      <c r="ELB55" s="557"/>
      <c r="ELC55" s="557"/>
      <c r="ELD55" s="557"/>
      <c r="ELE55" s="557"/>
      <c r="ELF55" s="557"/>
      <c r="ELG55" s="661"/>
      <c r="ELH55" s="556"/>
      <c r="ELI55" s="557"/>
      <c r="ELJ55" s="557"/>
      <c r="ELK55" s="557"/>
      <c r="ELL55" s="557"/>
      <c r="ELM55" s="557"/>
      <c r="ELN55" s="557"/>
      <c r="ELO55" s="557"/>
      <c r="ELP55" s="557"/>
      <c r="ELQ55" s="557"/>
      <c r="ELR55" s="557"/>
      <c r="ELS55" s="557"/>
      <c r="ELT55" s="557"/>
      <c r="ELU55" s="557"/>
      <c r="ELV55" s="557"/>
      <c r="ELW55" s="557"/>
      <c r="ELX55" s="557"/>
      <c r="ELY55" s="557"/>
      <c r="ELZ55" s="557"/>
      <c r="EMA55" s="661"/>
      <c r="EMB55" s="556"/>
      <c r="EMC55" s="557"/>
      <c r="EMD55" s="557"/>
      <c r="EME55" s="557"/>
      <c r="EMF55" s="557"/>
      <c r="EMG55" s="557"/>
      <c r="EMH55" s="557"/>
      <c r="EMI55" s="557"/>
      <c r="EMJ55" s="557"/>
      <c r="EMK55" s="557"/>
      <c r="EML55" s="557"/>
      <c r="EMM55" s="557"/>
      <c r="EMN55" s="557"/>
      <c r="EMO55" s="557"/>
      <c r="EMP55" s="557"/>
      <c r="EMQ55" s="557"/>
      <c r="EMR55" s="557"/>
      <c r="EMS55" s="557"/>
      <c r="EMT55" s="557"/>
      <c r="EMU55" s="661"/>
      <c r="EMV55" s="556"/>
      <c r="EMW55" s="557"/>
      <c r="EMX55" s="557"/>
      <c r="EMY55" s="557"/>
      <c r="EMZ55" s="557"/>
      <c r="ENA55" s="557"/>
      <c r="ENB55" s="557"/>
      <c r="ENC55" s="557"/>
      <c r="END55" s="557"/>
      <c r="ENE55" s="557"/>
      <c r="ENF55" s="557"/>
      <c r="ENG55" s="557"/>
      <c r="ENH55" s="557"/>
      <c r="ENI55" s="557"/>
      <c r="ENJ55" s="557"/>
      <c r="ENK55" s="557"/>
      <c r="ENL55" s="557"/>
      <c r="ENM55" s="557"/>
      <c r="ENN55" s="557"/>
      <c r="ENO55" s="661"/>
      <c r="ENP55" s="556"/>
      <c r="ENQ55" s="557"/>
      <c r="ENR55" s="557"/>
      <c r="ENS55" s="557"/>
      <c r="ENT55" s="557"/>
      <c r="ENU55" s="557"/>
      <c r="ENV55" s="557"/>
      <c r="ENW55" s="557"/>
      <c r="ENX55" s="557"/>
      <c r="ENY55" s="557"/>
      <c r="ENZ55" s="557"/>
      <c r="EOA55" s="557"/>
      <c r="EOB55" s="557"/>
      <c r="EOC55" s="557"/>
      <c r="EOD55" s="557"/>
      <c r="EOE55" s="557"/>
      <c r="EOF55" s="557"/>
      <c r="EOG55" s="557"/>
      <c r="EOH55" s="557"/>
      <c r="EOI55" s="661"/>
      <c r="EOJ55" s="556"/>
      <c r="EOK55" s="557"/>
      <c r="EOL55" s="557"/>
      <c r="EOM55" s="557"/>
      <c r="EON55" s="557"/>
      <c r="EOO55" s="557"/>
      <c r="EOP55" s="557"/>
      <c r="EOQ55" s="557"/>
      <c r="EOR55" s="557"/>
      <c r="EOS55" s="557"/>
      <c r="EOT55" s="557"/>
      <c r="EOU55" s="557"/>
      <c r="EOV55" s="557"/>
      <c r="EOW55" s="557"/>
      <c r="EOX55" s="557"/>
      <c r="EOY55" s="557"/>
      <c r="EOZ55" s="557"/>
      <c r="EPA55" s="557"/>
      <c r="EPB55" s="557"/>
      <c r="EPC55" s="661"/>
      <c r="EPD55" s="556"/>
      <c r="EPE55" s="557"/>
      <c r="EPF55" s="557"/>
      <c r="EPG55" s="557"/>
      <c r="EPH55" s="557"/>
      <c r="EPI55" s="557"/>
      <c r="EPJ55" s="557"/>
      <c r="EPK55" s="557"/>
      <c r="EPL55" s="557"/>
      <c r="EPM55" s="557"/>
      <c r="EPN55" s="557"/>
      <c r="EPO55" s="557"/>
      <c r="EPP55" s="557"/>
      <c r="EPQ55" s="557"/>
      <c r="EPR55" s="557"/>
      <c r="EPS55" s="557"/>
      <c r="EPT55" s="557"/>
      <c r="EPU55" s="557"/>
      <c r="EPV55" s="557"/>
      <c r="EPW55" s="661"/>
      <c r="EPX55" s="556"/>
      <c r="EPY55" s="557"/>
      <c r="EPZ55" s="557"/>
      <c r="EQA55" s="557"/>
      <c r="EQB55" s="557"/>
      <c r="EQC55" s="557"/>
      <c r="EQD55" s="557"/>
      <c r="EQE55" s="557"/>
      <c r="EQF55" s="557"/>
      <c r="EQG55" s="557"/>
      <c r="EQH55" s="557"/>
      <c r="EQI55" s="557"/>
      <c r="EQJ55" s="557"/>
      <c r="EQK55" s="557"/>
      <c r="EQL55" s="557"/>
      <c r="EQM55" s="557"/>
      <c r="EQN55" s="557"/>
      <c r="EQO55" s="557"/>
      <c r="EQP55" s="557"/>
      <c r="EQQ55" s="661"/>
      <c r="EQR55" s="556"/>
      <c r="EQS55" s="557"/>
      <c r="EQT55" s="557"/>
      <c r="EQU55" s="557"/>
      <c r="EQV55" s="557"/>
      <c r="EQW55" s="557"/>
      <c r="EQX55" s="557"/>
      <c r="EQY55" s="557"/>
      <c r="EQZ55" s="557"/>
      <c r="ERA55" s="557"/>
      <c r="ERB55" s="557"/>
      <c r="ERC55" s="557"/>
      <c r="ERD55" s="557"/>
      <c r="ERE55" s="557"/>
      <c r="ERF55" s="557"/>
      <c r="ERG55" s="557"/>
      <c r="ERH55" s="557"/>
      <c r="ERI55" s="557"/>
      <c r="ERJ55" s="557"/>
      <c r="ERK55" s="661"/>
      <c r="ERL55" s="556"/>
      <c r="ERM55" s="557"/>
      <c r="ERN55" s="557"/>
      <c r="ERO55" s="557"/>
      <c r="ERP55" s="557"/>
      <c r="ERQ55" s="557"/>
      <c r="ERR55" s="557"/>
      <c r="ERS55" s="557"/>
      <c r="ERT55" s="557"/>
      <c r="ERU55" s="557"/>
      <c r="ERV55" s="557"/>
      <c r="ERW55" s="557"/>
      <c r="ERX55" s="557"/>
      <c r="ERY55" s="557"/>
      <c r="ERZ55" s="557"/>
      <c r="ESA55" s="557"/>
      <c r="ESB55" s="557"/>
      <c r="ESC55" s="557"/>
      <c r="ESD55" s="557"/>
      <c r="ESE55" s="661"/>
      <c r="ESF55" s="556"/>
      <c r="ESG55" s="557"/>
      <c r="ESH55" s="557"/>
      <c r="ESI55" s="557"/>
      <c r="ESJ55" s="557"/>
      <c r="ESK55" s="557"/>
      <c r="ESL55" s="557"/>
      <c r="ESM55" s="557"/>
      <c r="ESN55" s="557"/>
      <c r="ESO55" s="557"/>
      <c r="ESP55" s="557"/>
      <c r="ESQ55" s="557"/>
      <c r="ESR55" s="557"/>
      <c r="ESS55" s="557"/>
      <c r="EST55" s="557"/>
      <c r="ESU55" s="557"/>
      <c r="ESV55" s="557"/>
      <c r="ESW55" s="557"/>
      <c r="ESX55" s="557"/>
      <c r="ESY55" s="661"/>
      <c r="ESZ55" s="556"/>
      <c r="ETA55" s="557"/>
      <c r="ETB55" s="557"/>
      <c r="ETC55" s="557"/>
      <c r="ETD55" s="557"/>
      <c r="ETE55" s="557"/>
      <c r="ETF55" s="557"/>
      <c r="ETG55" s="557"/>
      <c r="ETH55" s="557"/>
      <c r="ETI55" s="557"/>
      <c r="ETJ55" s="557"/>
      <c r="ETK55" s="557"/>
      <c r="ETL55" s="557"/>
      <c r="ETM55" s="557"/>
      <c r="ETN55" s="557"/>
      <c r="ETO55" s="557"/>
      <c r="ETP55" s="557"/>
      <c r="ETQ55" s="557"/>
      <c r="ETR55" s="557"/>
      <c r="ETS55" s="661"/>
      <c r="ETT55" s="556"/>
      <c r="ETU55" s="557"/>
      <c r="ETV55" s="557"/>
      <c r="ETW55" s="557"/>
      <c r="ETX55" s="557"/>
      <c r="ETY55" s="557"/>
      <c r="ETZ55" s="557"/>
      <c r="EUA55" s="557"/>
      <c r="EUB55" s="557"/>
      <c r="EUC55" s="557"/>
      <c r="EUD55" s="557"/>
      <c r="EUE55" s="557"/>
      <c r="EUF55" s="557"/>
      <c r="EUG55" s="557"/>
      <c r="EUH55" s="557"/>
      <c r="EUI55" s="557"/>
      <c r="EUJ55" s="557"/>
      <c r="EUK55" s="557"/>
      <c r="EUL55" s="557"/>
      <c r="EUM55" s="661"/>
      <c r="EUN55" s="556"/>
      <c r="EUO55" s="557"/>
      <c r="EUP55" s="557"/>
      <c r="EUQ55" s="557"/>
      <c r="EUR55" s="557"/>
      <c r="EUS55" s="557"/>
      <c r="EUT55" s="557"/>
      <c r="EUU55" s="557"/>
      <c r="EUV55" s="557"/>
      <c r="EUW55" s="557"/>
      <c r="EUX55" s="557"/>
      <c r="EUY55" s="557"/>
      <c r="EUZ55" s="557"/>
      <c r="EVA55" s="557"/>
      <c r="EVB55" s="557"/>
      <c r="EVC55" s="557"/>
      <c r="EVD55" s="557"/>
      <c r="EVE55" s="557"/>
      <c r="EVF55" s="557"/>
      <c r="EVG55" s="661"/>
      <c r="EVH55" s="556"/>
      <c r="EVI55" s="557"/>
      <c r="EVJ55" s="557"/>
      <c r="EVK55" s="557"/>
      <c r="EVL55" s="557"/>
      <c r="EVM55" s="557"/>
      <c r="EVN55" s="557"/>
      <c r="EVO55" s="557"/>
      <c r="EVP55" s="557"/>
      <c r="EVQ55" s="557"/>
      <c r="EVR55" s="557"/>
      <c r="EVS55" s="557"/>
      <c r="EVT55" s="557"/>
      <c r="EVU55" s="557"/>
      <c r="EVV55" s="557"/>
      <c r="EVW55" s="557"/>
      <c r="EVX55" s="557"/>
      <c r="EVY55" s="557"/>
      <c r="EVZ55" s="557"/>
      <c r="EWA55" s="661"/>
      <c r="EWB55" s="556"/>
      <c r="EWC55" s="557"/>
      <c r="EWD55" s="557"/>
      <c r="EWE55" s="557"/>
      <c r="EWF55" s="557"/>
      <c r="EWG55" s="557"/>
      <c r="EWH55" s="557"/>
      <c r="EWI55" s="557"/>
      <c r="EWJ55" s="557"/>
      <c r="EWK55" s="557"/>
      <c r="EWL55" s="557"/>
      <c r="EWM55" s="557"/>
      <c r="EWN55" s="557"/>
      <c r="EWO55" s="557"/>
      <c r="EWP55" s="557"/>
      <c r="EWQ55" s="557"/>
      <c r="EWR55" s="557"/>
      <c r="EWS55" s="557"/>
      <c r="EWT55" s="557"/>
      <c r="EWU55" s="661"/>
      <c r="EWV55" s="556"/>
      <c r="EWW55" s="557"/>
      <c r="EWX55" s="557"/>
      <c r="EWY55" s="557"/>
      <c r="EWZ55" s="557"/>
      <c r="EXA55" s="557"/>
      <c r="EXB55" s="557"/>
      <c r="EXC55" s="557"/>
      <c r="EXD55" s="557"/>
      <c r="EXE55" s="557"/>
      <c r="EXF55" s="557"/>
      <c r="EXG55" s="557"/>
      <c r="EXH55" s="557"/>
      <c r="EXI55" s="557"/>
      <c r="EXJ55" s="557"/>
      <c r="EXK55" s="557"/>
      <c r="EXL55" s="557"/>
      <c r="EXM55" s="557"/>
      <c r="EXN55" s="557"/>
      <c r="EXO55" s="661"/>
      <c r="EXP55" s="556"/>
      <c r="EXQ55" s="557"/>
      <c r="EXR55" s="557"/>
      <c r="EXS55" s="557"/>
      <c r="EXT55" s="557"/>
      <c r="EXU55" s="557"/>
      <c r="EXV55" s="557"/>
      <c r="EXW55" s="557"/>
      <c r="EXX55" s="557"/>
      <c r="EXY55" s="557"/>
      <c r="EXZ55" s="557"/>
      <c r="EYA55" s="557"/>
      <c r="EYB55" s="557"/>
      <c r="EYC55" s="557"/>
      <c r="EYD55" s="557"/>
      <c r="EYE55" s="557"/>
      <c r="EYF55" s="557"/>
      <c r="EYG55" s="557"/>
      <c r="EYH55" s="557"/>
      <c r="EYI55" s="661"/>
      <c r="EYJ55" s="556"/>
      <c r="EYK55" s="557"/>
      <c r="EYL55" s="557"/>
      <c r="EYM55" s="557"/>
      <c r="EYN55" s="557"/>
      <c r="EYO55" s="557"/>
      <c r="EYP55" s="557"/>
      <c r="EYQ55" s="557"/>
      <c r="EYR55" s="557"/>
      <c r="EYS55" s="557"/>
      <c r="EYT55" s="557"/>
      <c r="EYU55" s="557"/>
      <c r="EYV55" s="557"/>
      <c r="EYW55" s="557"/>
      <c r="EYX55" s="557"/>
      <c r="EYY55" s="557"/>
      <c r="EYZ55" s="557"/>
      <c r="EZA55" s="557"/>
      <c r="EZB55" s="557"/>
      <c r="EZC55" s="661"/>
      <c r="EZD55" s="556"/>
      <c r="EZE55" s="557"/>
      <c r="EZF55" s="557"/>
      <c r="EZG55" s="557"/>
      <c r="EZH55" s="557"/>
      <c r="EZI55" s="557"/>
      <c r="EZJ55" s="557"/>
      <c r="EZK55" s="557"/>
      <c r="EZL55" s="557"/>
      <c r="EZM55" s="557"/>
      <c r="EZN55" s="557"/>
      <c r="EZO55" s="557"/>
      <c r="EZP55" s="557"/>
      <c r="EZQ55" s="557"/>
      <c r="EZR55" s="557"/>
      <c r="EZS55" s="557"/>
      <c r="EZT55" s="557"/>
      <c r="EZU55" s="557"/>
      <c r="EZV55" s="557"/>
      <c r="EZW55" s="661"/>
      <c r="EZX55" s="556"/>
      <c r="EZY55" s="557"/>
      <c r="EZZ55" s="557"/>
      <c r="FAA55" s="557"/>
      <c r="FAB55" s="557"/>
      <c r="FAC55" s="557"/>
      <c r="FAD55" s="557"/>
      <c r="FAE55" s="557"/>
      <c r="FAF55" s="557"/>
      <c r="FAG55" s="557"/>
      <c r="FAH55" s="557"/>
      <c r="FAI55" s="557"/>
      <c r="FAJ55" s="557"/>
      <c r="FAK55" s="557"/>
      <c r="FAL55" s="557"/>
      <c r="FAM55" s="557"/>
      <c r="FAN55" s="557"/>
      <c r="FAO55" s="557"/>
      <c r="FAP55" s="557"/>
      <c r="FAQ55" s="661"/>
      <c r="FAR55" s="556"/>
      <c r="FAS55" s="557"/>
      <c r="FAT55" s="557"/>
      <c r="FAU55" s="557"/>
      <c r="FAV55" s="557"/>
      <c r="FAW55" s="557"/>
      <c r="FAX55" s="557"/>
      <c r="FAY55" s="557"/>
      <c r="FAZ55" s="557"/>
      <c r="FBA55" s="557"/>
      <c r="FBB55" s="557"/>
      <c r="FBC55" s="557"/>
      <c r="FBD55" s="557"/>
      <c r="FBE55" s="557"/>
      <c r="FBF55" s="557"/>
      <c r="FBG55" s="557"/>
      <c r="FBH55" s="557"/>
      <c r="FBI55" s="557"/>
      <c r="FBJ55" s="557"/>
      <c r="FBK55" s="661"/>
      <c r="FBL55" s="556"/>
      <c r="FBM55" s="557"/>
      <c r="FBN55" s="557"/>
      <c r="FBO55" s="557"/>
      <c r="FBP55" s="557"/>
      <c r="FBQ55" s="557"/>
      <c r="FBR55" s="557"/>
      <c r="FBS55" s="557"/>
      <c r="FBT55" s="557"/>
      <c r="FBU55" s="557"/>
      <c r="FBV55" s="557"/>
      <c r="FBW55" s="557"/>
      <c r="FBX55" s="557"/>
      <c r="FBY55" s="557"/>
      <c r="FBZ55" s="557"/>
      <c r="FCA55" s="557"/>
      <c r="FCB55" s="557"/>
      <c r="FCC55" s="557"/>
      <c r="FCD55" s="557"/>
      <c r="FCE55" s="661"/>
      <c r="FCF55" s="556"/>
      <c r="FCG55" s="557"/>
      <c r="FCH55" s="557"/>
      <c r="FCI55" s="557"/>
      <c r="FCJ55" s="557"/>
      <c r="FCK55" s="557"/>
      <c r="FCL55" s="557"/>
      <c r="FCM55" s="557"/>
      <c r="FCN55" s="557"/>
      <c r="FCO55" s="557"/>
      <c r="FCP55" s="557"/>
      <c r="FCQ55" s="557"/>
      <c r="FCR55" s="557"/>
      <c r="FCS55" s="557"/>
      <c r="FCT55" s="557"/>
      <c r="FCU55" s="557"/>
      <c r="FCV55" s="557"/>
      <c r="FCW55" s="557"/>
      <c r="FCX55" s="557"/>
      <c r="FCY55" s="661"/>
      <c r="FCZ55" s="556"/>
      <c r="FDA55" s="557"/>
      <c r="FDB55" s="557"/>
      <c r="FDC55" s="557"/>
      <c r="FDD55" s="557"/>
      <c r="FDE55" s="557"/>
      <c r="FDF55" s="557"/>
      <c r="FDG55" s="557"/>
      <c r="FDH55" s="557"/>
      <c r="FDI55" s="557"/>
      <c r="FDJ55" s="557"/>
      <c r="FDK55" s="557"/>
      <c r="FDL55" s="557"/>
      <c r="FDM55" s="557"/>
      <c r="FDN55" s="557"/>
      <c r="FDO55" s="557"/>
      <c r="FDP55" s="557"/>
      <c r="FDQ55" s="557"/>
      <c r="FDR55" s="557"/>
      <c r="FDS55" s="661"/>
      <c r="FDT55" s="556"/>
      <c r="FDU55" s="557"/>
      <c r="FDV55" s="557"/>
      <c r="FDW55" s="557"/>
      <c r="FDX55" s="557"/>
      <c r="FDY55" s="557"/>
      <c r="FDZ55" s="557"/>
      <c r="FEA55" s="557"/>
      <c r="FEB55" s="557"/>
      <c r="FEC55" s="557"/>
      <c r="FED55" s="557"/>
      <c r="FEE55" s="557"/>
      <c r="FEF55" s="557"/>
      <c r="FEG55" s="557"/>
      <c r="FEH55" s="557"/>
      <c r="FEI55" s="557"/>
      <c r="FEJ55" s="557"/>
      <c r="FEK55" s="557"/>
      <c r="FEL55" s="557"/>
      <c r="FEM55" s="661"/>
      <c r="FEN55" s="556"/>
      <c r="FEO55" s="557"/>
      <c r="FEP55" s="557"/>
      <c r="FEQ55" s="557"/>
      <c r="FER55" s="557"/>
      <c r="FES55" s="557"/>
      <c r="FET55" s="557"/>
      <c r="FEU55" s="557"/>
      <c r="FEV55" s="557"/>
      <c r="FEW55" s="557"/>
      <c r="FEX55" s="557"/>
      <c r="FEY55" s="557"/>
      <c r="FEZ55" s="557"/>
      <c r="FFA55" s="557"/>
      <c r="FFB55" s="557"/>
      <c r="FFC55" s="557"/>
      <c r="FFD55" s="557"/>
      <c r="FFE55" s="557"/>
      <c r="FFF55" s="557"/>
      <c r="FFG55" s="661"/>
      <c r="FFH55" s="556"/>
      <c r="FFI55" s="557"/>
      <c r="FFJ55" s="557"/>
      <c r="FFK55" s="557"/>
      <c r="FFL55" s="557"/>
      <c r="FFM55" s="557"/>
      <c r="FFN55" s="557"/>
      <c r="FFO55" s="557"/>
      <c r="FFP55" s="557"/>
      <c r="FFQ55" s="557"/>
      <c r="FFR55" s="557"/>
      <c r="FFS55" s="557"/>
      <c r="FFT55" s="557"/>
      <c r="FFU55" s="557"/>
      <c r="FFV55" s="557"/>
      <c r="FFW55" s="557"/>
      <c r="FFX55" s="557"/>
      <c r="FFY55" s="557"/>
      <c r="FFZ55" s="557"/>
      <c r="FGA55" s="661"/>
      <c r="FGB55" s="556"/>
      <c r="FGC55" s="557"/>
      <c r="FGD55" s="557"/>
      <c r="FGE55" s="557"/>
      <c r="FGF55" s="557"/>
      <c r="FGG55" s="557"/>
      <c r="FGH55" s="557"/>
      <c r="FGI55" s="557"/>
      <c r="FGJ55" s="557"/>
      <c r="FGK55" s="557"/>
      <c r="FGL55" s="557"/>
      <c r="FGM55" s="557"/>
      <c r="FGN55" s="557"/>
      <c r="FGO55" s="557"/>
      <c r="FGP55" s="557"/>
      <c r="FGQ55" s="557"/>
      <c r="FGR55" s="557"/>
      <c r="FGS55" s="557"/>
      <c r="FGT55" s="557"/>
      <c r="FGU55" s="661"/>
      <c r="FGV55" s="556"/>
      <c r="FGW55" s="557"/>
      <c r="FGX55" s="557"/>
      <c r="FGY55" s="557"/>
      <c r="FGZ55" s="557"/>
      <c r="FHA55" s="557"/>
      <c r="FHB55" s="557"/>
      <c r="FHC55" s="557"/>
      <c r="FHD55" s="557"/>
      <c r="FHE55" s="557"/>
      <c r="FHF55" s="557"/>
      <c r="FHG55" s="557"/>
      <c r="FHH55" s="557"/>
      <c r="FHI55" s="557"/>
      <c r="FHJ55" s="557"/>
      <c r="FHK55" s="557"/>
      <c r="FHL55" s="557"/>
      <c r="FHM55" s="557"/>
      <c r="FHN55" s="557"/>
      <c r="FHO55" s="661"/>
      <c r="FHP55" s="556"/>
      <c r="FHQ55" s="557"/>
      <c r="FHR55" s="557"/>
      <c r="FHS55" s="557"/>
      <c r="FHT55" s="557"/>
      <c r="FHU55" s="557"/>
      <c r="FHV55" s="557"/>
      <c r="FHW55" s="557"/>
      <c r="FHX55" s="557"/>
      <c r="FHY55" s="557"/>
      <c r="FHZ55" s="557"/>
      <c r="FIA55" s="557"/>
      <c r="FIB55" s="557"/>
      <c r="FIC55" s="557"/>
      <c r="FID55" s="557"/>
      <c r="FIE55" s="557"/>
      <c r="FIF55" s="557"/>
      <c r="FIG55" s="557"/>
      <c r="FIH55" s="557"/>
      <c r="FII55" s="661"/>
      <c r="FIJ55" s="556"/>
      <c r="FIK55" s="557"/>
      <c r="FIL55" s="557"/>
      <c r="FIM55" s="557"/>
      <c r="FIN55" s="557"/>
      <c r="FIO55" s="557"/>
      <c r="FIP55" s="557"/>
      <c r="FIQ55" s="557"/>
      <c r="FIR55" s="557"/>
      <c r="FIS55" s="557"/>
      <c r="FIT55" s="557"/>
      <c r="FIU55" s="557"/>
      <c r="FIV55" s="557"/>
      <c r="FIW55" s="557"/>
      <c r="FIX55" s="557"/>
      <c r="FIY55" s="557"/>
      <c r="FIZ55" s="557"/>
      <c r="FJA55" s="557"/>
      <c r="FJB55" s="557"/>
      <c r="FJC55" s="661"/>
      <c r="FJD55" s="556"/>
      <c r="FJE55" s="557"/>
      <c r="FJF55" s="557"/>
      <c r="FJG55" s="557"/>
      <c r="FJH55" s="557"/>
      <c r="FJI55" s="557"/>
      <c r="FJJ55" s="557"/>
      <c r="FJK55" s="557"/>
      <c r="FJL55" s="557"/>
      <c r="FJM55" s="557"/>
      <c r="FJN55" s="557"/>
      <c r="FJO55" s="557"/>
      <c r="FJP55" s="557"/>
      <c r="FJQ55" s="557"/>
      <c r="FJR55" s="557"/>
      <c r="FJS55" s="557"/>
      <c r="FJT55" s="557"/>
      <c r="FJU55" s="557"/>
      <c r="FJV55" s="557"/>
      <c r="FJW55" s="661"/>
      <c r="FJX55" s="556"/>
      <c r="FJY55" s="557"/>
      <c r="FJZ55" s="557"/>
      <c r="FKA55" s="557"/>
      <c r="FKB55" s="557"/>
      <c r="FKC55" s="557"/>
      <c r="FKD55" s="557"/>
      <c r="FKE55" s="557"/>
      <c r="FKF55" s="557"/>
      <c r="FKG55" s="557"/>
      <c r="FKH55" s="557"/>
      <c r="FKI55" s="557"/>
      <c r="FKJ55" s="557"/>
      <c r="FKK55" s="557"/>
      <c r="FKL55" s="557"/>
      <c r="FKM55" s="557"/>
      <c r="FKN55" s="557"/>
      <c r="FKO55" s="557"/>
      <c r="FKP55" s="557"/>
      <c r="FKQ55" s="661"/>
      <c r="FKR55" s="556"/>
      <c r="FKS55" s="557"/>
      <c r="FKT55" s="557"/>
      <c r="FKU55" s="557"/>
      <c r="FKV55" s="557"/>
      <c r="FKW55" s="557"/>
      <c r="FKX55" s="557"/>
      <c r="FKY55" s="557"/>
      <c r="FKZ55" s="557"/>
      <c r="FLA55" s="557"/>
      <c r="FLB55" s="557"/>
      <c r="FLC55" s="557"/>
      <c r="FLD55" s="557"/>
      <c r="FLE55" s="557"/>
      <c r="FLF55" s="557"/>
      <c r="FLG55" s="557"/>
      <c r="FLH55" s="557"/>
      <c r="FLI55" s="557"/>
      <c r="FLJ55" s="557"/>
      <c r="FLK55" s="661"/>
      <c r="FLL55" s="556"/>
      <c r="FLM55" s="557"/>
      <c r="FLN55" s="557"/>
      <c r="FLO55" s="557"/>
      <c r="FLP55" s="557"/>
      <c r="FLQ55" s="557"/>
      <c r="FLR55" s="557"/>
      <c r="FLS55" s="557"/>
      <c r="FLT55" s="557"/>
      <c r="FLU55" s="557"/>
      <c r="FLV55" s="557"/>
      <c r="FLW55" s="557"/>
      <c r="FLX55" s="557"/>
      <c r="FLY55" s="557"/>
      <c r="FLZ55" s="557"/>
      <c r="FMA55" s="557"/>
      <c r="FMB55" s="557"/>
      <c r="FMC55" s="557"/>
      <c r="FMD55" s="557"/>
      <c r="FME55" s="661"/>
      <c r="FMF55" s="556"/>
      <c r="FMG55" s="557"/>
      <c r="FMH55" s="557"/>
      <c r="FMI55" s="557"/>
      <c r="FMJ55" s="557"/>
      <c r="FMK55" s="557"/>
      <c r="FML55" s="557"/>
      <c r="FMM55" s="557"/>
      <c r="FMN55" s="557"/>
      <c r="FMO55" s="557"/>
      <c r="FMP55" s="557"/>
      <c r="FMQ55" s="557"/>
      <c r="FMR55" s="557"/>
      <c r="FMS55" s="557"/>
      <c r="FMT55" s="557"/>
      <c r="FMU55" s="557"/>
      <c r="FMV55" s="557"/>
      <c r="FMW55" s="557"/>
      <c r="FMX55" s="557"/>
      <c r="FMY55" s="661"/>
      <c r="FMZ55" s="556"/>
      <c r="FNA55" s="557"/>
      <c r="FNB55" s="557"/>
      <c r="FNC55" s="557"/>
      <c r="FND55" s="557"/>
      <c r="FNE55" s="557"/>
      <c r="FNF55" s="557"/>
      <c r="FNG55" s="557"/>
      <c r="FNH55" s="557"/>
      <c r="FNI55" s="557"/>
      <c r="FNJ55" s="557"/>
      <c r="FNK55" s="557"/>
      <c r="FNL55" s="557"/>
      <c r="FNM55" s="557"/>
      <c r="FNN55" s="557"/>
      <c r="FNO55" s="557"/>
      <c r="FNP55" s="557"/>
      <c r="FNQ55" s="557"/>
      <c r="FNR55" s="557"/>
      <c r="FNS55" s="661"/>
      <c r="FNT55" s="556"/>
      <c r="FNU55" s="557"/>
      <c r="FNV55" s="557"/>
      <c r="FNW55" s="557"/>
      <c r="FNX55" s="557"/>
      <c r="FNY55" s="557"/>
      <c r="FNZ55" s="557"/>
      <c r="FOA55" s="557"/>
      <c r="FOB55" s="557"/>
      <c r="FOC55" s="557"/>
      <c r="FOD55" s="557"/>
      <c r="FOE55" s="557"/>
      <c r="FOF55" s="557"/>
      <c r="FOG55" s="557"/>
      <c r="FOH55" s="557"/>
      <c r="FOI55" s="557"/>
      <c r="FOJ55" s="557"/>
      <c r="FOK55" s="557"/>
      <c r="FOL55" s="557"/>
      <c r="FOM55" s="661"/>
      <c r="FON55" s="556"/>
      <c r="FOO55" s="557"/>
      <c r="FOP55" s="557"/>
      <c r="FOQ55" s="557"/>
      <c r="FOR55" s="557"/>
      <c r="FOS55" s="557"/>
      <c r="FOT55" s="557"/>
      <c r="FOU55" s="557"/>
      <c r="FOV55" s="557"/>
      <c r="FOW55" s="557"/>
      <c r="FOX55" s="557"/>
      <c r="FOY55" s="557"/>
      <c r="FOZ55" s="557"/>
      <c r="FPA55" s="557"/>
      <c r="FPB55" s="557"/>
      <c r="FPC55" s="557"/>
      <c r="FPD55" s="557"/>
      <c r="FPE55" s="557"/>
      <c r="FPF55" s="557"/>
      <c r="FPG55" s="661"/>
      <c r="FPH55" s="556"/>
      <c r="FPI55" s="557"/>
      <c r="FPJ55" s="557"/>
      <c r="FPK55" s="557"/>
      <c r="FPL55" s="557"/>
      <c r="FPM55" s="557"/>
      <c r="FPN55" s="557"/>
      <c r="FPO55" s="557"/>
      <c r="FPP55" s="557"/>
      <c r="FPQ55" s="557"/>
      <c r="FPR55" s="557"/>
      <c r="FPS55" s="557"/>
      <c r="FPT55" s="557"/>
      <c r="FPU55" s="557"/>
      <c r="FPV55" s="557"/>
      <c r="FPW55" s="557"/>
      <c r="FPX55" s="557"/>
      <c r="FPY55" s="557"/>
      <c r="FPZ55" s="557"/>
      <c r="FQA55" s="661"/>
      <c r="FQB55" s="556"/>
      <c r="FQC55" s="557"/>
      <c r="FQD55" s="557"/>
      <c r="FQE55" s="557"/>
      <c r="FQF55" s="557"/>
      <c r="FQG55" s="557"/>
      <c r="FQH55" s="557"/>
      <c r="FQI55" s="557"/>
      <c r="FQJ55" s="557"/>
      <c r="FQK55" s="557"/>
      <c r="FQL55" s="557"/>
      <c r="FQM55" s="557"/>
      <c r="FQN55" s="557"/>
      <c r="FQO55" s="557"/>
      <c r="FQP55" s="557"/>
      <c r="FQQ55" s="557"/>
      <c r="FQR55" s="557"/>
      <c r="FQS55" s="557"/>
      <c r="FQT55" s="557"/>
      <c r="FQU55" s="661"/>
      <c r="FQV55" s="556"/>
      <c r="FQW55" s="557"/>
      <c r="FQX55" s="557"/>
      <c r="FQY55" s="557"/>
      <c r="FQZ55" s="557"/>
      <c r="FRA55" s="557"/>
      <c r="FRB55" s="557"/>
      <c r="FRC55" s="557"/>
      <c r="FRD55" s="557"/>
      <c r="FRE55" s="557"/>
      <c r="FRF55" s="557"/>
      <c r="FRG55" s="557"/>
      <c r="FRH55" s="557"/>
      <c r="FRI55" s="557"/>
      <c r="FRJ55" s="557"/>
      <c r="FRK55" s="557"/>
      <c r="FRL55" s="557"/>
      <c r="FRM55" s="557"/>
      <c r="FRN55" s="557"/>
      <c r="FRO55" s="661"/>
      <c r="FRP55" s="556"/>
      <c r="FRQ55" s="557"/>
      <c r="FRR55" s="557"/>
      <c r="FRS55" s="557"/>
      <c r="FRT55" s="557"/>
      <c r="FRU55" s="557"/>
      <c r="FRV55" s="557"/>
      <c r="FRW55" s="557"/>
      <c r="FRX55" s="557"/>
      <c r="FRY55" s="557"/>
      <c r="FRZ55" s="557"/>
      <c r="FSA55" s="557"/>
      <c r="FSB55" s="557"/>
      <c r="FSC55" s="557"/>
      <c r="FSD55" s="557"/>
      <c r="FSE55" s="557"/>
      <c r="FSF55" s="557"/>
      <c r="FSG55" s="557"/>
      <c r="FSH55" s="557"/>
      <c r="FSI55" s="661"/>
      <c r="FSJ55" s="556"/>
      <c r="FSK55" s="557"/>
      <c r="FSL55" s="557"/>
      <c r="FSM55" s="557"/>
      <c r="FSN55" s="557"/>
      <c r="FSO55" s="557"/>
      <c r="FSP55" s="557"/>
      <c r="FSQ55" s="557"/>
      <c r="FSR55" s="557"/>
      <c r="FSS55" s="557"/>
      <c r="FST55" s="557"/>
      <c r="FSU55" s="557"/>
      <c r="FSV55" s="557"/>
      <c r="FSW55" s="557"/>
      <c r="FSX55" s="557"/>
      <c r="FSY55" s="557"/>
      <c r="FSZ55" s="557"/>
      <c r="FTA55" s="557"/>
      <c r="FTB55" s="557"/>
      <c r="FTC55" s="661"/>
      <c r="FTD55" s="556"/>
      <c r="FTE55" s="557"/>
      <c r="FTF55" s="557"/>
      <c r="FTG55" s="557"/>
      <c r="FTH55" s="557"/>
      <c r="FTI55" s="557"/>
      <c r="FTJ55" s="557"/>
      <c r="FTK55" s="557"/>
      <c r="FTL55" s="557"/>
      <c r="FTM55" s="557"/>
      <c r="FTN55" s="557"/>
      <c r="FTO55" s="557"/>
      <c r="FTP55" s="557"/>
      <c r="FTQ55" s="557"/>
      <c r="FTR55" s="557"/>
      <c r="FTS55" s="557"/>
      <c r="FTT55" s="557"/>
      <c r="FTU55" s="557"/>
      <c r="FTV55" s="557"/>
      <c r="FTW55" s="661"/>
      <c r="FTX55" s="556"/>
      <c r="FTY55" s="557"/>
      <c r="FTZ55" s="557"/>
      <c r="FUA55" s="557"/>
      <c r="FUB55" s="557"/>
      <c r="FUC55" s="557"/>
      <c r="FUD55" s="557"/>
      <c r="FUE55" s="557"/>
      <c r="FUF55" s="557"/>
      <c r="FUG55" s="557"/>
      <c r="FUH55" s="557"/>
      <c r="FUI55" s="557"/>
      <c r="FUJ55" s="557"/>
      <c r="FUK55" s="557"/>
      <c r="FUL55" s="557"/>
      <c r="FUM55" s="557"/>
      <c r="FUN55" s="557"/>
      <c r="FUO55" s="557"/>
      <c r="FUP55" s="557"/>
      <c r="FUQ55" s="661"/>
      <c r="FUR55" s="556"/>
      <c r="FUS55" s="557"/>
      <c r="FUT55" s="557"/>
      <c r="FUU55" s="557"/>
      <c r="FUV55" s="557"/>
      <c r="FUW55" s="557"/>
      <c r="FUX55" s="557"/>
      <c r="FUY55" s="557"/>
      <c r="FUZ55" s="557"/>
      <c r="FVA55" s="557"/>
      <c r="FVB55" s="557"/>
      <c r="FVC55" s="557"/>
      <c r="FVD55" s="557"/>
      <c r="FVE55" s="557"/>
      <c r="FVF55" s="557"/>
      <c r="FVG55" s="557"/>
      <c r="FVH55" s="557"/>
      <c r="FVI55" s="557"/>
      <c r="FVJ55" s="557"/>
      <c r="FVK55" s="661"/>
      <c r="FVL55" s="556"/>
      <c r="FVM55" s="557"/>
      <c r="FVN55" s="557"/>
      <c r="FVO55" s="557"/>
      <c r="FVP55" s="557"/>
      <c r="FVQ55" s="557"/>
      <c r="FVR55" s="557"/>
      <c r="FVS55" s="557"/>
      <c r="FVT55" s="557"/>
      <c r="FVU55" s="557"/>
      <c r="FVV55" s="557"/>
      <c r="FVW55" s="557"/>
      <c r="FVX55" s="557"/>
      <c r="FVY55" s="557"/>
      <c r="FVZ55" s="557"/>
      <c r="FWA55" s="557"/>
      <c r="FWB55" s="557"/>
      <c r="FWC55" s="557"/>
      <c r="FWD55" s="557"/>
      <c r="FWE55" s="661"/>
      <c r="FWF55" s="556"/>
      <c r="FWG55" s="557"/>
      <c r="FWH55" s="557"/>
      <c r="FWI55" s="557"/>
      <c r="FWJ55" s="557"/>
      <c r="FWK55" s="557"/>
      <c r="FWL55" s="557"/>
      <c r="FWM55" s="557"/>
      <c r="FWN55" s="557"/>
      <c r="FWO55" s="557"/>
      <c r="FWP55" s="557"/>
      <c r="FWQ55" s="557"/>
      <c r="FWR55" s="557"/>
      <c r="FWS55" s="557"/>
      <c r="FWT55" s="557"/>
      <c r="FWU55" s="557"/>
      <c r="FWV55" s="557"/>
      <c r="FWW55" s="557"/>
      <c r="FWX55" s="557"/>
      <c r="FWY55" s="661"/>
      <c r="FWZ55" s="556"/>
      <c r="FXA55" s="557"/>
      <c r="FXB55" s="557"/>
      <c r="FXC55" s="557"/>
      <c r="FXD55" s="557"/>
      <c r="FXE55" s="557"/>
      <c r="FXF55" s="557"/>
      <c r="FXG55" s="557"/>
      <c r="FXH55" s="557"/>
      <c r="FXI55" s="557"/>
      <c r="FXJ55" s="557"/>
      <c r="FXK55" s="557"/>
      <c r="FXL55" s="557"/>
      <c r="FXM55" s="557"/>
      <c r="FXN55" s="557"/>
      <c r="FXO55" s="557"/>
      <c r="FXP55" s="557"/>
      <c r="FXQ55" s="557"/>
      <c r="FXR55" s="557"/>
      <c r="FXS55" s="661"/>
      <c r="FXT55" s="556"/>
      <c r="FXU55" s="557"/>
      <c r="FXV55" s="557"/>
      <c r="FXW55" s="557"/>
      <c r="FXX55" s="557"/>
      <c r="FXY55" s="557"/>
      <c r="FXZ55" s="557"/>
      <c r="FYA55" s="557"/>
      <c r="FYB55" s="557"/>
      <c r="FYC55" s="557"/>
      <c r="FYD55" s="557"/>
      <c r="FYE55" s="557"/>
      <c r="FYF55" s="557"/>
      <c r="FYG55" s="557"/>
      <c r="FYH55" s="557"/>
      <c r="FYI55" s="557"/>
      <c r="FYJ55" s="557"/>
      <c r="FYK55" s="557"/>
      <c r="FYL55" s="557"/>
      <c r="FYM55" s="661"/>
      <c r="FYN55" s="556"/>
      <c r="FYO55" s="557"/>
      <c r="FYP55" s="557"/>
      <c r="FYQ55" s="557"/>
      <c r="FYR55" s="557"/>
      <c r="FYS55" s="557"/>
      <c r="FYT55" s="557"/>
      <c r="FYU55" s="557"/>
      <c r="FYV55" s="557"/>
      <c r="FYW55" s="557"/>
      <c r="FYX55" s="557"/>
      <c r="FYY55" s="557"/>
      <c r="FYZ55" s="557"/>
      <c r="FZA55" s="557"/>
      <c r="FZB55" s="557"/>
      <c r="FZC55" s="557"/>
      <c r="FZD55" s="557"/>
      <c r="FZE55" s="557"/>
      <c r="FZF55" s="557"/>
      <c r="FZG55" s="661"/>
      <c r="FZH55" s="556"/>
      <c r="FZI55" s="557"/>
      <c r="FZJ55" s="557"/>
      <c r="FZK55" s="557"/>
      <c r="FZL55" s="557"/>
      <c r="FZM55" s="557"/>
      <c r="FZN55" s="557"/>
      <c r="FZO55" s="557"/>
      <c r="FZP55" s="557"/>
      <c r="FZQ55" s="557"/>
      <c r="FZR55" s="557"/>
      <c r="FZS55" s="557"/>
      <c r="FZT55" s="557"/>
      <c r="FZU55" s="557"/>
      <c r="FZV55" s="557"/>
      <c r="FZW55" s="557"/>
      <c r="FZX55" s="557"/>
      <c r="FZY55" s="557"/>
      <c r="FZZ55" s="557"/>
      <c r="GAA55" s="661"/>
      <c r="GAB55" s="556"/>
      <c r="GAC55" s="557"/>
      <c r="GAD55" s="557"/>
      <c r="GAE55" s="557"/>
      <c r="GAF55" s="557"/>
      <c r="GAG55" s="557"/>
      <c r="GAH55" s="557"/>
      <c r="GAI55" s="557"/>
      <c r="GAJ55" s="557"/>
      <c r="GAK55" s="557"/>
      <c r="GAL55" s="557"/>
      <c r="GAM55" s="557"/>
      <c r="GAN55" s="557"/>
      <c r="GAO55" s="557"/>
      <c r="GAP55" s="557"/>
      <c r="GAQ55" s="557"/>
      <c r="GAR55" s="557"/>
      <c r="GAS55" s="557"/>
      <c r="GAT55" s="557"/>
      <c r="GAU55" s="661"/>
      <c r="GAV55" s="556"/>
      <c r="GAW55" s="557"/>
      <c r="GAX55" s="557"/>
      <c r="GAY55" s="557"/>
      <c r="GAZ55" s="557"/>
      <c r="GBA55" s="557"/>
      <c r="GBB55" s="557"/>
      <c r="GBC55" s="557"/>
      <c r="GBD55" s="557"/>
      <c r="GBE55" s="557"/>
      <c r="GBF55" s="557"/>
      <c r="GBG55" s="557"/>
      <c r="GBH55" s="557"/>
      <c r="GBI55" s="557"/>
      <c r="GBJ55" s="557"/>
      <c r="GBK55" s="557"/>
      <c r="GBL55" s="557"/>
      <c r="GBM55" s="557"/>
      <c r="GBN55" s="557"/>
      <c r="GBO55" s="661"/>
      <c r="GBP55" s="556"/>
      <c r="GBQ55" s="557"/>
      <c r="GBR55" s="557"/>
      <c r="GBS55" s="557"/>
      <c r="GBT55" s="557"/>
      <c r="GBU55" s="557"/>
      <c r="GBV55" s="557"/>
      <c r="GBW55" s="557"/>
      <c r="GBX55" s="557"/>
      <c r="GBY55" s="557"/>
      <c r="GBZ55" s="557"/>
      <c r="GCA55" s="557"/>
      <c r="GCB55" s="557"/>
      <c r="GCC55" s="557"/>
      <c r="GCD55" s="557"/>
      <c r="GCE55" s="557"/>
      <c r="GCF55" s="557"/>
      <c r="GCG55" s="557"/>
      <c r="GCH55" s="557"/>
      <c r="GCI55" s="661"/>
      <c r="GCJ55" s="556"/>
      <c r="GCK55" s="557"/>
      <c r="GCL55" s="557"/>
      <c r="GCM55" s="557"/>
      <c r="GCN55" s="557"/>
      <c r="GCO55" s="557"/>
      <c r="GCP55" s="557"/>
      <c r="GCQ55" s="557"/>
      <c r="GCR55" s="557"/>
      <c r="GCS55" s="557"/>
      <c r="GCT55" s="557"/>
      <c r="GCU55" s="557"/>
      <c r="GCV55" s="557"/>
      <c r="GCW55" s="557"/>
      <c r="GCX55" s="557"/>
      <c r="GCY55" s="557"/>
      <c r="GCZ55" s="557"/>
      <c r="GDA55" s="557"/>
      <c r="GDB55" s="557"/>
      <c r="GDC55" s="661"/>
      <c r="GDD55" s="556"/>
      <c r="GDE55" s="557"/>
      <c r="GDF55" s="557"/>
      <c r="GDG55" s="557"/>
      <c r="GDH55" s="557"/>
      <c r="GDI55" s="557"/>
      <c r="GDJ55" s="557"/>
      <c r="GDK55" s="557"/>
      <c r="GDL55" s="557"/>
      <c r="GDM55" s="557"/>
      <c r="GDN55" s="557"/>
      <c r="GDO55" s="557"/>
      <c r="GDP55" s="557"/>
      <c r="GDQ55" s="557"/>
      <c r="GDR55" s="557"/>
      <c r="GDS55" s="557"/>
      <c r="GDT55" s="557"/>
      <c r="GDU55" s="557"/>
      <c r="GDV55" s="557"/>
      <c r="GDW55" s="661"/>
      <c r="GDX55" s="556"/>
      <c r="GDY55" s="557"/>
      <c r="GDZ55" s="557"/>
      <c r="GEA55" s="557"/>
      <c r="GEB55" s="557"/>
      <c r="GEC55" s="557"/>
      <c r="GED55" s="557"/>
      <c r="GEE55" s="557"/>
      <c r="GEF55" s="557"/>
      <c r="GEG55" s="557"/>
      <c r="GEH55" s="557"/>
      <c r="GEI55" s="557"/>
      <c r="GEJ55" s="557"/>
      <c r="GEK55" s="557"/>
      <c r="GEL55" s="557"/>
      <c r="GEM55" s="557"/>
      <c r="GEN55" s="557"/>
      <c r="GEO55" s="557"/>
      <c r="GEP55" s="557"/>
      <c r="GEQ55" s="661"/>
      <c r="GER55" s="556"/>
      <c r="GES55" s="557"/>
      <c r="GET55" s="557"/>
      <c r="GEU55" s="557"/>
      <c r="GEV55" s="557"/>
      <c r="GEW55" s="557"/>
      <c r="GEX55" s="557"/>
      <c r="GEY55" s="557"/>
      <c r="GEZ55" s="557"/>
      <c r="GFA55" s="557"/>
      <c r="GFB55" s="557"/>
      <c r="GFC55" s="557"/>
      <c r="GFD55" s="557"/>
      <c r="GFE55" s="557"/>
      <c r="GFF55" s="557"/>
      <c r="GFG55" s="557"/>
      <c r="GFH55" s="557"/>
      <c r="GFI55" s="557"/>
      <c r="GFJ55" s="557"/>
      <c r="GFK55" s="661"/>
      <c r="GFL55" s="556"/>
      <c r="GFM55" s="557"/>
      <c r="GFN55" s="557"/>
      <c r="GFO55" s="557"/>
      <c r="GFP55" s="557"/>
      <c r="GFQ55" s="557"/>
      <c r="GFR55" s="557"/>
      <c r="GFS55" s="557"/>
      <c r="GFT55" s="557"/>
      <c r="GFU55" s="557"/>
      <c r="GFV55" s="557"/>
      <c r="GFW55" s="557"/>
      <c r="GFX55" s="557"/>
      <c r="GFY55" s="557"/>
      <c r="GFZ55" s="557"/>
      <c r="GGA55" s="557"/>
      <c r="GGB55" s="557"/>
      <c r="GGC55" s="557"/>
      <c r="GGD55" s="557"/>
      <c r="GGE55" s="661"/>
      <c r="GGF55" s="556"/>
      <c r="GGG55" s="557"/>
      <c r="GGH55" s="557"/>
      <c r="GGI55" s="557"/>
      <c r="GGJ55" s="557"/>
      <c r="GGK55" s="557"/>
      <c r="GGL55" s="557"/>
      <c r="GGM55" s="557"/>
      <c r="GGN55" s="557"/>
      <c r="GGO55" s="557"/>
      <c r="GGP55" s="557"/>
      <c r="GGQ55" s="557"/>
      <c r="GGR55" s="557"/>
      <c r="GGS55" s="557"/>
      <c r="GGT55" s="557"/>
      <c r="GGU55" s="557"/>
      <c r="GGV55" s="557"/>
      <c r="GGW55" s="557"/>
      <c r="GGX55" s="557"/>
      <c r="GGY55" s="661"/>
      <c r="GGZ55" s="556"/>
      <c r="GHA55" s="557"/>
      <c r="GHB55" s="557"/>
      <c r="GHC55" s="557"/>
      <c r="GHD55" s="557"/>
      <c r="GHE55" s="557"/>
      <c r="GHF55" s="557"/>
      <c r="GHG55" s="557"/>
      <c r="GHH55" s="557"/>
      <c r="GHI55" s="557"/>
      <c r="GHJ55" s="557"/>
      <c r="GHK55" s="557"/>
      <c r="GHL55" s="557"/>
      <c r="GHM55" s="557"/>
      <c r="GHN55" s="557"/>
      <c r="GHO55" s="557"/>
      <c r="GHP55" s="557"/>
      <c r="GHQ55" s="557"/>
      <c r="GHR55" s="557"/>
      <c r="GHS55" s="661"/>
      <c r="GHT55" s="556"/>
      <c r="GHU55" s="557"/>
      <c r="GHV55" s="557"/>
      <c r="GHW55" s="557"/>
      <c r="GHX55" s="557"/>
      <c r="GHY55" s="557"/>
      <c r="GHZ55" s="557"/>
      <c r="GIA55" s="557"/>
      <c r="GIB55" s="557"/>
      <c r="GIC55" s="557"/>
      <c r="GID55" s="557"/>
      <c r="GIE55" s="557"/>
      <c r="GIF55" s="557"/>
      <c r="GIG55" s="557"/>
      <c r="GIH55" s="557"/>
      <c r="GII55" s="557"/>
      <c r="GIJ55" s="557"/>
      <c r="GIK55" s="557"/>
      <c r="GIL55" s="557"/>
      <c r="GIM55" s="661"/>
      <c r="GIN55" s="556"/>
      <c r="GIO55" s="557"/>
      <c r="GIP55" s="557"/>
      <c r="GIQ55" s="557"/>
      <c r="GIR55" s="557"/>
      <c r="GIS55" s="557"/>
      <c r="GIT55" s="557"/>
      <c r="GIU55" s="557"/>
      <c r="GIV55" s="557"/>
      <c r="GIW55" s="557"/>
      <c r="GIX55" s="557"/>
      <c r="GIY55" s="557"/>
      <c r="GIZ55" s="557"/>
      <c r="GJA55" s="557"/>
      <c r="GJB55" s="557"/>
      <c r="GJC55" s="557"/>
      <c r="GJD55" s="557"/>
      <c r="GJE55" s="557"/>
      <c r="GJF55" s="557"/>
      <c r="GJG55" s="661"/>
      <c r="GJH55" s="556"/>
      <c r="GJI55" s="557"/>
      <c r="GJJ55" s="557"/>
      <c r="GJK55" s="557"/>
      <c r="GJL55" s="557"/>
      <c r="GJM55" s="557"/>
      <c r="GJN55" s="557"/>
      <c r="GJO55" s="557"/>
      <c r="GJP55" s="557"/>
      <c r="GJQ55" s="557"/>
      <c r="GJR55" s="557"/>
      <c r="GJS55" s="557"/>
      <c r="GJT55" s="557"/>
      <c r="GJU55" s="557"/>
      <c r="GJV55" s="557"/>
      <c r="GJW55" s="557"/>
      <c r="GJX55" s="557"/>
      <c r="GJY55" s="557"/>
      <c r="GJZ55" s="557"/>
      <c r="GKA55" s="661"/>
      <c r="GKB55" s="556"/>
      <c r="GKC55" s="557"/>
      <c r="GKD55" s="557"/>
      <c r="GKE55" s="557"/>
      <c r="GKF55" s="557"/>
      <c r="GKG55" s="557"/>
      <c r="GKH55" s="557"/>
      <c r="GKI55" s="557"/>
      <c r="GKJ55" s="557"/>
      <c r="GKK55" s="557"/>
      <c r="GKL55" s="557"/>
      <c r="GKM55" s="557"/>
      <c r="GKN55" s="557"/>
      <c r="GKO55" s="557"/>
      <c r="GKP55" s="557"/>
      <c r="GKQ55" s="557"/>
      <c r="GKR55" s="557"/>
      <c r="GKS55" s="557"/>
      <c r="GKT55" s="557"/>
      <c r="GKU55" s="661"/>
      <c r="GKV55" s="556"/>
      <c r="GKW55" s="557"/>
      <c r="GKX55" s="557"/>
      <c r="GKY55" s="557"/>
      <c r="GKZ55" s="557"/>
      <c r="GLA55" s="557"/>
      <c r="GLB55" s="557"/>
      <c r="GLC55" s="557"/>
      <c r="GLD55" s="557"/>
      <c r="GLE55" s="557"/>
      <c r="GLF55" s="557"/>
      <c r="GLG55" s="557"/>
      <c r="GLH55" s="557"/>
      <c r="GLI55" s="557"/>
      <c r="GLJ55" s="557"/>
      <c r="GLK55" s="557"/>
      <c r="GLL55" s="557"/>
      <c r="GLM55" s="557"/>
      <c r="GLN55" s="557"/>
      <c r="GLO55" s="661"/>
      <c r="GLP55" s="556"/>
      <c r="GLQ55" s="557"/>
      <c r="GLR55" s="557"/>
      <c r="GLS55" s="557"/>
      <c r="GLT55" s="557"/>
      <c r="GLU55" s="557"/>
      <c r="GLV55" s="557"/>
      <c r="GLW55" s="557"/>
      <c r="GLX55" s="557"/>
      <c r="GLY55" s="557"/>
      <c r="GLZ55" s="557"/>
      <c r="GMA55" s="557"/>
      <c r="GMB55" s="557"/>
      <c r="GMC55" s="557"/>
      <c r="GMD55" s="557"/>
      <c r="GME55" s="557"/>
      <c r="GMF55" s="557"/>
      <c r="GMG55" s="557"/>
      <c r="GMH55" s="557"/>
      <c r="GMI55" s="661"/>
      <c r="GMJ55" s="556"/>
      <c r="GMK55" s="557"/>
      <c r="GML55" s="557"/>
      <c r="GMM55" s="557"/>
      <c r="GMN55" s="557"/>
      <c r="GMO55" s="557"/>
      <c r="GMP55" s="557"/>
      <c r="GMQ55" s="557"/>
      <c r="GMR55" s="557"/>
      <c r="GMS55" s="557"/>
      <c r="GMT55" s="557"/>
      <c r="GMU55" s="557"/>
      <c r="GMV55" s="557"/>
      <c r="GMW55" s="557"/>
      <c r="GMX55" s="557"/>
      <c r="GMY55" s="557"/>
      <c r="GMZ55" s="557"/>
      <c r="GNA55" s="557"/>
      <c r="GNB55" s="557"/>
      <c r="GNC55" s="661"/>
      <c r="GND55" s="556"/>
      <c r="GNE55" s="557"/>
      <c r="GNF55" s="557"/>
      <c r="GNG55" s="557"/>
      <c r="GNH55" s="557"/>
      <c r="GNI55" s="557"/>
      <c r="GNJ55" s="557"/>
      <c r="GNK55" s="557"/>
      <c r="GNL55" s="557"/>
      <c r="GNM55" s="557"/>
      <c r="GNN55" s="557"/>
      <c r="GNO55" s="557"/>
      <c r="GNP55" s="557"/>
      <c r="GNQ55" s="557"/>
      <c r="GNR55" s="557"/>
      <c r="GNS55" s="557"/>
      <c r="GNT55" s="557"/>
      <c r="GNU55" s="557"/>
      <c r="GNV55" s="557"/>
      <c r="GNW55" s="661"/>
      <c r="GNX55" s="556"/>
      <c r="GNY55" s="557"/>
      <c r="GNZ55" s="557"/>
      <c r="GOA55" s="557"/>
      <c r="GOB55" s="557"/>
      <c r="GOC55" s="557"/>
      <c r="GOD55" s="557"/>
      <c r="GOE55" s="557"/>
      <c r="GOF55" s="557"/>
      <c r="GOG55" s="557"/>
      <c r="GOH55" s="557"/>
      <c r="GOI55" s="557"/>
      <c r="GOJ55" s="557"/>
      <c r="GOK55" s="557"/>
      <c r="GOL55" s="557"/>
      <c r="GOM55" s="557"/>
      <c r="GON55" s="557"/>
      <c r="GOO55" s="557"/>
      <c r="GOP55" s="557"/>
      <c r="GOQ55" s="661"/>
      <c r="GOR55" s="556"/>
      <c r="GOS55" s="557"/>
      <c r="GOT55" s="557"/>
      <c r="GOU55" s="557"/>
      <c r="GOV55" s="557"/>
      <c r="GOW55" s="557"/>
      <c r="GOX55" s="557"/>
      <c r="GOY55" s="557"/>
      <c r="GOZ55" s="557"/>
      <c r="GPA55" s="557"/>
      <c r="GPB55" s="557"/>
      <c r="GPC55" s="557"/>
      <c r="GPD55" s="557"/>
      <c r="GPE55" s="557"/>
      <c r="GPF55" s="557"/>
      <c r="GPG55" s="557"/>
      <c r="GPH55" s="557"/>
      <c r="GPI55" s="557"/>
      <c r="GPJ55" s="557"/>
      <c r="GPK55" s="661"/>
      <c r="GPL55" s="556"/>
      <c r="GPM55" s="557"/>
      <c r="GPN55" s="557"/>
      <c r="GPO55" s="557"/>
      <c r="GPP55" s="557"/>
      <c r="GPQ55" s="557"/>
      <c r="GPR55" s="557"/>
      <c r="GPS55" s="557"/>
      <c r="GPT55" s="557"/>
      <c r="GPU55" s="557"/>
      <c r="GPV55" s="557"/>
      <c r="GPW55" s="557"/>
      <c r="GPX55" s="557"/>
      <c r="GPY55" s="557"/>
      <c r="GPZ55" s="557"/>
      <c r="GQA55" s="557"/>
      <c r="GQB55" s="557"/>
      <c r="GQC55" s="557"/>
      <c r="GQD55" s="557"/>
      <c r="GQE55" s="661"/>
      <c r="GQF55" s="556"/>
      <c r="GQG55" s="557"/>
      <c r="GQH55" s="557"/>
      <c r="GQI55" s="557"/>
      <c r="GQJ55" s="557"/>
      <c r="GQK55" s="557"/>
      <c r="GQL55" s="557"/>
      <c r="GQM55" s="557"/>
      <c r="GQN55" s="557"/>
      <c r="GQO55" s="557"/>
      <c r="GQP55" s="557"/>
      <c r="GQQ55" s="557"/>
      <c r="GQR55" s="557"/>
      <c r="GQS55" s="557"/>
      <c r="GQT55" s="557"/>
      <c r="GQU55" s="557"/>
      <c r="GQV55" s="557"/>
      <c r="GQW55" s="557"/>
      <c r="GQX55" s="557"/>
      <c r="GQY55" s="661"/>
      <c r="GQZ55" s="556"/>
      <c r="GRA55" s="557"/>
      <c r="GRB55" s="557"/>
      <c r="GRC55" s="557"/>
      <c r="GRD55" s="557"/>
      <c r="GRE55" s="557"/>
      <c r="GRF55" s="557"/>
      <c r="GRG55" s="557"/>
      <c r="GRH55" s="557"/>
      <c r="GRI55" s="557"/>
      <c r="GRJ55" s="557"/>
      <c r="GRK55" s="557"/>
      <c r="GRL55" s="557"/>
      <c r="GRM55" s="557"/>
      <c r="GRN55" s="557"/>
      <c r="GRO55" s="557"/>
      <c r="GRP55" s="557"/>
      <c r="GRQ55" s="557"/>
      <c r="GRR55" s="557"/>
      <c r="GRS55" s="661"/>
      <c r="GRT55" s="556"/>
      <c r="GRU55" s="557"/>
      <c r="GRV55" s="557"/>
      <c r="GRW55" s="557"/>
      <c r="GRX55" s="557"/>
      <c r="GRY55" s="557"/>
      <c r="GRZ55" s="557"/>
      <c r="GSA55" s="557"/>
      <c r="GSB55" s="557"/>
      <c r="GSC55" s="557"/>
      <c r="GSD55" s="557"/>
      <c r="GSE55" s="557"/>
      <c r="GSF55" s="557"/>
      <c r="GSG55" s="557"/>
      <c r="GSH55" s="557"/>
      <c r="GSI55" s="557"/>
      <c r="GSJ55" s="557"/>
      <c r="GSK55" s="557"/>
      <c r="GSL55" s="557"/>
      <c r="GSM55" s="661"/>
      <c r="GSN55" s="556"/>
      <c r="GSO55" s="557"/>
      <c r="GSP55" s="557"/>
      <c r="GSQ55" s="557"/>
      <c r="GSR55" s="557"/>
      <c r="GSS55" s="557"/>
      <c r="GST55" s="557"/>
      <c r="GSU55" s="557"/>
      <c r="GSV55" s="557"/>
      <c r="GSW55" s="557"/>
      <c r="GSX55" s="557"/>
      <c r="GSY55" s="557"/>
      <c r="GSZ55" s="557"/>
      <c r="GTA55" s="557"/>
      <c r="GTB55" s="557"/>
      <c r="GTC55" s="557"/>
      <c r="GTD55" s="557"/>
      <c r="GTE55" s="557"/>
      <c r="GTF55" s="557"/>
      <c r="GTG55" s="661"/>
      <c r="GTH55" s="556"/>
      <c r="GTI55" s="557"/>
      <c r="GTJ55" s="557"/>
      <c r="GTK55" s="557"/>
      <c r="GTL55" s="557"/>
      <c r="GTM55" s="557"/>
      <c r="GTN55" s="557"/>
      <c r="GTO55" s="557"/>
      <c r="GTP55" s="557"/>
      <c r="GTQ55" s="557"/>
      <c r="GTR55" s="557"/>
      <c r="GTS55" s="557"/>
      <c r="GTT55" s="557"/>
      <c r="GTU55" s="557"/>
      <c r="GTV55" s="557"/>
      <c r="GTW55" s="557"/>
      <c r="GTX55" s="557"/>
      <c r="GTY55" s="557"/>
      <c r="GTZ55" s="557"/>
      <c r="GUA55" s="661"/>
      <c r="GUB55" s="556"/>
      <c r="GUC55" s="557"/>
      <c r="GUD55" s="557"/>
      <c r="GUE55" s="557"/>
      <c r="GUF55" s="557"/>
      <c r="GUG55" s="557"/>
      <c r="GUH55" s="557"/>
      <c r="GUI55" s="557"/>
      <c r="GUJ55" s="557"/>
      <c r="GUK55" s="557"/>
      <c r="GUL55" s="557"/>
      <c r="GUM55" s="557"/>
      <c r="GUN55" s="557"/>
      <c r="GUO55" s="557"/>
      <c r="GUP55" s="557"/>
      <c r="GUQ55" s="557"/>
      <c r="GUR55" s="557"/>
      <c r="GUS55" s="557"/>
      <c r="GUT55" s="557"/>
      <c r="GUU55" s="661"/>
      <c r="GUV55" s="556"/>
      <c r="GUW55" s="557"/>
      <c r="GUX55" s="557"/>
      <c r="GUY55" s="557"/>
      <c r="GUZ55" s="557"/>
      <c r="GVA55" s="557"/>
      <c r="GVB55" s="557"/>
      <c r="GVC55" s="557"/>
      <c r="GVD55" s="557"/>
      <c r="GVE55" s="557"/>
      <c r="GVF55" s="557"/>
      <c r="GVG55" s="557"/>
      <c r="GVH55" s="557"/>
      <c r="GVI55" s="557"/>
      <c r="GVJ55" s="557"/>
      <c r="GVK55" s="557"/>
      <c r="GVL55" s="557"/>
      <c r="GVM55" s="557"/>
      <c r="GVN55" s="557"/>
      <c r="GVO55" s="661"/>
      <c r="GVP55" s="556"/>
      <c r="GVQ55" s="557"/>
      <c r="GVR55" s="557"/>
      <c r="GVS55" s="557"/>
      <c r="GVT55" s="557"/>
      <c r="GVU55" s="557"/>
      <c r="GVV55" s="557"/>
      <c r="GVW55" s="557"/>
      <c r="GVX55" s="557"/>
      <c r="GVY55" s="557"/>
      <c r="GVZ55" s="557"/>
      <c r="GWA55" s="557"/>
      <c r="GWB55" s="557"/>
      <c r="GWC55" s="557"/>
      <c r="GWD55" s="557"/>
      <c r="GWE55" s="557"/>
      <c r="GWF55" s="557"/>
      <c r="GWG55" s="557"/>
      <c r="GWH55" s="557"/>
      <c r="GWI55" s="661"/>
      <c r="GWJ55" s="556"/>
      <c r="GWK55" s="557"/>
      <c r="GWL55" s="557"/>
      <c r="GWM55" s="557"/>
      <c r="GWN55" s="557"/>
      <c r="GWO55" s="557"/>
      <c r="GWP55" s="557"/>
      <c r="GWQ55" s="557"/>
      <c r="GWR55" s="557"/>
      <c r="GWS55" s="557"/>
      <c r="GWT55" s="557"/>
      <c r="GWU55" s="557"/>
      <c r="GWV55" s="557"/>
      <c r="GWW55" s="557"/>
      <c r="GWX55" s="557"/>
      <c r="GWY55" s="557"/>
      <c r="GWZ55" s="557"/>
      <c r="GXA55" s="557"/>
      <c r="GXB55" s="557"/>
      <c r="GXC55" s="661"/>
      <c r="GXD55" s="556"/>
      <c r="GXE55" s="557"/>
      <c r="GXF55" s="557"/>
      <c r="GXG55" s="557"/>
      <c r="GXH55" s="557"/>
      <c r="GXI55" s="557"/>
      <c r="GXJ55" s="557"/>
      <c r="GXK55" s="557"/>
      <c r="GXL55" s="557"/>
      <c r="GXM55" s="557"/>
      <c r="GXN55" s="557"/>
      <c r="GXO55" s="557"/>
      <c r="GXP55" s="557"/>
      <c r="GXQ55" s="557"/>
      <c r="GXR55" s="557"/>
      <c r="GXS55" s="557"/>
      <c r="GXT55" s="557"/>
      <c r="GXU55" s="557"/>
      <c r="GXV55" s="557"/>
      <c r="GXW55" s="661"/>
      <c r="GXX55" s="556"/>
      <c r="GXY55" s="557"/>
      <c r="GXZ55" s="557"/>
      <c r="GYA55" s="557"/>
      <c r="GYB55" s="557"/>
      <c r="GYC55" s="557"/>
      <c r="GYD55" s="557"/>
      <c r="GYE55" s="557"/>
      <c r="GYF55" s="557"/>
      <c r="GYG55" s="557"/>
      <c r="GYH55" s="557"/>
      <c r="GYI55" s="557"/>
      <c r="GYJ55" s="557"/>
      <c r="GYK55" s="557"/>
      <c r="GYL55" s="557"/>
      <c r="GYM55" s="557"/>
      <c r="GYN55" s="557"/>
      <c r="GYO55" s="557"/>
      <c r="GYP55" s="557"/>
      <c r="GYQ55" s="661"/>
      <c r="GYR55" s="556"/>
      <c r="GYS55" s="557"/>
      <c r="GYT55" s="557"/>
      <c r="GYU55" s="557"/>
      <c r="GYV55" s="557"/>
      <c r="GYW55" s="557"/>
      <c r="GYX55" s="557"/>
      <c r="GYY55" s="557"/>
      <c r="GYZ55" s="557"/>
      <c r="GZA55" s="557"/>
      <c r="GZB55" s="557"/>
      <c r="GZC55" s="557"/>
      <c r="GZD55" s="557"/>
      <c r="GZE55" s="557"/>
      <c r="GZF55" s="557"/>
      <c r="GZG55" s="557"/>
      <c r="GZH55" s="557"/>
      <c r="GZI55" s="557"/>
      <c r="GZJ55" s="557"/>
      <c r="GZK55" s="661"/>
      <c r="GZL55" s="556"/>
      <c r="GZM55" s="557"/>
      <c r="GZN55" s="557"/>
      <c r="GZO55" s="557"/>
      <c r="GZP55" s="557"/>
      <c r="GZQ55" s="557"/>
      <c r="GZR55" s="557"/>
      <c r="GZS55" s="557"/>
      <c r="GZT55" s="557"/>
      <c r="GZU55" s="557"/>
      <c r="GZV55" s="557"/>
      <c r="GZW55" s="557"/>
      <c r="GZX55" s="557"/>
      <c r="GZY55" s="557"/>
      <c r="GZZ55" s="557"/>
      <c r="HAA55" s="557"/>
      <c r="HAB55" s="557"/>
      <c r="HAC55" s="557"/>
      <c r="HAD55" s="557"/>
      <c r="HAE55" s="661"/>
      <c r="HAF55" s="556"/>
      <c r="HAG55" s="557"/>
      <c r="HAH55" s="557"/>
      <c r="HAI55" s="557"/>
      <c r="HAJ55" s="557"/>
      <c r="HAK55" s="557"/>
      <c r="HAL55" s="557"/>
      <c r="HAM55" s="557"/>
      <c r="HAN55" s="557"/>
      <c r="HAO55" s="557"/>
      <c r="HAP55" s="557"/>
      <c r="HAQ55" s="557"/>
      <c r="HAR55" s="557"/>
      <c r="HAS55" s="557"/>
      <c r="HAT55" s="557"/>
      <c r="HAU55" s="557"/>
      <c r="HAV55" s="557"/>
      <c r="HAW55" s="557"/>
      <c r="HAX55" s="557"/>
      <c r="HAY55" s="661"/>
      <c r="HAZ55" s="556"/>
      <c r="HBA55" s="557"/>
      <c r="HBB55" s="557"/>
      <c r="HBC55" s="557"/>
      <c r="HBD55" s="557"/>
      <c r="HBE55" s="557"/>
      <c r="HBF55" s="557"/>
      <c r="HBG55" s="557"/>
      <c r="HBH55" s="557"/>
      <c r="HBI55" s="557"/>
      <c r="HBJ55" s="557"/>
      <c r="HBK55" s="557"/>
      <c r="HBL55" s="557"/>
      <c r="HBM55" s="557"/>
      <c r="HBN55" s="557"/>
      <c r="HBO55" s="557"/>
      <c r="HBP55" s="557"/>
      <c r="HBQ55" s="557"/>
      <c r="HBR55" s="557"/>
      <c r="HBS55" s="661"/>
      <c r="HBT55" s="556"/>
      <c r="HBU55" s="557"/>
      <c r="HBV55" s="557"/>
      <c r="HBW55" s="557"/>
      <c r="HBX55" s="557"/>
      <c r="HBY55" s="557"/>
      <c r="HBZ55" s="557"/>
      <c r="HCA55" s="557"/>
      <c r="HCB55" s="557"/>
      <c r="HCC55" s="557"/>
      <c r="HCD55" s="557"/>
      <c r="HCE55" s="557"/>
      <c r="HCF55" s="557"/>
      <c r="HCG55" s="557"/>
      <c r="HCH55" s="557"/>
      <c r="HCI55" s="557"/>
      <c r="HCJ55" s="557"/>
      <c r="HCK55" s="557"/>
      <c r="HCL55" s="557"/>
      <c r="HCM55" s="661"/>
      <c r="HCN55" s="556"/>
      <c r="HCO55" s="557"/>
      <c r="HCP55" s="557"/>
      <c r="HCQ55" s="557"/>
      <c r="HCR55" s="557"/>
      <c r="HCS55" s="557"/>
      <c r="HCT55" s="557"/>
      <c r="HCU55" s="557"/>
      <c r="HCV55" s="557"/>
      <c r="HCW55" s="557"/>
      <c r="HCX55" s="557"/>
      <c r="HCY55" s="557"/>
      <c r="HCZ55" s="557"/>
      <c r="HDA55" s="557"/>
      <c r="HDB55" s="557"/>
      <c r="HDC55" s="557"/>
      <c r="HDD55" s="557"/>
      <c r="HDE55" s="557"/>
      <c r="HDF55" s="557"/>
      <c r="HDG55" s="661"/>
      <c r="HDH55" s="556"/>
      <c r="HDI55" s="557"/>
      <c r="HDJ55" s="557"/>
      <c r="HDK55" s="557"/>
      <c r="HDL55" s="557"/>
      <c r="HDM55" s="557"/>
      <c r="HDN55" s="557"/>
      <c r="HDO55" s="557"/>
      <c r="HDP55" s="557"/>
      <c r="HDQ55" s="557"/>
      <c r="HDR55" s="557"/>
      <c r="HDS55" s="557"/>
      <c r="HDT55" s="557"/>
      <c r="HDU55" s="557"/>
      <c r="HDV55" s="557"/>
      <c r="HDW55" s="557"/>
      <c r="HDX55" s="557"/>
      <c r="HDY55" s="557"/>
      <c r="HDZ55" s="557"/>
      <c r="HEA55" s="661"/>
      <c r="HEB55" s="556"/>
      <c r="HEC55" s="557"/>
      <c r="HED55" s="557"/>
      <c r="HEE55" s="557"/>
      <c r="HEF55" s="557"/>
      <c r="HEG55" s="557"/>
      <c r="HEH55" s="557"/>
      <c r="HEI55" s="557"/>
      <c r="HEJ55" s="557"/>
      <c r="HEK55" s="557"/>
      <c r="HEL55" s="557"/>
      <c r="HEM55" s="557"/>
      <c r="HEN55" s="557"/>
      <c r="HEO55" s="557"/>
      <c r="HEP55" s="557"/>
      <c r="HEQ55" s="557"/>
      <c r="HER55" s="557"/>
      <c r="HES55" s="557"/>
      <c r="HET55" s="557"/>
      <c r="HEU55" s="661"/>
      <c r="HEV55" s="556"/>
      <c r="HEW55" s="557"/>
      <c r="HEX55" s="557"/>
      <c r="HEY55" s="557"/>
      <c r="HEZ55" s="557"/>
      <c r="HFA55" s="557"/>
      <c r="HFB55" s="557"/>
      <c r="HFC55" s="557"/>
      <c r="HFD55" s="557"/>
      <c r="HFE55" s="557"/>
      <c r="HFF55" s="557"/>
      <c r="HFG55" s="557"/>
      <c r="HFH55" s="557"/>
      <c r="HFI55" s="557"/>
      <c r="HFJ55" s="557"/>
      <c r="HFK55" s="557"/>
      <c r="HFL55" s="557"/>
      <c r="HFM55" s="557"/>
      <c r="HFN55" s="557"/>
      <c r="HFO55" s="661"/>
      <c r="HFP55" s="556"/>
      <c r="HFQ55" s="557"/>
      <c r="HFR55" s="557"/>
      <c r="HFS55" s="557"/>
      <c r="HFT55" s="557"/>
      <c r="HFU55" s="557"/>
      <c r="HFV55" s="557"/>
      <c r="HFW55" s="557"/>
      <c r="HFX55" s="557"/>
      <c r="HFY55" s="557"/>
      <c r="HFZ55" s="557"/>
      <c r="HGA55" s="557"/>
      <c r="HGB55" s="557"/>
      <c r="HGC55" s="557"/>
      <c r="HGD55" s="557"/>
      <c r="HGE55" s="557"/>
      <c r="HGF55" s="557"/>
      <c r="HGG55" s="557"/>
      <c r="HGH55" s="557"/>
      <c r="HGI55" s="661"/>
      <c r="HGJ55" s="556"/>
      <c r="HGK55" s="557"/>
      <c r="HGL55" s="557"/>
      <c r="HGM55" s="557"/>
      <c r="HGN55" s="557"/>
      <c r="HGO55" s="557"/>
      <c r="HGP55" s="557"/>
      <c r="HGQ55" s="557"/>
      <c r="HGR55" s="557"/>
      <c r="HGS55" s="557"/>
      <c r="HGT55" s="557"/>
      <c r="HGU55" s="557"/>
      <c r="HGV55" s="557"/>
      <c r="HGW55" s="557"/>
      <c r="HGX55" s="557"/>
      <c r="HGY55" s="557"/>
      <c r="HGZ55" s="557"/>
      <c r="HHA55" s="557"/>
      <c r="HHB55" s="557"/>
      <c r="HHC55" s="661"/>
      <c r="HHD55" s="556"/>
      <c r="HHE55" s="557"/>
      <c r="HHF55" s="557"/>
      <c r="HHG55" s="557"/>
      <c r="HHH55" s="557"/>
      <c r="HHI55" s="557"/>
      <c r="HHJ55" s="557"/>
      <c r="HHK55" s="557"/>
      <c r="HHL55" s="557"/>
      <c r="HHM55" s="557"/>
      <c r="HHN55" s="557"/>
      <c r="HHO55" s="557"/>
      <c r="HHP55" s="557"/>
      <c r="HHQ55" s="557"/>
      <c r="HHR55" s="557"/>
      <c r="HHS55" s="557"/>
      <c r="HHT55" s="557"/>
      <c r="HHU55" s="557"/>
      <c r="HHV55" s="557"/>
      <c r="HHW55" s="661"/>
      <c r="HHX55" s="556"/>
      <c r="HHY55" s="557"/>
      <c r="HHZ55" s="557"/>
      <c r="HIA55" s="557"/>
      <c r="HIB55" s="557"/>
      <c r="HIC55" s="557"/>
      <c r="HID55" s="557"/>
      <c r="HIE55" s="557"/>
      <c r="HIF55" s="557"/>
      <c r="HIG55" s="557"/>
      <c r="HIH55" s="557"/>
      <c r="HII55" s="557"/>
      <c r="HIJ55" s="557"/>
      <c r="HIK55" s="557"/>
      <c r="HIL55" s="557"/>
      <c r="HIM55" s="557"/>
      <c r="HIN55" s="557"/>
      <c r="HIO55" s="557"/>
      <c r="HIP55" s="557"/>
      <c r="HIQ55" s="661"/>
      <c r="HIR55" s="556"/>
      <c r="HIS55" s="557"/>
      <c r="HIT55" s="557"/>
      <c r="HIU55" s="557"/>
      <c r="HIV55" s="557"/>
      <c r="HIW55" s="557"/>
      <c r="HIX55" s="557"/>
      <c r="HIY55" s="557"/>
      <c r="HIZ55" s="557"/>
      <c r="HJA55" s="557"/>
      <c r="HJB55" s="557"/>
      <c r="HJC55" s="557"/>
      <c r="HJD55" s="557"/>
      <c r="HJE55" s="557"/>
      <c r="HJF55" s="557"/>
      <c r="HJG55" s="557"/>
      <c r="HJH55" s="557"/>
      <c r="HJI55" s="557"/>
      <c r="HJJ55" s="557"/>
      <c r="HJK55" s="661"/>
      <c r="HJL55" s="556"/>
      <c r="HJM55" s="557"/>
      <c r="HJN55" s="557"/>
      <c r="HJO55" s="557"/>
      <c r="HJP55" s="557"/>
      <c r="HJQ55" s="557"/>
      <c r="HJR55" s="557"/>
      <c r="HJS55" s="557"/>
      <c r="HJT55" s="557"/>
      <c r="HJU55" s="557"/>
      <c r="HJV55" s="557"/>
      <c r="HJW55" s="557"/>
      <c r="HJX55" s="557"/>
      <c r="HJY55" s="557"/>
      <c r="HJZ55" s="557"/>
      <c r="HKA55" s="557"/>
      <c r="HKB55" s="557"/>
      <c r="HKC55" s="557"/>
      <c r="HKD55" s="557"/>
      <c r="HKE55" s="661"/>
      <c r="HKF55" s="556"/>
      <c r="HKG55" s="557"/>
      <c r="HKH55" s="557"/>
      <c r="HKI55" s="557"/>
      <c r="HKJ55" s="557"/>
      <c r="HKK55" s="557"/>
      <c r="HKL55" s="557"/>
      <c r="HKM55" s="557"/>
      <c r="HKN55" s="557"/>
      <c r="HKO55" s="557"/>
      <c r="HKP55" s="557"/>
      <c r="HKQ55" s="557"/>
      <c r="HKR55" s="557"/>
      <c r="HKS55" s="557"/>
      <c r="HKT55" s="557"/>
      <c r="HKU55" s="557"/>
      <c r="HKV55" s="557"/>
      <c r="HKW55" s="557"/>
      <c r="HKX55" s="557"/>
      <c r="HKY55" s="661"/>
      <c r="HKZ55" s="556"/>
      <c r="HLA55" s="557"/>
      <c r="HLB55" s="557"/>
      <c r="HLC55" s="557"/>
      <c r="HLD55" s="557"/>
      <c r="HLE55" s="557"/>
      <c r="HLF55" s="557"/>
      <c r="HLG55" s="557"/>
      <c r="HLH55" s="557"/>
      <c r="HLI55" s="557"/>
      <c r="HLJ55" s="557"/>
      <c r="HLK55" s="557"/>
      <c r="HLL55" s="557"/>
      <c r="HLM55" s="557"/>
      <c r="HLN55" s="557"/>
      <c r="HLO55" s="557"/>
      <c r="HLP55" s="557"/>
      <c r="HLQ55" s="557"/>
      <c r="HLR55" s="557"/>
      <c r="HLS55" s="661"/>
      <c r="HLT55" s="556"/>
      <c r="HLU55" s="557"/>
      <c r="HLV55" s="557"/>
      <c r="HLW55" s="557"/>
      <c r="HLX55" s="557"/>
      <c r="HLY55" s="557"/>
      <c r="HLZ55" s="557"/>
      <c r="HMA55" s="557"/>
      <c r="HMB55" s="557"/>
      <c r="HMC55" s="557"/>
      <c r="HMD55" s="557"/>
      <c r="HME55" s="557"/>
      <c r="HMF55" s="557"/>
      <c r="HMG55" s="557"/>
      <c r="HMH55" s="557"/>
      <c r="HMI55" s="557"/>
      <c r="HMJ55" s="557"/>
      <c r="HMK55" s="557"/>
      <c r="HML55" s="557"/>
      <c r="HMM55" s="661"/>
      <c r="HMN55" s="556"/>
      <c r="HMO55" s="557"/>
      <c r="HMP55" s="557"/>
      <c r="HMQ55" s="557"/>
      <c r="HMR55" s="557"/>
      <c r="HMS55" s="557"/>
      <c r="HMT55" s="557"/>
      <c r="HMU55" s="557"/>
      <c r="HMV55" s="557"/>
      <c r="HMW55" s="557"/>
      <c r="HMX55" s="557"/>
      <c r="HMY55" s="557"/>
      <c r="HMZ55" s="557"/>
      <c r="HNA55" s="557"/>
      <c r="HNB55" s="557"/>
      <c r="HNC55" s="557"/>
      <c r="HND55" s="557"/>
      <c r="HNE55" s="557"/>
      <c r="HNF55" s="557"/>
      <c r="HNG55" s="661"/>
      <c r="HNH55" s="556"/>
      <c r="HNI55" s="557"/>
      <c r="HNJ55" s="557"/>
      <c r="HNK55" s="557"/>
      <c r="HNL55" s="557"/>
      <c r="HNM55" s="557"/>
      <c r="HNN55" s="557"/>
      <c r="HNO55" s="557"/>
      <c r="HNP55" s="557"/>
      <c r="HNQ55" s="557"/>
      <c r="HNR55" s="557"/>
      <c r="HNS55" s="557"/>
      <c r="HNT55" s="557"/>
      <c r="HNU55" s="557"/>
      <c r="HNV55" s="557"/>
      <c r="HNW55" s="557"/>
      <c r="HNX55" s="557"/>
      <c r="HNY55" s="557"/>
      <c r="HNZ55" s="557"/>
      <c r="HOA55" s="661"/>
      <c r="HOB55" s="556"/>
      <c r="HOC55" s="557"/>
      <c r="HOD55" s="557"/>
      <c r="HOE55" s="557"/>
      <c r="HOF55" s="557"/>
      <c r="HOG55" s="557"/>
      <c r="HOH55" s="557"/>
      <c r="HOI55" s="557"/>
      <c r="HOJ55" s="557"/>
      <c r="HOK55" s="557"/>
      <c r="HOL55" s="557"/>
      <c r="HOM55" s="557"/>
      <c r="HON55" s="557"/>
      <c r="HOO55" s="557"/>
      <c r="HOP55" s="557"/>
      <c r="HOQ55" s="557"/>
      <c r="HOR55" s="557"/>
      <c r="HOS55" s="557"/>
      <c r="HOT55" s="557"/>
      <c r="HOU55" s="661"/>
      <c r="HOV55" s="556"/>
      <c r="HOW55" s="557"/>
      <c r="HOX55" s="557"/>
      <c r="HOY55" s="557"/>
      <c r="HOZ55" s="557"/>
      <c r="HPA55" s="557"/>
      <c r="HPB55" s="557"/>
      <c r="HPC55" s="557"/>
      <c r="HPD55" s="557"/>
      <c r="HPE55" s="557"/>
      <c r="HPF55" s="557"/>
      <c r="HPG55" s="557"/>
      <c r="HPH55" s="557"/>
      <c r="HPI55" s="557"/>
      <c r="HPJ55" s="557"/>
      <c r="HPK55" s="557"/>
      <c r="HPL55" s="557"/>
      <c r="HPM55" s="557"/>
      <c r="HPN55" s="557"/>
      <c r="HPO55" s="661"/>
      <c r="HPP55" s="556"/>
      <c r="HPQ55" s="557"/>
      <c r="HPR55" s="557"/>
      <c r="HPS55" s="557"/>
      <c r="HPT55" s="557"/>
      <c r="HPU55" s="557"/>
      <c r="HPV55" s="557"/>
      <c r="HPW55" s="557"/>
      <c r="HPX55" s="557"/>
      <c r="HPY55" s="557"/>
      <c r="HPZ55" s="557"/>
      <c r="HQA55" s="557"/>
      <c r="HQB55" s="557"/>
      <c r="HQC55" s="557"/>
      <c r="HQD55" s="557"/>
      <c r="HQE55" s="557"/>
      <c r="HQF55" s="557"/>
      <c r="HQG55" s="557"/>
      <c r="HQH55" s="557"/>
      <c r="HQI55" s="661"/>
      <c r="HQJ55" s="556"/>
      <c r="HQK55" s="557"/>
      <c r="HQL55" s="557"/>
      <c r="HQM55" s="557"/>
      <c r="HQN55" s="557"/>
      <c r="HQO55" s="557"/>
      <c r="HQP55" s="557"/>
      <c r="HQQ55" s="557"/>
      <c r="HQR55" s="557"/>
      <c r="HQS55" s="557"/>
      <c r="HQT55" s="557"/>
      <c r="HQU55" s="557"/>
      <c r="HQV55" s="557"/>
      <c r="HQW55" s="557"/>
      <c r="HQX55" s="557"/>
      <c r="HQY55" s="557"/>
      <c r="HQZ55" s="557"/>
      <c r="HRA55" s="557"/>
      <c r="HRB55" s="557"/>
      <c r="HRC55" s="661"/>
      <c r="HRD55" s="556"/>
      <c r="HRE55" s="557"/>
      <c r="HRF55" s="557"/>
      <c r="HRG55" s="557"/>
      <c r="HRH55" s="557"/>
      <c r="HRI55" s="557"/>
      <c r="HRJ55" s="557"/>
      <c r="HRK55" s="557"/>
      <c r="HRL55" s="557"/>
      <c r="HRM55" s="557"/>
      <c r="HRN55" s="557"/>
      <c r="HRO55" s="557"/>
      <c r="HRP55" s="557"/>
      <c r="HRQ55" s="557"/>
      <c r="HRR55" s="557"/>
      <c r="HRS55" s="557"/>
      <c r="HRT55" s="557"/>
      <c r="HRU55" s="557"/>
      <c r="HRV55" s="557"/>
      <c r="HRW55" s="661"/>
      <c r="HRX55" s="556"/>
      <c r="HRY55" s="557"/>
      <c r="HRZ55" s="557"/>
      <c r="HSA55" s="557"/>
      <c r="HSB55" s="557"/>
      <c r="HSC55" s="557"/>
      <c r="HSD55" s="557"/>
      <c r="HSE55" s="557"/>
      <c r="HSF55" s="557"/>
      <c r="HSG55" s="557"/>
      <c r="HSH55" s="557"/>
      <c r="HSI55" s="557"/>
      <c r="HSJ55" s="557"/>
      <c r="HSK55" s="557"/>
      <c r="HSL55" s="557"/>
      <c r="HSM55" s="557"/>
      <c r="HSN55" s="557"/>
      <c r="HSO55" s="557"/>
      <c r="HSP55" s="557"/>
      <c r="HSQ55" s="661"/>
      <c r="HSR55" s="556"/>
      <c r="HSS55" s="557"/>
      <c r="HST55" s="557"/>
      <c r="HSU55" s="557"/>
      <c r="HSV55" s="557"/>
      <c r="HSW55" s="557"/>
      <c r="HSX55" s="557"/>
      <c r="HSY55" s="557"/>
      <c r="HSZ55" s="557"/>
      <c r="HTA55" s="557"/>
      <c r="HTB55" s="557"/>
      <c r="HTC55" s="557"/>
      <c r="HTD55" s="557"/>
      <c r="HTE55" s="557"/>
      <c r="HTF55" s="557"/>
      <c r="HTG55" s="557"/>
      <c r="HTH55" s="557"/>
      <c r="HTI55" s="557"/>
      <c r="HTJ55" s="557"/>
      <c r="HTK55" s="661"/>
      <c r="HTL55" s="556"/>
      <c r="HTM55" s="557"/>
      <c r="HTN55" s="557"/>
      <c r="HTO55" s="557"/>
      <c r="HTP55" s="557"/>
      <c r="HTQ55" s="557"/>
      <c r="HTR55" s="557"/>
      <c r="HTS55" s="557"/>
      <c r="HTT55" s="557"/>
      <c r="HTU55" s="557"/>
      <c r="HTV55" s="557"/>
      <c r="HTW55" s="557"/>
      <c r="HTX55" s="557"/>
      <c r="HTY55" s="557"/>
      <c r="HTZ55" s="557"/>
      <c r="HUA55" s="557"/>
      <c r="HUB55" s="557"/>
      <c r="HUC55" s="557"/>
      <c r="HUD55" s="557"/>
      <c r="HUE55" s="661"/>
      <c r="HUF55" s="556"/>
      <c r="HUG55" s="557"/>
      <c r="HUH55" s="557"/>
      <c r="HUI55" s="557"/>
      <c r="HUJ55" s="557"/>
      <c r="HUK55" s="557"/>
      <c r="HUL55" s="557"/>
      <c r="HUM55" s="557"/>
      <c r="HUN55" s="557"/>
      <c r="HUO55" s="557"/>
      <c r="HUP55" s="557"/>
      <c r="HUQ55" s="557"/>
      <c r="HUR55" s="557"/>
      <c r="HUS55" s="557"/>
      <c r="HUT55" s="557"/>
      <c r="HUU55" s="557"/>
      <c r="HUV55" s="557"/>
      <c r="HUW55" s="557"/>
      <c r="HUX55" s="557"/>
      <c r="HUY55" s="661"/>
      <c r="HUZ55" s="556"/>
      <c r="HVA55" s="557"/>
      <c r="HVB55" s="557"/>
      <c r="HVC55" s="557"/>
      <c r="HVD55" s="557"/>
      <c r="HVE55" s="557"/>
      <c r="HVF55" s="557"/>
      <c r="HVG55" s="557"/>
      <c r="HVH55" s="557"/>
      <c r="HVI55" s="557"/>
      <c r="HVJ55" s="557"/>
      <c r="HVK55" s="557"/>
      <c r="HVL55" s="557"/>
      <c r="HVM55" s="557"/>
      <c r="HVN55" s="557"/>
      <c r="HVO55" s="557"/>
      <c r="HVP55" s="557"/>
      <c r="HVQ55" s="557"/>
      <c r="HVR55" s="557"/>
      <c r="HVS55" s="661"/>
      <c r="HVT55" s="556"/>
      <c r="HVU55" s="557"/>
      <c r="HVV55" s="557"/>
      <c r="HVW55" s="557"/>
      <c r="HVX55" s="557"/>
      <c r="HVY55" s="557"/>
      <c r="HVZ55" s="557"/>
      <c r="HWA55" s="557"/>
      <c r="HWB55" s="557"/>
      <c r="HWC55" s="557"/>
      <c r="HWD55" s="557"/>
      <c r="HWE55" s="557"/>
      <c r="HWF55" s="557"/>
      <c r="HWG55" s="557"/>
      <c r="HWH55" s="557"/>
      <c r="HWI55" s="557"/>
      <c r="HWJ55" s="557"/>
      <c r="HWK55" s="557"/>
      <c r="HWL55" s="557"/>
      <c r="HWM55" s="661"/>
      <c r="HWN55" s="556"/>
      <c r="HWO55" s="557"/>
      <c r="HWP55" s="557"/>
      <c r="HWQ55" s="557"/>
      <c r="HWR55" s="557"/>
      <c r="HWS55" s="557"/>
      <c r="HWT55" s="557"/>
      <c r="HWU55" s="557"/>
      <c r="HWV55" s="557"/>
      <c r="HWW55" s="557"/>
      <c r="HWX55" s="557"/>
      <c r="HWY55" s="557"/>
      <c r="HWZ55" s="557"/>
      <c r="HXA55" s="557"/>
      <c r="HXB55" s="557"/>
      <c r="HXC55" s="557"/>
      <c r="HXD55" s="557"/>
      <c r="HXE55" s="557"/>
      <c r="HXF55" s="557"/>
      <c r="HXG55" s="661"/>
      <c r="HXH55" s="556"/>
      <c r="HXI55" s="557"/>
      <c r="HXJ55" s="557"/>
      <c r="HXK55" s="557"/>
      <c r="HXL55" s="557"/>
      <c r="HXM55" s="557"/>
      <c r="HXN55" s="557"/>
      <c r="HXO55" s="557"/>
      <c r="HXP55" s="557"/>
      <c r="HXQ55" s="557"/>
      <c r="HXR55" s="557"/>
      <c r="HXS55" s="557"/>
      <c r="HXT55" s="557"/>
      <c r="HXU55" s="557"/>
      <c r="HXV55" s="557"/>
      <c r="HXW55" s="557"/>
      <c r="HXX55" s="557"/>
      <c r="HXY55" s="557"/>
      <c r="HXZ55" s="557"/>
      <c r="HYA55" s="661"/>
      <c r="HYB55" s="556"/>
      <c r="HYC55" s="557"/>
      <c r="HYD55" s="557"/>
      <c r="HYE55" s="557"/>
      <c r="HYF55" s="557"/>
      <c r="HYG55" s="557"/>
      <c r="HYH55" s="557"/>
      <c r="HYI55" s="557"/>
      <c r="HYJ55" s="557"/>
      <c r="HYK55" s="557"/>
      <c r="HYL55" s="557"/>
      <c r="HYM55" s="557"/>
      <c r="HYN55" s="557"/>
      <c r="HYO55" s="557"/>
      <c r="HYP55" s="557"/>
      <c r="HYQ55" s="557"/>
      <c r="HYR55" s="557"/>
      <c r="HYS55" s="557"/>
      <c r="HYT55" s="557"/>
      <c r="HYU55" s="661"/>
      <c r="HYV55" s="556"/>
      <c r="HYW55" s="557"/>
      <c r="HYX55" s="557"/>
      <c r="HYY55" s="557"/>
      <c r="HYZ55" s="557"/>
      <c r="HZA55" s="557"/>
      <c r="HZB55" s="557"/>
      <c r="HZC55" s="557"/>
      <c r="HZD55" s="557"/>
      <c r="HZE55" s="557"/>
      <c r="HZF55" s="557"/>
      <c r="HZG55" s="557"/>
      <c r="HZH55" s="557"/>
      <c r="HZI55" s="557"/>
      <c r="HZJ55" s="557"/>
      <c r="HZK55" s="557"/>
      <c r="HZL55" s="557"/>
      <c r="HZM55" s="557"/>
      <c r="HZN55" s="557"/>
      <c r="HZO55" s="661"/>
      <c r="HZP55" s="556"/>
      <c r="HZQ55" s="557"/>
      <c r="HZR55" s="557"/>
      <c r="HZS55" s="557"/>
      <c r="HZT55" s="557"/>
      <c r="HZU55" s="557"/>
      <c r="HZV55" s="557"/>
      <c r="HZW55" s="557"/>
      <c r="HZX55" s="557"/>
      <c r="HZY55" s="557"/>
      <c r="HZZ55" s="557"/>
      <c r="IAA55" s="557"/>
      <c r="IAB55" s="557"/>
      <c r="IAC55" s="557"/>
      <c r="IAD55" s="557"/>
      <c r="IAE55" s="557"/>
      <c r="IAF55" s="557"/>
      <c r="IAG55" s="557"/>
      <c r="IAH55" s="557"/>
      <c r="IAI55" s="661"/>
      <c r="IAJ55" s="556"/>
      <c r="IAK55" s="557"/>
      <c r="IAL55" s="557"/>
      <c r="IAM55" s="557"/>
      <c r="IAN55" s="557"/>
      <c r="IAO55" s="557"/>
      <c r="IAP55" s="557"/>
      <c r="IAQ55" s="557"/>
      <c r="IAR55" s="557"/>
      <c r="IAS55" s="557"/>
      <c r="IAT55" s="557"/>
      <c r="IAU55" s="557"/>
      <c r="IAV55" s="557"/>
      <c r="IAW55" s="557"/>
      <c r="IAX55" s="557"/>
      <c r="IAY55" s="557"/>
      <c r="IAZ55" s="557"/>
      <c r="IBA55" s="557"/>
      <c r="IBB55" s="557"/>
      <c r="IBC55" s="661"/>
      <c r="IBD55" s="556"/>
      <c r="IBE55" s="557"/>
      <c r="IBF55" s="557"/>
      <c r="IBG55" s="557"/>
      <c r="IBH55" s="557"/>
      <c r="IBI55" s="557"/>
      <c r="IBJ55" s="557"/>
      <c r="IBK55" s="557"/>
      <c r="IBL55" s="557"/>
      <c r="IBM55" s="557"/>
      <c r="IBN55" s="557"/>
      <c r="IBO55" s="557"/>
      <c r="IBP55" s="557"/>
      <c r="IBQ55" s="557"/>
      <c r="IBR55" s="557"/>
      <c r="IBS55" s="557"/>
      <c r="IBT55" s="557"/>
      <c r="IBU55" s="557"/>
      <c r="IBV55" s="557"/>
      <c r="IBW55" s="661"/>
      <c r="IBX55" s="556"/>
      <c r="IBY55" s="557"/>
      <c r="IBZ55" s="557"/>
      <c r="ICA55" s="557"/>
      <c r="ICB55" s="557"/>
      <c r="ICC55" s="557"/>
      <c r="ICD55" s="557"/>
      <c r="ICE55" s="557"/>
      <c r="ICF55" s="557"/>
      <c r="ICG55" s="557"/>
      <c r="ICH55" s="557"/>
      <c r="ICI55" s="557"/>
      <c r="ICJ55" s="557"/>
      <c r="ICK55" s="557"/>
      <c r="ICL55" s="557"/>
      <c r="ICM55" s="557"/>
      <c r="ICN55" s="557"/>
      <c r="ICO55" s="557"/>
      <c r="ICP55" s="557"/>
      <c r="ICQ55" s="661"/>
      <c r="ICR55" s="556"/>
      <c r="ICS55" s="557"/>
      <c r="ICT55" s="557"/>
      <c r="ICU55" s="557"/>
      <c r="ICV55" s="557"/>
      <c r="ICW55" s="557"/>
      <c r="ICX55" s="557"/>
      <c r="ICY55" s="557"/>
      <c r="ICZ55" s="557"/>
      <c r="IDA55" s="557"/>
      <c r="IDB55" s="557"/>
      <c r="IDC55" s="557"/>
      <c r="IDD55" s="557"/>
      <c r="IDE55" s="557"/>
      <c r="IDF55" s="557"/>
      <c r="IDG55" s="557"/>
      <c r="IDH55" s="557"/>
      <c r="IDI55" s="557"/>
      <c r="IDJ55" s="557"/>
      <c r="IDK55" s="661"/>
      <c r="IDL55" s="556"/>
      <c r="IDM55" s="557"/>
      <c r="IDN55" s="557"/>
      <c r="IDO55" s="557"/>
      <c r="IDP55" s="557"/>
      <c r="IDQ55" s="557"/>
      <c r="IDR55" s="557"/>
      <c r="IDS55" s="557"/>
      <c r="IDT55" s="557"/>
      <c r="IDU55" s="557"/>
      <c r="IDV55" s="557"/>
      <c r="IDW55" s="557"/>
      <c r="IDX55" s="557"/>
      <c r="IDY55" s="557"/>
      <c r="IDZ55" s="557"/>
      <c r="IEA55" s="557"/>
      <c r="IEB55" s="557"/>
      <c r="IEC55" s="557"/>
      <c r="IED55" s="557"/>
      <c r="IEE55" s="661"/>
      <c r="IEF55" s="556"/>
      <c r="IEG55" s="557"/>
      <c r="IEH55" s="557"/>
      <c r="IEI55" s="557"/>
      <c r="IEJ55" s="557"/>
      <c r="IEK55" s="557"/>
      <c r="IEL55" s="557"/>
      <c r="IEM55" s="557"/>
      <c r="IEN55" s="557"/>
      <c r="IEO55" s="557"/>
      <c r="IEP55" s="557"/>
      <c r="IEQ55" s="557"/>
      <c r="IER55" s="557"/>
      <c r="IES55" s="557"/>
      <c r="IET55" s="557"/>
      <c r="IEU55" s="557"/>
      <c r="IEV55" s="557"/>
      <c r="IEW55" s="557"/>
      <c r="IEX55" s="557"/>
      <c r="IEY55" s="661"/>
      <c r="IEZ55" s="556"/>
      <c r="IFA55" s="557"/>
      <c r="IFB55" s="557"/>
      <c r="IFC55" s="557"/>
      <c r="IFD55" s="557"/>
      <c r="IFE55" s="557"/>
      <c r="IFF55" s="557"/>
      <c r="IFG55" s="557"/>
      <c r="IFH55" s="557"/>
      <c r="IFI55" s="557"/>
      <c r="IFJ55" s="557"/>
      <c r="IFK55" s="557"/>
      <c r="IFL55" s="557"/>
      <c r="IFM55" s="557"/>
      <c r="IFN55" s="557"/>
      <c r="IFO55" s="557"/>
      <c r="IFP55" s="557"/>
      <c r="IFQ55" s="557"/>
      <c r="IFR55" s="557"/>
      <c r="IFS55" s="661"/>
      <c r="IFT55" s="556"/>
      <c r="IFU55" s="557"/>
      <c r="IFV55" s="557"/>
      <c r="IFW55" s="557"/>
      <c r="IFX55" s="557"/>
      <c r="IFY55" s="557"/>
      <c r="IFZ55" s="557"/>
      <c r="IGA55" s="557"/>
      <c r="IGB55" s="557"/>
      <c r="IGC55" s="557"/>
      <c r="IGD55" s="557"/>
      <c r="IGE55" s="557"/>
      <c r="IGF55" s="557"/>
      <c r="IGG55" s="557"/>
      <c r="IGH55" s="557"/>
      <c r="IGI55" s="557"/>
      <c r="IGJ55" s="557"/>
      <c r="IGK55" s="557"/>
      <c r="IGL55" s="557"/>
      <c r="IGM55" s="661"/>
      <c r="IGN55" s="556"/>
      <c r="IGO55" s="557"/>
      <c r="IGP55" s="557"/>
      <c r="IGQ55" s="557"/>
      <c r="IGR55" s="557"/>
      <c r="IGS55" s="557"/>
      <c r="IGT55" s="557"/>
      <c r="IGU55" s="557"/>
      <c r="IGV55" s="557"/>
      <c r="IGW55" s="557"/>
      <c r="IGX55" s="557"/>
      <c r="IGY55" s="557"/>
      <c r="IGZ55" s="557"/>
      <c r="IHA55" s="557"/>
      <c r="IHB55" s="557"/>
      <c r="IHC55" s="557"/>
      <c r="IHD55" s="557"/>
      <c r="IHE55" s="557"/>
      <c r="IHF55" s="557"/>
      <c r="IHG55" s="661"/>
      <c r="IHH55" s="556"/>
      <c r="IHI55" s="557"/>
      <c r="IHJ55" s="557"/>
      <c r="IHK55" s="557"/>
      <c r="IHL55" s="557"/>
      <c r="IHM55" s="557"/>
      <c r="IHN55" s="557"/>
      <c r="IHO55" s="557"/>
      <c r="IHP55" s="557"/>
      <c r="IHQ55" s="557"/>
      <c r="IHR55" s="557"/>
      <c r="IHS55" s="557"/>
      <c r="IHT55" s="557"/>
      <c r="IHU55" s="557"/>
      <c r="IHV55" s="557"/>
      <c r="IHW55" s="557"/>
      <c r="IHX55" s="557"/>
      <c r="IHY55" s="557"/>
      <c r="IHZ55" s="557"/>
      <c r="IIA55" s="661"/>
      <c r="IIB55" s="556"/>
      <c r="IIC55" s="557"/>
      <c r="IID55" s="557"/>
      <c r="IIE55" s="557"/>
      <c r="IIF55" s="557"/>
      <c r="IIG55" s="557"/>
      <c r="IIH55" s="557"/>
      <c r="III55" s="557"/>
      <c r="IIJ55" s="557"/>
      <c r="IIK55" s="557"/>
      <c r="IIL55" s="557"/>
      <c r="IIM55" s="557"/>
      <c r="IIN55" s="557"/>
      <c r="IIO55" s="557"/>
      <c r="IIP55" s="557"/>
      <c r="IIQ55" s="557"/>
      <c r="IIR55" s="557"/>
      <c r="IIS55" s="557"/>
      <c r="IIT55" s="557"/>
      <c r="IIU55" s="661"/>
      <c r="IIV55" s="556"/>
      <c r="IIW55" s="557"/>
      <c r="IIX55" s="557"/>
      <c r="IIY55" s="557"/>
      <c r="IIZ55" s="557"/>
      <c r="IJA55" s="557"/>
      <c r="IJB55" s="557"/>
      <c r="IJC55" s="557"/>
      <c r="IJD55" s="557"/>
      <c r="IJE55" s="557"/>
      <c r="IJF55" s="557"/>
      <c r="IJG55" s="557"/>
      <c r="IJH55" s="557"/>
      <c r="IJI55" s="557"/>
      <c r="IJJ55" s="557"/>
      <c r="IJK55" s="557"/>
      <c r="IJL55" s="557"/>
      <c r="IJM55" s="557"/>
      <c r="IJN55" s="557"/>
      <c r="IJO55" s="661"/>
      <c r="IJP55" s="556"/>
      <c r="IJQ55" s="557"/>
      <c r="IJR55" s="557"/>
      <c r="IJS55" s="557"/>
      <c r="IJT55" s="557"/>
      <c r="IJU55" s="557"/>
      <c r="IJV55" s="557"/>
      <c r="IJW55" s="557"/>
      <c r="IJX55" s="557"/>
      <c r="IJY55" s="557"/>
      <c r="IJZ55" s="557"/>
      <c r="IKA55" s="557"/>
      <c r="IKB55" s="557"/>
      <c r="IKC55" s="557"/>
      <c r="IKD55" s="557"/>
      <c r="IKE55" s="557"/>
      <c r="IKF55" s="557"/>
      <c r="IKG55" s="557"/>
      <c r="IKH55" s="557"/>
      <c r="IKI55" s="661"/>
      <c r="IKJ55" s="556"/>
      <c r="IKK55" s="557"/>
      <c r="IKL55" s="557"/>
      <c r="IKM55" s="557"/>
      <c r="IKN55" s="557"/>
      <c r="IKO55" s="557"/>
      <c r="IKP55" s="557"/>
      <c r="IKQ55" s="557"/>
      <c r="IKR55" s="557"/>
      <c r="IKS55" s="557"/>
      <c r="IKT55" s="557"/>
      <c r="IKU55" s="557"/>
      <c r="IKV55" s="557"/>
      <c r="IKW55" s="557"/>
      <c r="IKX55" s="557"/>
      <c r="IKY55" s="557"/>
      <c r="IKZ55" s="557"/>
      <c r="ILA55" s="557"/>
      <c r="ILB55" s="557"/>
      <c r="ILC55" s="661"/>
      <c r="ILD55" s="556"/>
      <c r="ILE55" s="557"/>
      <c r="ILF55" s="557"/>
      <c r="ILG55" s="557"/>
      <c r="ILH55" s="557"/>
      <c r="ILI55" s="557"/>
      <c r="ILJ55" s="557"/>
      <c r="ILK55" s="557"/>
      <c r="ILL55" s="557"/>
      <c r="ILM55" s="557"/>
      <c r="ILN55" s="557"/>
      <c r="ILO55" s="557"/>
      <c r="ILP55" s="557"/>
      <c r="ILQ55" s="557"/>
      <c r="ILR55" s="557"/>
      <c r="ILS55" s="557"/>
      <c r="ILT55" s="557"/>
      <c r="ILU55" s="557"/>
      <c r="ILV55" s="557"/>
      <c r="ILW55" s="661"/>
      <c r="ILX55" s="556"/>
      <c r="ILY55" s="557"/>
      <c r="ILZ55" s="557"/>
      <c r="IMA55" s="557"/>
      <c r="IMB55" s="557"/>
      <c r="IMC55" s="557"/>
      <c r="IMD55" s="557"/>
      <c r="IME55" s="557"/>
      <c r="IMF55" s="557"/>
      <c r="IMG55" s="557"/>
      <c r="IMH55" s="557"/>
      <c r="IMI55" s="557"/>
      <c r="IMJ55" s="557"/>
      <c r="IMK55" s="557"/>
      <c r="IML55" s="557"/>
      <c r="IMM55" s="557"/>
      <c r="IMN55" s="557"/>
      <c r="IMO55" s="557"/>
      <c r="IMP55" s="557"/>
      <c r="IMQ55" s="661"/>
      <c r="IMR55" s="556"/>
      <c r="IMS55" s="557"/>
      <c r="IMT55" s="557"/>
      <c r="IMU55" s="557"/>
      <c r="IMV55" s="557"/>
      <c r="IMW55" s="557"/>
      <c r="IMX55" s="557"/>
      <c r="IMY55" s="557"/>
      <c r="IMZ55" s="557"/>
      <c r="INA55" s="557"/>
      <c r="INB55" s="557"/>
      <c r="INC55" s="557"/>
      <c r="IND55" s="557"/>
      <c r="INE55" s="557"/>
      <c r="INF55" s="557"/>
      <c r="ING55" s="557"/>
      <c r="INH55" s="557"/>
      <c r="INI55" s="557"/>
      <c r="INJ55" s="557"/>
      <c r="INK55" s="661"/>
      <c r="INL55" s="556"/>
      <c r="INM55" s="557"/>
      <c r="INN55" s="557"/>
      <c r="INO55" s="557"/>
      <c r="INP55" s="557"/>
      <c r="INQ55" s="557"/>
      <c r="INR55" s="557"/>
      <c r="INS55" s="557"/>
      <c r="INT55" s="557"/>
      <c r="INU55" s="557"/>
      <c r="INV55" s="557"/>
      <c r="INW55" s="557"/>
      <c r="INX55" s="557"/>
      <c r="INY55" s="557"/>
      <c r="INZ55" s="557"/>
      <c r="IOA55" s="557"/>
      <c r="IOB55" s="557"/>
      <c r="IOC55" s="557"/>
      <c r="IOD55" s="557"/>
      <c r="IOE55" s="661"/>
      <c r="IOF55" s="556"/>
      <c r="IOG55" s="557"/>
      <c r="IOH55" s="557"/>
      <c r="IOI55" s="557"/>
      <c r="IOJ55" s="557"/>
      <c r="IOK55" s="557"/>
      <c r="IOL55" s="557"/>
      <c r="IOM55" s="557"/>
      <c r="ION55" s="557"/>
      <c r="IOO55" s="557"/>
      <c r="IOP55" s="557"/>
      <c r="IOQ55" s="557"/>
      <c r="IOR55" s="557"/>
      <c r="IOS55" s="557"/>
      <c r="IOT55" s="557"/>
      <c r="IOU55" s="557"/>
      <c r="IOV55" s="557"/>
      <c r="IOW55" s="557"/>
      <c r="IOX55" s="557"/>
      <c r="IOY55" s="661"/>
      <c r="IOZ55" s="556"/>
      <c r="IPA55" s="557"/>
      <c r="IPB55" s="557"/>
      <c r="IPC55" s="557"/>
      <c r="IPD55" s="557"/>
      <c r="IPE55" s="557"/>
      <c r="IPF55" s="557"/>
      <c r="IPG55" s="557"/>
      <c r="IPH55" s="557"/>
      <c r="IPI55" s="557"/>
      <c r="IPJ55" s="557"/>
      <c r="IPK55" s="557"/>
      <c r="IPL55" s="557"/>
      <c r="IPM55" s="557"/>
      <c r="IPN55" s="557"/>
      <c r="IPO55" s="557"/>
      <c r="IPP55" s="557"/>
      <c r="IPQ55" s="557"/>
      <c r="IPR55" s="557"/>
      <c r="IPS55" s="661"/>
      <c r="IPT55" s="556"/>
      <c r="IPU55" s="557"/>
      <c r="IPV55" s="557"/>
      <c r="IPW55" s="557"/>
      <c r="IPX55" s="557"/>
      <c r="IPY55" s="557"/>
      <c r="IPZ55" s="557"/>
      <c r="IQA55" s="557"/>
      <c r="IQB55" s="557"/>
      <c r="IQC55" s="557"/>
      <c r="IQD55" s="557"/>
      <c r="IQE55" s="557"/>
      <c r="IQF55" s="557"/>
      <c r="IQG55" s="557"/>
      <c r="IQH55" s="557"/>
      <c r="IQI55" s="557"/>
      <c r="IQJ55" s="557"/>
      <c r="IQK55" s="557"/>
      <c r="IQL55" s="557"/>
      <c r="IQM55" s="661"/>
      <c r="IQN55" s="556"/>
      <c r="IQO55" s="557"/>
      <c r="IQP55" s="557"/>
      <c r="IQQ55" s="557"/>
      <c r="IQR55" s="557"/>
      <c r="IQS55" s="557"/>
      <c r="IQT55" s="557"/>
      <c r="IQU55" s="557"/>
      <c r="IQV55" s="557"/>
      <c r="IQW55" s="557"/>
      <c r="IQX55" s="557"/>
      <c r="IQY55" s="557"/>
      <c r="IQZ55" s="557"/>
      <c r="IRA55" s="557"/>
      <c r="IRB55" s="557"/>
      <c r="IRC55" s="557"/>
      <c r="IRD55" s="557"/>
      <c r="IRE55" s="557"/>
      <c r="IRF55" s="557"/>
      <c r="IRG55" s="661"/>
      <c r="IRH55" s="556"/>
      <c r="IRI55" s="557"/>
      <c r="IRJ55" s="557"/>
      <c r="IRK55" s="557"/>
      <c r="IRL55" s="557"/>
      <c r="IRM55" s="557"/>
      <c r="IRN55" s="557"/>
      <c r="IRO55" s="557"/>
      <c r="IRP55" s="557"/>
      <c r="IRQ55" s="557"/>
      <c r="IRR55" s="557"/>
      <c r="IRS55" s="557"/>
      <c r="IRT55" s="557"/>
      <c r="IRU55" s="557"/>
      <c r="IRV55" s="557"/>
      <c r="IRW55" s="557"/>
      <c r="IRX55" s="557"/>
      <c r="IRY55" s="557"/>
      <c r="IRZ55" s="557"/>
      <c r="ISA55" s="661"/>
      <c r="ISB55" s="556"/>
      <c r="ISC55" s="557"/>
      <c r="ISD55" s="557"/>
      <c r="ISE55" s="557"/>
      <c r="ISF55" s="557"/>
      <c r="ISG55" s="557"/>
      <c r="ISH55" s="557"/>
      <c r="ISI55" s="557"/>
      <c r="ISJ55" s="557"/>
      <c r="ISK55" s="557"/>
      <c r="ISL55" s="557"/>
      <c r="ISM55" s="557"/>
      <c r="ISN55" s="557"/>
      <c r="ISO55" s="557"/>
      <c r="ISP55" s="557"/>
      <c r="ISQ55" s="557"/>
      <c r="ISR55" s="557"/>
      <c r="ISS55" s="557"/>
      <c r="IST55" s="557"/>
      <c r="ISU55" s="661"/>
      <c r="ISV55" s="556"/>
      <c r="ISW55" s="557"/>
      <c r="ISX55" s="557"/>
      <c r="ISY55" s="557"/>
      <c r="ISZ55" s="557"/>
      <c r="ITA55" s="557"/>
      <c r="ITB55" s="557"/>
      <c r="ITC55" s="557"/>
      <c r="ITD55" s="557"/>
      <c r="ITE55" s="557"/>
      <c r="ITF55" s="557"/>
      <c r="ITG55" s="557"/>
      <c r="ITH55" s="557"/>
      <c r="ITI55" s="557"/>
      <c r="ITJ55" s="557"/>
      <c r="ITK55" s="557"/>
      <c r="ITL55" s="557"/>
      <c r="ITM55" s="557"/>
      <c r="ITN55" s="557"/>
      <c r="ITO55" s="661"/>
      <c r="ITP55" s="556"/>
      <c r="ITQ55" s="557"/>
      <c r="ITR55" s="557"/>
      <c r="ITS55" s="557"/>
      <c r="ITT55" s="557"/>
      <c r="ITU55" s="557"/>
      <c r="ITV55" s="557"/>
      <c r="ITW55" s="557"/>
      <c r="ITX55" s="557"/>
      <c r="ITY55" s="557"/>
      <c r="ITZ55" s="557"/>
      <c r="IUA55" s="557"/>
      <c r="IUB55" s="557"/>
      <c r="IUC55" s="557"/>
      <c r="IUD55" s="557"/>
      <c r="IUE55" s="557"/>
      <c r="IUF55" s="557"/>
      <c r="IUG55" s="557"/>
      <c r="IUH55" s="557"/>
      <c r="IUI55" s="661"/>
      <c r="IUJ55" s="556"/>
      <c r="IUK55" s="557"/>
      <c r="IUL55" s="557"/>
      <c r="IUM55" s="557"/>
      <c r="IUN55" s="557"/>
      <c r="IUO55" s="557"/>
      <c r="IUP55" s="557"/>
      <c r="IUQ55" s="557"/>
      <c r="IUR55" s="557"/>
      <c r="IUS55" s="557"/>
      <c r="IUT55" s="557"/>
      <c r="IUU55" s="557"/>
      <c r="IUV55" s="557"/>
      <c r="IUW55" s="557"/>
      <c r="IUX55" s="557"/>
      <c r="IUY55" s="557"/>
      <c r="IUZ55" s="557"/>
      <c r="IVA55" s="557"/>
      <c r="IVB55" s="557"/>
      <c r="IVC55" s="661"/>
      <c r="IVD55" s="556"/>
      <c r="IVE55" s="557"/>
      <c r="IVF55" s="557"/>
      <c r="IVG55" s="557"/>
      <c r="IVH55" s="557"/>
      <c r="IVI55" s="557"/>
      <c r="IVJ55" s="557"/>
      <c r="IVK55" s="557"/>
      <c r="IVL55" s="557"/>
      <c r="IVM55" s="557"/>
      <c r="IVN55" s="557"/>
      <c r="IVO55" s="557"/>
      <c r="IVP55" s="557"/>
      <c r="IVQ55" s="557"/>
      <c r="IVR55" s="557"/>
      <c r="IVS55" s="557"/>
      <c r="IVT55" s="557"/>
      <c r="IVU55" s="557"/>
      <c r="IVV55" s="557"/>
      <c r="IVW55" s="661"/>
      <c r="IVX55" s="556"/>
      <c r="IVY55" s="557"/>
      <c r="IVZ55" s="557"/>
      <c r="IWA55" s="557"/>
      <c r="IWB55" s="557"/>
      <c r="IWC55" s="557"/>
      <c r="IWD55" s="557"/>
      <c r="IWE55" s="557"/>
      <c r="IWF55" s="557"/>
      <c r="IWG55" s="557"/>
      <c r="IWH55" s="557"/>
      <c r="IWI55" s="557"/>
      <c r="IWJ55" s="557"/>
      <c r="IWK55" s="557"/>
      <c r="IWL55" s="557"/>
      <c r="IWM55" s="557"/>
      <c r="IWN55" s="557"/>
      <c r="IWO55" s="557"/>
      <c r="IWP55" s="557"/>
      <c r="IWQ55" s="661"/>
      <c r="IWR55" s="556"/>
      <c r="IWS55" s="557"/>
      <c r="IWT55" s="557"/>
      <c r="IWU55" s="557"/>
      <c r="IWV55" s="557"/>
      <c r="IWW55" s="557"/>
      <c r="IWX55" s="557"/>
      <c r="IWY55" s="557"/>
      <c r="IWZ55" s="557"/>
      <c r="IXA55" s="557"/>
      <c r="IXB55" s="557"/>
      <c r="IXC55" s="557"/>
      <c r="IXD55" s="557"/>
      <c r="IXE55" s="557"/>
      <c r="IXF55" s="557"/>
      <c r="IXG55" s="557"/>
      <c r="IXH55" s="557"/>
      <c r="IXI55" s="557"/>
      <c r="IXJ55" s="557"/>
      <c r="IXK55" s="661"/>
      <c r="IXL55" s="556"/>
      <c r="IXM55" s="557"/>
      <c r="IXN55" s="557"/>
      <c r="IXO55" s="557"/>
      <c r="IXP55" s="557"/>
      <c r="IXQ55" s="557"/>
      <c r="IXR55" s="557"/>
      <c r="IXS55" s="557"/>
      <c r="IXT55" s="557"/>
      <c r="IXU55" s="557"/>
      <c r="IXV55" s="557"/>
      <c r="IXW55" s="557"/>
      <c r="IXX55" s="557"/>
      <c r="IXY55" s="557"/>
      <c r="IXZ55" s="557"/>
      <c r="IYA55" s="557"/>
      <c r="IYB55" s="557"/>
      <c r="IYC55" s="557"/>
      <c r="IYD55" s="557"/>
      <c r="IYE55" s="661"/>
      <c r="IYF55" s="556"/>
      <c r="IYG55" s="557"/>
      <c r="IYH55" s="557"/>
      <c r="IYI55" s="557"/>
      <c r="IYJ55" s="557"/>
      <c r="IYK55" s="557"/>
      <c r="IYL55" s="557"/>
      <c r="IYM55" s="557"/>
      <c r="IYN55" s="557"/>
      <c r="IYO55" s="557"/>
      <c r="IYP55" s="557"/>
      <c r="IYQ55" s="557"/>
      <c r="IYR55" s="557"/>
      <c r="IYS55" s="557"/>
      <c r="IYT55" s="557"/>
      <c r="IYU55" s="557"/>
      <c r="IYV55" s="557"/>
      <c r="IYW55" s="557"/>
      <c r="IYX55" s="557"/>
      <c r="IYY55" s="661"/>
      <c r="IYZ55" s="556"/>
      <c r="IZA55" s="557"/>
      <c r="IZB55" s="557"/>
      <c r="IZC55" s="557"/>
      <c r="IZD55" s="557"/>
      <c r="IZE55" s="557"/>
      <c r="IZF55" s="557"/>
      <c r="IZG55" s="557"/>
      <c r="IZH55" s="557"/>
      <c r="IZI55" s="557"/>
      <c r="IZJ55" s="557"/>
      <c r="IZK55" s="557"/>
      <c r="IZL55" s="557"/>
      <c r="IZM55" s="557"/>
      <c r="IZN55" s="557"/>
      <c r="IZO55" s="557"/>
      <c r="IZP55" s="557"/>
      <c r="IZQ55" s="557"/>
      <c r="IZR55" s="557"/>
      <c r="IZS55" s="661"/>
      <c r="IZT55" s="556"/>
      <c r="IZU55" s="557"/>
      <c r="IZV55" s="557"/>
      <c r="IZW55" s="557"/>
      <c r="IZX55" s="557"/>
      <c r="IZY55" s="557"/>
      <c r="IZZ55" s="557"/>
      <c r="JAA55" s="557"/>
      <c r="JAB55" s="557"/>
      <c r="JAC55" s="557"/>
      <c r="JAD55" s="557"/>
      <c r="JAE55" s="557"/>
      <c r="JAF55" s="557"/>
      <c r="JAG55" s="557"/>
      <c r="JAH55" s="557"/>
      <c r="JAI55" s="557"/>
      <c r="JAJ55" s="557"/>
      <c r="JAK55" s="557"/>
      <c r="JAL55" s="557"/>
      <c r="JAM55" s="661"/>
      <c r="JAN55" s="556"/>
      <c r="JAO55" s="557"/>
      <c r="JAP55" s="557"/>
      <c r="JAQ55" s="557"/>
      <c r="JAR55" s="557"/>
      <c r="JAS55" s="557"/>
      <c r="JAT55" s="557"/>
      <c r="JAU55" s="557"/>
      <c r="JAV55" s="557"/>
      <c r="JAW55" s="557"/>
      <c r="JAX55" s="557"/>
      <c r="JAY55" s="557"/>
      <c r="JAZ55" s="557"/>
      <c r="JBA55" s="557"/>
      <c r="JBB55" s="557"/>
      <c r="JBC55" s="557"/>
      <c r="JBD55" s="557"/>
      <c r="JBE55" s="557"/>
      <c r="JBF55" s="557"/>
      <c r="JBG55" s="661"/>
      <c r="JBH55" s="556"/>
      <c r="JBI55" s="557"/>
      <c r="JBJ55" s="557"/>
      <c r="JBK55" s="557"/>
      <c r="JBL55" s="557"/>
      <c r="JBM55" s="557"/>
      <c r="JBN55" s="557"/>
      <c r="JBO55" s="557"/>
      <c r="JBP55" s="557"/>
      <c r="JBQ55" s="557"/>
      <c r="JBR55" s="557"/>
      <c r="JBS55" s="557"/>
      <c r="JBT55" s="557"/>
      <c r="JBU55" s="557"/>
      <c r="JBV55" s="557"/>
      <c r="JBW55" s="557"/>
      <c r="JBX55" s="557"/>
      <c r="JBY55" s="557"/>
      <c r="JBZ55" s="557"/>
      <c r="JCA55" s="661"/>
      <c r="JCB55" s="556"/>
      <c r="JCC55" s="557"/>
      <c r="JCD55" s="557"/>
      <c r="JCE55" s="557"/>
      <c r="JCF55" s="557"/>
      <c r="JCG55" s="557"/>
      <c r="JCH55" s="557"/>
      <c r="JCI55" s="557"/>
      <c r="JCJ55" s="557"/>
      <c r="JCK55" s="557"/>
      <c r="JCL55" s="557"/>
      <c r="JCM55" s="557"/>
      <c r="JCN55" s="557"/>
      <c r="JCO55" s="557"/>
      <c r="JCP55" s="557"/>
      <c r="JCQ55" s="557"/>
      <c r="JCR55" s="557"/>
      <c r="JCS55" s="557"/>
      <c r="JCT55" s="557"/>
      <c r="JCU55" s="661"/>
      <c r="JCV55" s="556"/>
      <c r="JCW55" s="557"/>
      <c r="JCX55" s="557"/>
      <c r="JCY55" s="557"/>
      <c r="JCZ55" s="557"/>
      <c r="JDA55" s="557"/>
      <c r="JDB55" s="557"/>
      <c r="JDC55" s="557"/>
      <c r="JDD55" s="557"/>
      <c r="JDE55" s="557"/>
      <c r="JDF55" s="557"/>
      <c r="JDG55" s="557"/>
      <c r="JDH55" s="557"/>
      <c r="JDI55" s="557"/>
      <c r="JDJ55" s="557"/>
      <c r="JDK55" s="557"/>
      <c r="JDL55" s="557"/>
      <c r="JDM55" s="557"/>
      <c r="JDN55" s="557"/>
      <c r="JDO55" s="661"/>
      <c r="JDP55" s="556"/>
      <c r="JDQ55" s="557"/>
      <c r="JDR55" s="557"/>
      <c r="JDS55" s="557"/>
      <c r="JDT55" s="557"/>
      <c r="JDU55" s="557"/>
      <c r="JDV55" s="557"/>
      <c r="JDW55" s="557"/>
      <c r="JDX55" s="557"/>
      <c r="JDY55" s="557"/>
      <c r="JDZ55" s="557"/>
      <c r="JEA55" s="557"/>
      <c r="JEB55" s="557"/>
      <c r="JEC55" s="557"/>
      <c r="JED55" s="557"/>
      <c r="JEE55" s="557"/>
      <c r="JEF55" s="557"/>
      <c r="JEG55" s="557"/>
      <c r="JEH55" s="557"/>
      <c r="JEI55" s="661"/>
      <c r="JEJ55" s="556"/>
      <c r="JEK55" s="557"/>
      <c r="JEL55" s="557"/>
      <c r="JEM55" s="557"/>
      <c r="JEN55" s="557"/>
      <c r="JEO55" s="557"/>
      <c r="JEP55" s="557"/>
      <c r="JEQ55" s="557"/>
      <c r="JER55" s="557"/>
      <c r="JES55" s="557"/>
      <c r="JET55" s="557"/>
      <c r="JEU55" s="557"/>
      <c r="JEV55" s="557"/>
      <c r="JEW55" s="557"/>
      <c r="JEX55" s="557"/>
      <c r="JEY55" s="557"/>
      <c r="JEZ55" s="557"/>
      <c r="JFA55" s="557"/>
      <c r="JFB55" s="557"/>
      <c r="JFC55" s="661"/>
      <c r="JFD55" s="556"/>
      <c r="JFE55" s="557"/>
      <c r="JFF55" s="557"/>
      <c r="JFG55" s="557"/>
      <c r="JFH55" s="557"/>
      <c r="JFI55" s="557"/>
      <c r="JFJ55" s="557"/>
      <c r="JFK55" s="557"/>
      <c r="JFL55" s="557"/>
      <c r="JFM55" s="557"/>
      <c r="JFN55" s="557"/>
      <c r="JFO55" s="557"/>
      <c r="JFP55" s="557"/>
      <c r="JFQ55" s="557"/>
      <c r="JFR55" s="557"/>
      <c r="JFS55" s="557"/>
      <c r="JFT55" s="557"/>
      <c r="JFU55" s="557"/>
      <c r="JFV55" s="557"/>
      <c r="JFW55" s="661"/>
      <c r="JFX55" s="556"/>
      <c r="JFY55" s="557"/>
      <c r="JFZ55" s="557"/>
      <c r="JGA55" s="557"/>
      <c r="JGB55" s="557"/>
      <c r="JGC55" s="557"/>
      <c r="JGD55" s="557"/>
      <c r="JGE55" s="557"/>
      <c r="JGF55" s="557"/>
      <c r="JGG55" s="557"/>
      <c r="JGH55" s="557"/>
      <c r="JGI55" s="557"/>
      <c r="JGJ55" s="557"/>
      <c r="JGK55" s="557"/>
      <c r="JGL55" s="557"/>
      <c r="JGM55" s="557"/>
      <c r="JGN55" s="557"/>
      <c r="JGO55" s="557"/>
      <c r="JGP55" s="557"/>
      <c r="JGQ55" s="661"/>
      <c r="JGR55" s="556"/>
      <c r="JGS55" s="557"/>
      <c r="JGT55" s="557"/>
      <c r="JGU55" s="557"/>
      <c r="JGV55" s="557"/>
      <c r="JGW55" s="557"/>
      <c r="JGX55" s="557"/>
      <c r="JGY55" s="557"/>
      <c r="JGZ55" s="557"/>
      <c r="JHA55" s="557"/>
      <c r="JHB55" s="557"/>
      <c r="JHC55" s="557"/>
      <c r="JHD55" s="557"/>
      <c r="JHE55" s="557"/>
      <c r="JHF55" s="557"/>
      <c r="JHG55" s="557"/>
      <c r="JHH55" s="557"/>
      <c r="JHI55" s="557"/>
      <c r="JHJ55" s="557"/>
      <c r="JHK55" s="661"/>
      <c r="JHL55" s="556"/>
      <c r="JHM55" s="557"/>
      <c r="JHN55" s="557"/>
      <c r="JHO55" s="557"/>
      <c r="JHP55" s="557"/>
      <c r="JHQ55" s="557"/>
      <c r="JHR55" s="557"/>
      <c r="JHS55" s="557"/>
      <c r="JHT55" s="557"/>
      <c r="JHU55" s="557"/>
      <c r="JHV55" s="557"/>
      <c r="JHW55" s="557"/>
      <c r="JHX55" s="557"/>
      <c r="JHY55" s="557"/>
      <c r="JHZ55" s="557"/>
      <c r="JIA55" s="557"/>
      <c r="JIB55" s="557"/>
      <c r="JIC55" s="557"/>
      <c r="JID55" s="557"/>
      <c r="JIE55" s="661"/>
      <c r="JIF55" s="556"/>
      <c r="JIG55" s="557"/>
      <c r="JIH55" s="557"/>
      <c r="JII55" s="557"/>
      <c r="JIJ55" s="557"/>
      <c r="JIK55" s="557"/>
      <c r="JIL55" s="557"/>
      <c r="JIM55" s="557"/>
      <c r="JIN55" s="557"/>
      <c r="JIO55" s="557"/>
      <c r="JIP55" s="557"/>
      <c r="JIQ55" s="557"/>
      <c r="JIR55" s="557"/>
      <c r="JIS55" s="557"/>
      <c r="JIT55" s="557"/>
      <c r="JIU55" s="557"/>
      <c r="JIV55" s="557"/>
      <c r="JIW55" s="557"/>
      <c r="JIX55" s="557"/>
      <c r="JIY55" s="661"/>
      <c r="JIZ55" s="556"/>
      <c r="JJA55" s="557"/>
      <c r="JJB55" s="557"/>
      <c r="JJC55" s="557"/>
      <c r="JJD55" s="557"/>
      <c r="JJE55" s="557"/>
      <c r="JJF55" s="557"/>
      <c r="JJG55" s="557"/>
      <c r="JJH55" s="557"/>
      <c r="JJI55" s="557"/>
      <c r="JJJ55" s="557"/>
      <c r="JJK55" s="557"/>
      <c r="JJL55" s="557"/>
      <c r="JJM55" s="557"/>
      <c r="JJN55" s="557"/>
      <c r="JJO55" s="557"/>
      <c r="JJP55" s="557"/>
      <c r="JJQ55" s="557"/>
      <c r="JJR55" s="557"/>
      <c r="JJS55" s="661"/>
      <c r="JJT55" s="556"/>
      <c r="JJU55" s="557"/>
      <c r="JJV55" s="557"/>
      <c r="JJW55" s="557"/>
      <c r="JJX55" s="557"/>
      <c r="JJY55" s="557"/>
      <c r="JJZ55" s="557"/>
      <c r="JKA55" s="557"/>
      <c r="JKB55" s="557"/>
      <c r="JKC55" s="557"/>
      <c r="JKD55" s="557"/>
      <c r="JKE55" s="557"/>
      <c r="JKF55" s="557"/>
      <c r="JKG55" s="557"/>
      <c r="JKH55" s="557"/>
      <c r="JKI55" s="557"/>
      <c r="JKJ55" s="557"/>
      <c r="JKK55" s="557"/>
      <c r="JKL55" s="557"/>
      <c r="JKM55" s="661"/>
      <c r="JKN55" s="556"/>
      <c r="JKO55" s="557"/>
      <c r="JKP55" s="557"/>
      <c r="JKQ55" s="557"/>
      <c r="JKR55" s="557"/>
      <c r="JKS55" s="557"/>
      <c r="JKT55" s="557"/>
      <c r="JKU55" s="557"/>
      <c r="JKV55" s="557"/>
      <c r="JKW55" s="557"/>
      <c r="JKX55" s="557"/>
      <c r="JKY55" s="557"/>
      <c r="JKZ55" s="557"/>
      <c r="JLA55" s="557"/>
      <c r="JLB55" s="557"/>
      <c r="JLC55" s="557"/>
      <c r="JLD55" s="557"/>
      <c r="JLE55" s="557"/>
      <c r="JLF55" s="557"/>
      <c r="JLG55" s="661"/>
      <c r="JLH55" s="556"/>
      <c r="JLI55" s="557"/>
      <c r="JLJ55" s="557"/>
      <c r="JLK55" s="557"/>
      <c r="JLL55" s="557"/>
      <c r="JLM55" s="557"/>
      <c r="JLN55" s="557"/>
      <c r="JLO55" s="557"/>
      <c r="JLP55" s="557"/>
      <c r="JLQ55" s="557"/>
      <c r="JLR55" s="557"/>
      <c r="JLS55" s="557"/>
      <c r="JLT55" s="557"/>
      <c r="JLU55" s="557"/>
      <c r="JLV55" s="557"/>
      <c r="JLW55" s="557"/>
      <c r="JLX55" s="557"/>
      <c r="JLY55" s="557"/>
      <c r="JLZ55" s="557"/>
      <c r="JMA55" s="661"/>
      <c r="JMB55" s="556"/>
      <c r="JMC55" s="557"/>
      <c r="JMD55" s="557"/>
      <c r="JME55" s="557"/>
      <c r="JMF55" s="557"/>
      <c r="JMG55" s="557"/>
      <c r="JMH55" s="557"/>
      <c r="JMI55" s="557"/>
      <c r="JMJ55" s="557"/>
      <c r="JMK55" s="557"/>
      <c r="JML55" s="557"/>
      <c r="JMM55" s="557"/>
      <c r="JMN55" s="557"/>
      <c r="JMO55" s="557"/>
      <c r="JMP55" s="557"/>
      <c r="JMQ55" s="557"/>
      <c r="JMR55" s="557"/>
      <c r="JMS55" s="557"/>
      <c r="JMT55" s="557"/>
      <c r="JMU55" s="661"/>
      <c r="JMV55" s="556"/>
      <c r="JMW55" s="557"/>
      <c r="JMX55" s="557"/>
      <c r="JMY55" s="557"/>
      <c r="JMZ55" s="557"/>
      <c r="JNA55" s="557"/>
      <c r="JNB55" s="557"/>
      <c r="JNC55" s="557"/>
      <c r="JND55" s="557"/>
      <c r="JNE55" s="557"/>
      <c r="JNF55" s="557"/>
      <c r="JNG55" s="557"/>
      <c r="JNH55" s="557"/>
      <c r="JNI55" s="557"/>
      <c r="JNJ55" s="557"/>
      <c r="JNK55" s="557"/>
      <c r="JNL55" s="557"/>
      <c r="JNM55" s="557"/>
      <c r="JNN55" s="557"/>
      <c r="JNO55" s="661"/>
      <c r="JNP55" s="556"/>
      <c r="JNQ55" s="557"/>
      <c r="JNR55" s="557"/>
      <c r="JNS55" s="557"/>
      <c r="JNT55" s="557"/>
      <c r="JNU55" s="557"/>
      <c r="JNV55" s="557"/>
      <c r="JNW55" s="557"/>
      <c r="JNX55" s="557"/>
      <c r="JNY55" s="557"/>
      <c r="JNZ55" s="557"/>
      <c r="JOA55" s="557"/>
      <c r="JOB55" s="557"/>
      <c r="JOC55" s="557"/>
      <c r="JOD55" s="557"/>
      <c r="JOE55" s="557"/>
      <c r="JOF55" s="557"/>
      <c r="JOG55" s="557"/>
      <c r="JOH55" s="557"/>
      <c r="JOI55" s="661"/>
      <c r="JOJ55" s="556"/>
      <c r="JOK55" s="557"/>
      <c r="JOL55" s="557"/>
      <c r="JOM55" s="557"/>
      <c r="JON55" s="557"/>
      <c r="JOO55" s="557"/>
      <c r="JOP55" s="557"/>
      <c r="JOQ55" s="557"/>
      <c r="JOR55" s="557"/>
      <c r="JOS55" s="557"/>
      <c r="JOT55" s="557"/>
      <c r="JOU55" s="557"/>
      <c r="JOV55" s="557"/>
      <c r="JOW55" s="557"/>
      <c r="JOX55" s="557"/>
      <c r="JOY55" s="557"/>
      <c r="JOZ55" s="557"/>
      <c r="JPA55" s="557"/>
      <c r="JPB55" s="557"/>
      <c r="JPC55" s="661"/>
      <c r="JPD55" s="556"/>
      <c r="JPE55" s="557"/>
      <c r="JPF55" s="557"/>
      <c r="JPG55" s="557"/>
      <c r="JPH55" s="557"/>
      <c r="JPI55" s="557"/>
      <c r="JPJ55" s="557"/>
      <c r="JPK55" s="557"/>
      <c r="JPL55" s="557"/>
      <c r="JPM55" s="557"/>
      <c r="JPN55" s="557"/>
      <c r="JPO55" s="557"/>
      <c r="JPP55" s="557"/>
      <c r="JPQ55" s="557"/>
      <c r="JPR55" s="557"/>
      <c r="JPS55" s="557"/>
      <c r="JPT55" s="557"/>
      <c r="JPU55" s="557"/>
      <c r="JPV55" s="557"/>
      <c r="JPW55" s="661"/>
      <c r="JPX55" s="556"/>
      <c r="JPY55" s="557"/>
      <c r="JPZ55" s="557"/>
      <c r="JQA55" s="557"/>
      <c r="JQB55" s="557"/>
      <c r="JQC55" s="557"/>
      <c r="JQD55" s="557"/>
      <c r="JQE55" s="557"/>
      <c r="JQF55" s="557"/>
      <c r="JQG55" s="557"/>
      <c r="JQH55" s="557"/>
      <c r="JQI55" s="557"/>
      <c r="JQJ55" s="557"/>
      <c r="JQK55" s="557"/>
      <c r="JQL55" s="557"/>
      <c r="JQM55" s="557"/>
      <c r="JQN55" s="557"/>
      <c r="JQO55" s="557"/>
      <c r="JQP55" s="557"/>
      <c r="JQQ55" s="661"/>
      <c r="JQR55" s="556"/>
      <c r="JQS55" s="557"/>
      <c r="JQT55" s="557"/>
      <c r="JQU55" s="557"/>
      <c r="JQV55" s="557"/>
      <c r="JQW55" s="557"/>
      <c r="JQX55" s="557"/>
      <c r="JQY55" s="557"/>
      <c r="JQZ55" s="557"/>
      <c r="JRA55" s="557"/>
      <c r="JRB55" s="557"/>
      <c r="JRC55" s="557"/>
      <c r="JRD55" s="557"/>
      <c r="JRE55" s="557"/>
      <c r="JRF55" s="557"/>
      <c r="JRG55" s="557"/>
      <c r="JRH55" s="557"/>
      <c r="JRI55" s="557"/>
      <c r="JRJ55" s="557"/>
      <c r="JRK55" s="661"/>
      <c r="JRL55" s="556"/>
      <c r="JRM55" s="557"/>
      <c r="JRN55" s="557"/>
      <c r="JRO55" s="557"/>
      <c r="JRP55" s="557"/>
      <c r="JRQ55" s="557"/>
      <c r="JRR55" s="557"/>
      <c r="JRS55" s="557"/>
      <c r="JRT55" s="557"/>
      <c r="JRU55" s="557"/>
      <c r="JRV55" s="557"/>
      <c r="JRW55" s="557"/>
      <c r="JRX55" s="557"/>
      <c r="JRY55" s="557"/>
      <c r="JRZ55" s="557"/>
      <c r="JSA55" s="557"/>
      <c r="JSB55" s="557"/>
      <c r="JSC55" s="557"/>
      <c r="JSD55" s="557"/>
      <c r="JSE55" s="661"/>
      <c r="JSF55" s="556"/>
      <c r="JSG55" s="557"/>
      <c r="JSH55" s="557"/>
      <c r="JSI55" s="557"/>
      <c r="JSJ55" s="557"/>
      <c r="JSK55" s="557"/>
      <c r="JSL55" s="557"/>
      <c r="JSM55" s="557"/>
      <c r="JSN55" s="557"/>
      <c r="JSO55" s="557"/>
      <c r="JSP55" s="557"/>
      <c r="JSQ55" s="557"/>
      <c r="JSR55" s="557"/>
      <c r="JSS55" s="557"/>
      <c r="JST55" s="557"/>
      <c r="JSU55" s="557"/>
      <c r="JSV55" s="557"/>
      <c r="JSW55" s="557"/>
      <c r="JSX55" s="557"/>
      <c r="JSY55" s="661"/>
      <c r="JSZ55" s="556"/>
      <c r="JTA55" s="557"/>
      <c r="JTB55" s="557"/>
      <c r="JTC55" s="557"/>
      <c r="JTD55" s="557"/>
      <c r="JTE55" s="557"/>
      <c r="JTF55" s="557"/>
      <c r="JTG55" s="557"/>
      <c r="JTH55" s="557"/>
      <c r="JTI55" s="557"/>
      <c r="JTJ55" s="557"/>
      <c r="JTK55" s="557"/>
      <c r="JTL55" s="557"/>
      <c r="JTM55" s="557"/>
      <c r="JTN55" s="557"/>
      <c r="JTO55" s="557"/>
      <c r="JTP55" s="557"/>
      <c r="JTQ55" s="557"/>
      <c r="JTR55" s="557"/>
      <c r="JTS55" s="661"/>
      <c r="JTT55" s="556"/>
      <c r="JTU55" s="557"/>
      <c r="JTV55" s="557"/>
      <c r="JTW55" s="557"/>
      <c r="JTX55" s="557"/>
      <c r="JTY55" s="557"/>
      <c r="JTZ55" s="557"/>
      <c r="JUA55" s="557"/>
      <c r="JUB55" s="557"/>
      <c r="JUC55" s="557"/>
      <c r="JUD55" s="557"/>
      <c r="JUE55" s="557"/>
      <c r="JUF55" s="557"/>
      <c r="JUG55" s="557"/>
      <c r="JUH55" s="557"/>
      <c r="JUI55" s="557"/>
      <c r="JUJ55" s="557"/>
      <c r="JUK55" s="557"/>
      <c r="JUL55" s="557"/>
      <c r="JUM55" s="661"/>
      <c r="JUN55" s="556"/>
      <c r="JUO55" s="557"/>
      <c r="JUP55" s="557"/>
      <c r="JUQ55" s="557"/>
      <c r="JUR55" s="557"/>
      <c r="JUS55" s="557"/>
      <c r="JUT55" s="557"/>
      <c r="JUU55" s="557"/>
      <c r="JUV55" s="557"/>
      <c r="JUW55" s="557"/>
      <c r="JUX55" s="557"/>
      <c r="JUY55" s="557"/>
      <c r="JUZ55" s="557"/>
      <c r="JVA55" s="557"/>
      <c r="JVB55" s="557"/>
      <c r="JVC55" s="557"/>
      <c r="JVD55" s="557"/>
      <c r="JVE55" s="557"/>
      <c r="JVF55" s="557"/>
      <c r="JVG55" s="661"/>
      <c r="JVH55" s="556"/>
      <c r="JVI55" s="557"/>
      <c r="JVJ55" s="557"/>
      <c r="JVK55" s="557"/>
      <c r="JVL55" s="557"/>
      <c r="JVM55" s="557"/>
      <c r="JVN55" s="557"/>
      <c r="JVO55" s="557"/>
      <c r="JVP55" s="557"/>
      <c r="JVQ55" s="557"/>
      <c r="JVR55" s="557"/>
      <c r="JVS55" s="557"/>
      <c r="JVT55" s="557"/>
      <c r="JVU55" s="557"/>
      <c r="JVV55" s="557"/>
      <c r="JVW55" s="557"/>
      <c r="JVX55" s="557"/>
      <c r="JVY55" s="557"/>
      <c r="JVZ55" s="557"/>
      <c r="JWA55" s="661"/>
      <c r="JWB55" s="556"/>
      <c r="JWC55" s="557"/>
      <c r="JWD55" s="557"/>
      <c r="JWE55" s="557"/>
      <c r="JWF55" s="557"/>
      <c r="JWG55" s="557"/>
      <c r="JWH55" s="557"/>
      <c r="JWI55" s="557"/>
      <c r="JWJ55" s="557"/>
      <c r="JWK55" s="557"/>
      <c r="JWL55" s="557"/>
      <c r="JWM55" s="557"/>
      <c r="JWN55" s="557"/>
      <c r="JWO55" s="557"/>
      <c r="JWP55" s="557"/>
      <c r="JWQ55" s="557"/>
      <c r="JWR55" s="557"/>
      <c r="JWS55" s="557"/>
      <c r="JWT55" s="557"/>
      <c r="JWU55" s="661"/>
      <c r="JWV55" s="556"/>
      <c r="JWW55" s="557"/>
      <c r="JWX55" s="557"/>
      <c r="JWY55" s="557"/>
      <c r="JWZ55" s="557"/>
      <c r="JXA55" s="557"/>
      <c r="JXB55" s="557"/>
      <c r="JXC55" s="557"/>
      <c r="JXD55" s="557"/>
      <c r="JXE55" s="557"/>
      <c r="JXF55" s="557"/>
      <c r="JXG55" s="557"/>
      <c r="JXH55" s="557"/>
      <c r="JXI55" s="557"/>
      <c r="JXJ55" s="557"/>
      <c r="JXK55" s="557"/>
      <c r="JXL55" s="557"/>
      <c r="JXM55" s="557"/>
      <c r="JXN55" s="557"/>
      <c r="JXO55" s="661"/>
      <c r="JXP55" s="556"/>
      <c r="JXQ55" s="557"/>
      <c r="JXR55" s="557"/>
      <c r="JXS55" s="557"/>
      <c r="JXT55" s="557"/>
      <c r="JXU55" s="557"/>
      <c r="JXV55" s="557"/>
      <c r="JXW55" s="557"/>
      <c r="JXX55" s="557"/>
      <c r="JXY55" s="557"/>
      <c r="JXZ55" s="557"/>
      <c r="JYA55" s="557"/>
      <c r="JYB55" s="557"/>
      <c r="JYC55" s="557"/>
      <c r="JYD55" s="557"/>
      <c r="JYE55" s="557"/>
      <c r="JYF55" s="557"/>
      <c r="JYG55" s="557"/>
      <c r="JYH55" s="557"/>
      <c r="JYI55" s="661"/>
      <c r="JYJ55" s="556"/>
      <c r="JYK55" s="557"/>
      <c r="JYL55" s="557"/>
      <c r="JYM55" s="557"/>
      <c r="JYN55" s="557"/>
      <c r="JYO55" s="557"/>
      <c r="JYP55" s="557"/>
      <c r="JYQ55" s="557"/>
      <c r="JYR55" s="557"/>
      <c r="JYS55" s="557"/>
      <c r="JYT55" s="557"/>
      <c r="JYU55" s="557"/>
      <c r="JYV55" s="557"/>
      <c r="JYW55" s="557"/>
      <c r="JYX55" s="557"/>
      <c r="JYY55" s="557"/>
      <c r="JYZ55" s="557"/>
      <c r="JZA55" s="557"/>
      <c r="JZB55" s="557"/>
      <c r="JZC55" s="661"/>
      <c r="JZD55" s="556"/>
      <c r="JZE55" s="557"/>
      <c r="JZF55" s="557"/>
      <c r="JZG55" s="557"/>
      <c r="JZH55" s="557"/>
      <c r="JZI55" s="557"/>
      <c r="JZJ55" s="557"/>
      <c r="JZK55" s="557"/>
      <c r="JZL55" s="557"/>
      <c r="JZM55" s="557"/>
      <c r="JZN55" s="557"/>
      <c r="JZO55" s="557"/>
      <c r="JZP55" s="557"/>
      <c r="JZQ55" s="557"/>
      <c r="JZR55" s="557"/>
      <c r="JZS55" s="557"/>
      <c r="JZT55" s="557"/>
      <c r="JZU55" s="557"/>
      <c r="JZV55" s="557"/>
      <c r="JZW55" s="661"/>
      <c r="JZX55" s="556"/>
      <c r="JZY55" s="557"/>
      <c r="JZZ55" s="557"/>
      <c r="KAA55" s="557"/>
      <c r="KAB55" s="557"/>
      <c r="KAC55" s="557"/>
      <c r="KAD55" s="557"/>
      <c r="KAE55" s="557"/>
      <c r="KAF55" s="557"/>
      <c r="KAG55" s="557"/>
      <c r="KAH55" s="557"/>
      <c r="KAI55" s="557"/>
      <c r="KAJ55" s="557"/>
      <c r="KAK55" s="557"/>
      <c r="KAL55" s="557"/>
      <c r="KAM55" s="557"/>
      <c r="KAN55" s="557"/>
      <c r="KAO55" s="557"/>
      <c r="KAP55" s="557"/>
      <c r="KAQ55" s="661"/>
      <c r="KAR55" s="556"/>
      <c r="KAS55" s="557"/>
      <c r="KAT55" s="557"/>
      <c r="KAU55" s="557"/>
      <c r="KAV55" s="557"/>
      <c r="KAW55" s="557"/>
      <c r="KAX55" s="557"/>
      <c r="KAY55" s="557"/>
      <c r="KAZ55" s="557"/>
      <c r="KBA55" s="557"/>
      <c r="KBB55" s="557"/>
      <c r="KBC55" s="557"/>
      <c r="KBD55" s="557"/>
      <c r="KBE55" s="557"/>
      <c r="KBF55" s="557"/>
      <c r="KBG55" s="557"/>
      <c r="KBH55" s="557"/>
      <c r="KBI55" s="557"/>
      <c r="KBJ55" s="557"/>
      <c r="KBK55" s="661"/>
      <c r="KBL55" s="556"/>
      <c r="KBM55" s="557"/>
      <c r="KBN55" s="557"/>
      <c r="KBO55" s="557"/>
      <c r="KBP55" s="557"/>
      <c r="KBQ55" s="557"/>
      <c r="KBR55" s="557"/>
      <c r="KBS55" s="557"/>
      <c r="KBT55" s="557"/>
      <c r="KBU55" s="557"/>
      <c r="KBV55" s="557"/>
      <c r="KBW55" s="557"/>
      <c r="KBX55" s="557"/>
      <c r="KBY55" s="557"/>
      <c r="KBZ55" s="557"/>
      <c r="KCA55" s="557"/>
      <c r="KCB55" s="557"/>
      <c r="KCC55" s="557"/>
      <c r="KCD55" s="557"/>
      <c r="KCE55" s="661"/>
      <c r="KCF55" s="556"/>
      <c r="KCG55" s="557"/>
      <c r="KCH55" s="557"/>
      <c r="KCI55" s="557"/>
      <c r="KCJ55" s="557"/>
      <c r="KCK55" s="557"/>
      <c r="KCL55" s="557"/>
      <c r="KCM55" s="557"/>
      <c r="KCN55" s="557"/>
      <c r="KCO55" s="557"/>
      <c r="KCP55" s="557"/>
      <c r="KCQ55" s="557"/>
      <c r="KCR55" s="557"/>
      <c r="KCS55" s="557"/>
      <c r="KCT55" s="557"/>
      <c r="KCU55" s="557"/>
      <c r="KCV55" s="557"/>
      <c r="KCW55" s="557"/>
      <c r="KCX55" s="557"/>
      <c r="KCY55" s="661"/>
      <c r="KCZ55" s="556"/>
      <c r="KDA55" s="557"/>
      <c r="KDB55" s="557"/>
      <c r="KDC55" s="557"/>
      <c r="KDD55" s="557"/>
      <c r="KDE55" s="557"/>
      <c r="KDF55" s="557"/>
      <c r="KDG55" s="557"/>
      <c r="KDH55" s="557"/>
      <c r="KDI55" s="557"/>
      <c r="KDJ55" s="557"/>
      <c r="KDK55" s="557"/>
      <c r="KDL55" s="557"/>
      <c r="KDM55" s="557"/>
      <c r="KDN55" s="557"/>
      <c r="KDO55" s="557"/>
      <c r="KDP55" s="557"/>
      <c r="KDQ55" s="557"/>
      <c r="KDR55" s="557"/>
      <c r="KDS55" s="661"/>
      <c r="KDT55" s="556"/>
      <c r="KDU55" s="557"/>
      <c r="KDV55" s="557"/>
      <c r="KDW55" s="557"/>
      <c r="KDX55" s="557"/>
      <c r="KDY55" s="557"/>
      <c r="KDZ55" s="557"/>
      <c r="KEA55" s="557"/>
      <c r="KEB55" s="557"/>
      <c r="KEC55" s="557"/>
      <c r="KED55" s="557"/>
      <c r="KEE55" s="557"/>
      <c r="KEF55" s="557"/>
      <c r="KEG55" s="557"/>
      <c r="KEH55" s="557"/>
      <c r="KEI55" s="557"/>
      <c r="KEJ55" s="557"/>
      <c r="KEK55" s="557"/>
      <c r="KEL55" s="557"/>
      <c r="KEM55" s="661"/>
      <c r="KEN55" s="556"/>
      <c r="KEO55" s="557"/>
      <c r="KEP55" s="557"/>
      <c r="KEQ55" s="557"/>
      <c r="KER55" s="557"/>
      <c r="KES55" s="557"/>
      <c r="KET55" s="557"/>
      <c r="KEU55" s="557"/>
      <c r="KEV55" s="557"/>
      <c r="KEW55" s="557"/>
      <c r="KEX55" s="557"/>
      <c r="KEY55" s="557"/>
      <c r="KEZ55" s="557"/>
      <c r="KFA55" s="557"/>
      <c r="KFB55" s="557"/>
      <c r="KFC55" s="557"/>
      <c r="KFD55" s="557"/>
      <c r="KFE55" s="557"/>
      <c r="KFF55" s="557"/>
      <c r="KFG55" s="661"/>
      <c r="KFH55" s="556"/>
      <c r="KFI55" s="557"/>
      <c r="KFJ55" s="557"/>
      <c r="KFK55" s="557"/>
      <c r="KFL55" s="557"/>
      <c r="KFM55" s="557"/>
      <c r="KFN55" s="557"/>
      <c r="KFO55" s="557"/>
      <c r="KFP55" s="557"/>
      <c r="KFQ55" s="557"/>
      <c r="KFR55" s="557"/>
      <c r="KFS55" s="557"/>
      <c r="KFT55" s="557"/>
      <c r="KFU55" s="557"/>
      <c r="KFV55" s="557"/>
      <c r="KFW55" s="557"/>
      <c r="KFX55" s="557"/>
      <c r="KFY55" s="557"/>
      <c r="KFZ55" s="557"/>
      <c r="KGA55" s="661"/>
      <c r="KGB55" s="556"/>
      <c r="KGC55" s="557"/>
      <c r="KGD55" s="557"/>
      <c r="KGE55" s="557"/>
      <c r="KGF55" s="557"/>
      <c r="KGG55" s="557"/>
      <c r="KGH55" s="557"/>
      <c r="KGI55" s="557"/>
      <c r="KGJ55" s="557"/>
      <c r="KGK55" s="557"/>
      <c r="KGL55" s="557"/>
      <c r="KGM55" s="557"/>
      <c r="KGN55" s="557"/>
      <c r="KGO55" s="557"/>
      <c r="KGP55" s="557"/>
      <c r="KGQ55" s="557"/>
      <c r="KGR55" s="557"/>
      <c r="KGS55" s="557"/>
      <c r="KGT55" s="557"/>
      <c r="KGU55" s="661"/>
      <c r="KGV55" s="556"/>
      <c r="KGW55" s="557"/>
      <c r="KGX55" s="557"/>
      <c r="KGY55" s="557"/>
      <c r="KGZ55" s="557"/>
      <c r="KHA55" s="557"/>
      <c r="KHB55" s="557"/>
      <c r="KHC55" s="557"/>
      <c r="KHD55" s="557"/>
      <c r="KHE55" s="557"/>
      <c r="KHF55" s="557"/>
      <c r="KHG55" s="557"/>
      <c r="KHH55" s="557"/>
      <c r="KHI55" s="557"/>
      <c r="KHJ55" s="557"/>
      <c r="KHK55" s="557"/>
      <c r="KHL55" s="557"/>
      <c r="KHM55" s="557"/>
      <c r="KHN55" s="557"/>
      <c r="KHO55" s="661"/>
      <c r="KHP55" s="556"/>
      <c r="KHQ55" s="557"/>
      <c r="KHR55" s="557"/>
      <c r="KHS55" s="557"/>
      <c r="KHT55" s="557"/>
      <c r="KHU55" s="557"/>
      <c r="KHV55" s="557"/>
      <c r="KHW55" s="557"/>
      <c r="KHX55" s="557"/>
      <c r="KHY55" s="557"/>
      <c r="KHZ55" s="557"/>
      <c r="KIA55" s="557"/>
      <c r="KIB55" s="557"/>
      <c r="KIC55" s="557"/>
      <c r="KID55" s="557"/>
      <c r="KIE55" s="557"/>
      <c r="KIF55" s="557"/>
      <c r="KIG55" s="557"/>
      <c r="KIH55" s="557"/>
      <c r="KII55" s="661"/>
      <c r="KIJ55" s="556"/>
      <c r="KIK55" s="557"/>
      <c r="KIL55" s="557"/>
      <c r="KIM55" s="557"/>
      <c r="KIN55" s="557"/>
      <c r="KIO55" s="557"/>
      <c r="KIP55" s="557"/>
      <c r="KIQ55" s="557"/>
      <c r="KIR55" s="557"/>
      <c r="KIS55" s="557"/>
      <c r="KIT55" s="557"/>
      <c r="KIU55" s="557"/>
      <c r="KIV55" s="557"/>
      <c r="KIW55" s="557"/>
      <c r="KIX55" s="557"/>
      <c r="KIY55" s="557"/>
      <c r="KIZ55" s="557"/>
      <c r="KJA55" s="557"/>
      <c r="KJB55" s="557"/>
      <c r="KJC55" s="661"/>
      <c r="KJD55" s="556"/>
      <c r="KJE55" s="557"/>
      <c r="KJF55" s="557"/>
      <c r="KJG55" s="557"/>
      <c r="KJH55" s="557"/>
      <c r="KJI55" s="557"/>
      <c r="KJJ55" s="557"/>
      <c r="KJK55" s="557"/>
      <c r="KJL55" s="557"/>
      <c r="KJM55" s="557"/>
      <c r="KJN55" s="557"/>
      <c r="KJO55" s="557"/>
      <c r="KJP55" s="557"/>
      <c r="KJQ55" s="557"/>
      <c r="KJR55" s="557"/>
      <c r="KJS55" s="557"/>
      <c r="KJT55" s="557"/>
      <c r="KJU55" s="557"/>
      <c r="KJV55" s="557"/>
      <c r="KJW55" s="661"/>
      <c r="KJX55" s="556"/>
      <c r="KJY55" s="557"/>
      <c r="KJZ55" s="557"/>
      <c r="KKA55" s="557"/>
      <c r="KKB55" s="557"/>
      <c r="KKC55" s="557"/>
      <c r="KKD55" s="557"/>
      <c r="KKE55" s="557"/>
      <c r="KKF55" s="557"/>
      <c r="KKG55" s="557"/>
      <c r="KKH55" s="557"/>
      <c r="KKI55" s="557"/>
      <c r="KKJ55" s="557"/>
      <c r="KKK55" s="557"/>
      <c r="KKL55" s="557"/>
      <c r="KKM55" s="557"/>
      <c r="KKN55" s="557"/>
      <c r="KKO55" s="557"/>
      <c r="KKP55" s="557"/>
      <c r="KKQ55" s="661"/>
      <c r="KKR55" s="556"/>
      <c r="KKS55" s="557"/>
      <c r="KKT55" s="557"/>
      <c r="KKU55" s="557"/>
      <c r="KKV55" s="557"/>
      <c r="KKW55" s="557"/>
      <c r="KKX55" s="557"/>
      <c r="KKY55" s="557"/>
      <c r="KKZ55" s="557"/>
      <c r="KLA55" s="557"/>
      <c r="KLB55" s="557"/>
      <c r="KLC55" s="557"/>
      <c r="KLD55" s="557"/>
      <c r="KLE55" s="557"/>
      <c r="KLF55" s="557"/>
      <c r="KLG55" s="557"/>
      <c r="KLH55" s="557"/>
      <c r="KLI55" s="557"/>
      <c r="KLJ55" s="557"/>
      <c r="KLK55" s="661"/>
      <c r="KLL55" s="556"/>
      <c r="KLM55" s="557"/>
      <c r="KLN55" s="557"/>
      <c r="KLO55" s="557"/>
      <c r="KLP55" s="557"/>
      <c r="KLQ55" s="557"/>
      <c r="KLR55" s="557"/>
      <c r="KLS55" s="557"/>
      <c r="KLT55" s="557"/>
      <c r="KLU55" s="557"/>
      <c r="KLV55" s="557"/>
      <c r="KLW55" s="557"/>
      <c r="KLX55" s="557"/>
      <c r="KLY55" s="557"/>
      <c r="KLZ55" s="557"/>
      <c r="KMA55" s="557"/>
      <c r="KMB55" s="557"/>
      <c r="KMC55" s="557"/>
      <c r="KMD55" s="557"/>
      <c r="KME55" s="661"/>
      <c r="KMF55" s="556"/>
      <c r="KMG55" s="557"/>
      <c r="KMH55" s="557"/>
      <c r="KMI55" s="557"/>
      <c r="KMJ55" s="557"/>
      <c r="KMK55" s="557"/>
      <c r="KML55" s="557"/>
      <c r="KMM55" s="557"/>
      <c r="KMN55" s="557"/>
      <c r="KMO55" s="557"/>
      <c r="KMP55" s="557"/>
      <c r="KMQ55" s="557"/>
      <c r="KMR55" s="557"/>
      <c r="KMS55" s="557"/>
      <c r="KMT55" s="557"/>
      <c r="KMU55" s="557"/>
      <c r="KMV55" s="557"/>
      <c r="KMW55" s="557"/>
      <c r="KMX55" s="557"/>
      <c r="KMY55" s="661"/>
      <c r="KMZ55" s="556"/>
      <c r="KNA55" s="557"/>
      <c r="KNB55" s="557"/>
      <c r="KNC55" s="557"/>
      <c r="KND55" s="557"/>
      <c r="KNE55" s="557"/>
      <c r="KNF55" s="557"/>
      <c r="KNG55" s="557"/>
      <c r="KNH55" s="557"/>
      <c r="KNI55" s="557"/>
      <c r="KNJ55" s="557"/>
      <c r="KNK55" s="557"/>
      <c r="KNL55" s="557"/>
      <c r="KNM55" s="557"/>
      <c r="KNN55" s="557"/>
      <c r="KNO55" s="557"/>
      <c r="KNP55" s="557"/>
      <c r="KNQ55" s="557"/>
      <c r="KNR55" s="557"/>
      <c r="KNS55" s="661"/>
      <c r="KNT55" s="556"/>
      <c r="KNU55" s="557"/>
      <c r="KNV55" s="557"/>
      <c r="KNW55" s="557"/>
      <c r="KNX55" s="557"/>
      <c r="KNY55" s="557"/>
      <c r="KNZ55" s="557"/>
      <c r="KOA55" s="557"/>
      <c r="KOB55" s="557"/>
      <c r="KOC55" s="557"/>
      <c r="KOD55" s="557"/>
      <c r="KOE55" s="557"/>
      <c r="KOF55" s="557"/>
      <c r="KOG55" s="557"/>
      <c r="KOH55" s="557"/>
      <c r="KOI55" s="557"/>
      <c r="KOJ55" s="557"/>
      <c r="KOK55" s="557"/>
      <c r="KOL55" s="557"/>
      <c r="KOM55" s="661"/>
      <c r="KON55" s="556"/>
      <c r="KOO55" s="557"/>
      <c r="KOP55" s="557"/>
      <c r="KOQ55" s="557"/>
      <c r="KOR55" s="557"/>
      <c r="KOS55" s="557"/>
      <c r="KOT55" s="557"/>
      <c r="KOU55" s="557"/>
      <c r="KOV55" s="557"/>
      <c r="KOW55" s="557"/>
      <c r="KOX55" s="557"/>
      <c r="KOY55" s="557"/>
      <c r="KOZ55" s="557"/>
      <c r="KPA55" s="557"/>
      <c r="KPB55" s="557"/>
      <c r="KPC55" s="557"/>
      <c r="KPD55" s="557"/>
      <c r="KPE55" s="557"/>
      <c r="KPF55" s="557"/>
      <c r="KPG55" s="661"/>
      <c r="KPH55" s="556"/>
      <c r="KPI55" s="557"/>
      <c r="KPJ55" s="557"/>
      <c r="KPK55" s="557"/>
      <c r="KPL55" s="557"/>
      <c r="KPM55" s="557"/>
      <c r="KPN55" s="557"/>
      <c r="KPO55" s="557"/>
      <c r="KPP55" s="557"/>
      <c r="KPQ55" s="557"/>
      <c r="KPR55" s="557"/>
      <c r="KPS55" s="557"/>
      <c r="KPT55" s="557"/>
      <c r="KPU55" s="557"/>
      <c r="KPV55" s="557"/>
      <c r="KPW55" s="557"/>
      <c r="KPX55" s="557"/>
      <c r="KPY55" s="557"/>
      <c r="KPZ55" s="557"/>
      <c r="KQA55" s="661"/>
      <c r="KQB55" s="556"/>
      <c r="KQC55" s="557"/>
      <c r="KQD55" s="557"/>
      <c r="KQE55" s="557"/>
      <c r="KQF55" s="557"/>
      <c r="KQG55" s="557"/>
      <c r="KQH55" s="557"/>
      <c r="KQI55" s="557"/>
      <c r="KQJ55" s="557"/>
      <c r="KQK55" s="557"/>
      <c r="KQL55" s="557"/>
      <c r="KQM55" s="557"/>
      <c r="KQN55" s="557"/>
      <c r="KQO55" s="557"/>
      <c r="KQP55" s="557"/>
      <c r="KQQ55" s="557"/>
      <c r="KQR55" s="557"/>
      <c r="KQS55" s="557"/>
      <c r="KQT55" s="557"/>
      <c r="KQU55" s="661"/>
      <c r="KQV55" s="556"/>
      <c r="KQW55" s="557"/>
      <c r="KQX55" s="557"/>
      <c r="KQY55" s="557"/>
      <c r="KQZ55" s="557"/>
      <c r="KRA55" s="557"/>
      <c r="KRB55" s="557"/>
      <c r="KRC55" s="557"/>
      <c r="KRD55" s="557"/>
      <c r="KRE55" s="557"/>
      <c r="KRF55" s="557"/>
      <c r="KRG55" s="557"/>
      <c r="KRH55" s="557"/>
      <c r="KRI55" s="557"/>
      <c r="KRJ55" s="557"/>
      <c r="KRK55" s="557"/>
      <c r="KRL55" s="557"/>
      <c r="KRM55" s="557"/>
      <c r="KRN55" s="557"/>
      <c r="KRO55" s="661"/>
      <c r="KRP55" s="556"/>
      <c r="KRQ55" s="557"/>
      <c r="KRR55" s="557"/>
      <c r="KRS55" s="557"/>
      <c r="KRT55" s="557"/>
      <c r="KRU55" s="557"/>
      <c r="KRV55" s="557"/>
      <c r="KRW55" s="557"/>
      <c r="KRX55" s="557"/>
      <c r="KRY55" s="557"/>
      <c r="KRZ55" s="557"/>
      <c r="KSA55" s="557"/>
      <c r="KSB55" s="557"/>
      <c r="KSC55" s="557"/>
      <c r="KSD55" s="557"/>
      <c r="KSE55" s="557"/>
      <c r="KSF55" s="557"/>
      <c r="KSG55" s="557"/>
      <c r="KSH55" s="557"/>
      <c r="KSI55" s="661"/>
      <c r="KSJ55" s="556"/>
      <c r="KSK55" s="557"/>
      <c r="KSL55" s="557"/>
      <c r="KSM55" s="557"/>
      <c r="KSN55" s="557"/>
      <c r="KSO55" s="557"/>
      <c r="KSP55" s="557"/>
      <c r="KSQ55" s="557"/>
      <c r="KSR55" s="557"/>
      <c r="KSS55" s="557"/>
      <c r="KST55" s="557"/>
      <c r="KSU55" s="557"/>
      <c r="KSV55" s="557"/>
      <c r="KSW55" s="557"/>
      <c r="KSX55" s="557"/>
      <c r="KSY55" s="557"/>
      <c r="KSZ55" s="557"/>
      <c r="KTA55" s="557"/>
      <c r="KTB55" s="557"/>
      <c r="KTC55" s="661"/>
      <c r="KTD55" s="556"/>
      <c r="KTE55" s="557"/>
      <c r="KTF55" s="557"/>
      <c r="KTG55" s="557"/>
      <c r="KTH55" s="557"/>
      <c r="KTI55" s="557"/>
      <c r="KTJ55" s="557"/>
      <c r="KTK55" s="557"/>
      <c r="KTL55" s="557"/>
      <c r="KTM55" s="557"/>
      <c r="KTN55" s="557"/>
      <c r="KTO55" s="557"/>
      <c r="KTP55" s="557"/>
      <c r="KTQ55" s="557"/>
      <c r="KTR55" s="557"/>
      <c r="KTS55" s="557"/>
      <c r="KTT55" s="557"/>
      <c r="KTU55" s="557"/>
      <c r="KTV55" s="557"/>
      <c r="KTW55" s="661"/>
      <c r="KTX55" s="556"/>
      <c r="KTY55" s="557"/>
      <c r="KTZ55" s="557"/>
      <c r="KUA55" s="557"/>
      <c r="KUB55" s="557"/>
      <c r="KUC55" s="557"/>
      <c r="KUD55" s="557"/>
      <c r="KUE55" s="557"/>
      <c r="KUF55" s="557"/>
      <c r="KUG55" s="557"/>
      <c r="KUH55" s="557"/>
      <c r="KUI55" s="557"/>
      <c r="KUJ55" s="557"/>
      <c r="KUK55" s="557"/>
      <c r="KUL55" s="557"/>
      <c r="KUM55" s="557"/>
      <c r="KUN55" s="557"/>
      <c r="KUO55" s="557"/>
      <c r="KUP55" s="557"/>
      <c r="KUQ55" s="661"/>
      <c r="KUR55" s="556"/>
      <c r="KUS55" s="557"/>
      <c r="KUT55" s="557"/>
      <c r="KUU55" s="557"/>
      <c r="KUV55" s="557"/>
      <c r="KUW55" s="557"/>
      <c r="KUX55" s="557"/>
      <c r="KUY55" s="557"/>
      <c r="KUZ55" s="557"/>
      <c r="KVA55" s="557"/>
      <c r="KVB55" s="557"/>
      <c r="KVC55" s="557"/>
      <c r="KVD55" s="557"/>
      <c r="KVE55" s="557"/>
      <c r="KVF55" s="557"/>
      <c r="KVG55" s="557"/>
      <c r="KVH55" s="557"/>
      <c r="KVI55" s="557"/>
      <c r="KVJ55" s="557"/>
      <c r="KVK55" s="661"/>
      <c r="KVL55" s="556"/>
      <c r="KVM55" s="557"/>
      <c r="KVN55" s="557"/>
      <c r="KVO55" s="557"/>
      <c r="KVP55" s="557"/>
      <c r="KVQ55" s="557"/>
      <c r="KVR55" s="557"/>
      <c r="KVS55" s="557"/>
      <c r="KVT55" s="557"/>
      <c r="KVU55" s="557"/>
      <c r="KVV55" s="557"/>
      <c r="KVW55" s="557"/>
      <c r="KVX55" s="557"/>
      <c r="KVY55" s="557"/>
      <c r="KVZ55" s="557"/>
      <c r="KWA55" s="557"/>
      <c r="KWB55" s="557"/>
      <c r="KWC55" s="557"/>
      <c r="KWD55" s="557"/>
      <c r="KWE55" s="661"/>
      <c r="KWF55" s="556"/>
      <c r="KWG55" s="557"/>
      <c r="KWH55" s="557"/>
      <c r="KWI55" s="557"/>
      <c r="KWJ55" s="557"/>
      <c r="KWK55" s="557"/>
      <c r="KWL55" s="557"/>
      <c r="KWM55" s="557"/>
      <c r="KWN55" s="557"/>
      <c r="KWO55" s="557"/>
      <c r="KWP55" s="557"/>
      <c r="KWQ55" s="557"/>
      <c r="KWR55" s="557"/>
      <c r="KWS55" s="557"/>
      <c r="KWT55" s="557"/>
      <c r="KWU55" s="557"/>
      <c r="KWV55" s="557"/>
      <c r="KWW55" s="557"/>
      <c r="KWX55" s="557"/>
      <c r="KWY55" s="661"/>
      <c r="KWZ55" s="556"/>
      <c r="KXA55" s="557"/>
      <c r="KXB55" s="557"/>
      <c r="KXC55" s="557"/>
      <c r="KXD55" s="557"/>
      <c r="KXE55" s="557"/>
      <c r="KXF55" s="557"/>
      <c r="KXG55" s="557"/>
      <c r="KXH55" s="557"/>
      <c r="KXI55" s="557"/>
      <c r="KXJ55" s="557"/>
      <c r="KXK55" s="557"/>
      <c r="KXL55" s="557"/>
      <c r="KXM55" s="557"/>
      <c r="KXN55" s="557"/>
      <c r="KXO55" s="557"/>
      <c r="KXP55" s="557"/>
      <c r="KXQ55" s="557"/>
      <c r="KXR55" s="557"/>
      <c r="KXS55" s="661"/>
      <c r="KXT55" s="556"/>
      <c r="KXU55" s="557"/>
      <c r="KXV55" s="557"/>
      <c r="KXW55" s="557"/>
      <c r="KXX55" s="557"/>
      <c r="KXY55" s="557"/>
      <c r="KXZ55" s="557"/>
      <c r="KYA55" s="557"/>
      <c r="KYB55" s="557"/>
      <c r="KYC55" s="557"/>
      <c r="KYD55" s="557"/>
      <c r="KYE55" s="557"/>
      <c r="KYF55" s="557"/>
      <c r="KYG55" s="557"/>
      <c r="KYH55" s="557"/>
      <c r="KYI55" s="557"/>
      <c r="KYJ55" s="557"/>
      <c r="KYK55" s="557"/>
      <c r="KYL55" s="557"/>
      <c r="KYM55" s="661"/>
      <c r="KYN55" s="556"/>
      <c r="KYO55" s="557"/>
      <c r="KYP55" s="557"/>
      <c r="KYQ55" s="557"/>
      <c r="KYR55" s="557"/>
      <c r="KYS55" s="557"/>
      <c r="KYT55" s="557"/>
      <c r="KYU55" s="557"/>
      <c r="KYV55" s="557"/>
      <c r="KYW55" s="557"/>
      <c r="KYX55" s="557"/>
      <c r="KYY55" s="557"/>
      <c r="KYZ55" s="557"/>
      <c r="KZA55" s="557"/>
      <c r="KZB55" s="557"/>
      <c r="KZC55" s="557"/>
      <c r="KZD55" s="557"/>
      <c r="KZE55" s="557"/>
      <c r="KZF55" s="557"/>
      <c r="KZG55" s="661"/>
      <c r="KZH55" s="556"/>
      <c r="KZI55" s="557"/>
      <c r="KZJ55" s="557"/>
      <c r="KZK55" s="557"/>
      <c r="KZL55" s="557"/>
      <c r="KZM55" s="557"/>
      <c r="KZN55" s="557"/>
      <c r="KZO55" s="557"/>
      <c r="KZP55" s="557"/>
      <c r="KZQ55" s="557"/>
      <c r="KZR55" s="557"/>
      <c r="KZS55" s="557"/>
      <c r="KZT55" s="557"/>
      <c r="KZU55" s="557"/>
      <c r="KZV55" s="557"/>
      <c r="KZW55" s="557"/>
      <c r="KZX55" s="557"/>
      <c r="KZY55" s="557"/>
      <c r="KZZ55" s="557"/>
      <c r="LAA55" s="661"/>
      <c r="LAB55" s="556"/>
      <c r="LAC55" s="557"/>
      <c r="LAD55" s="557"/>
      <c r="LAE55" s="557"/>
      <c r="LAF55" s="557"/>
      <c r="LAG55" s="557"/>
      <c r="LAH55" s="557"/>
      <c r="LAI55" s="557"/>
      <c r="LAJ55" s="557"/>
      <c r="LAK55" s="557"/>
      <c r="LAL55" s="557"/>
      <c r="LAM55" s="557"/>
      <c r="LAN55" s="557"/>
      <c r="LAO55" s="557"/>
      <c r="LAP55" s="557"/>
      <c r="LAQ55" s="557"/>
      <c r="LAR55" s="557"/>
      <c r="LAS55" s="557"/>
      <c r="LAT55" s="557"/>
      <c r="LAU55" s="661"/>
      <c r="LAV55" s="556"/>
      <c r="LAW55" s="557"/>
      <c r="LAX55" s="557"/>
      <c r="LAY55" s="557"/>
      <c r="LAZ55" s="557"/>
      <c r="LBA55" s="557"/>
      <c r="LBB55" s="557"/>
      <c r="LBC55" s="557"/>
      <c r="LBD55" s="557"/>
      <c r="LBE55" s="557"/>
      <c r="LBF55" s="557"/>
      <c r="LBG55" s="557"/>
      <c r="LBH55" s="557"/>
      <c r="LBI55" s="557"/>
      <c r="LBJ55" s="557"/>
      <c r="LBK55" s="557"/>
      <c r="LBL55" s="557"/>
      <c r="LBM55" s="557"/>
      <c r="LBN55" s="557"/>
      <c r="LBO55" s="661"/>
      <c r="LBP55" s="556"/>
      <c r="LBQ55" s="557"/>
      <c r="LBR55" s="557"/>
      <c r="LBS55" s="557"/>
      <c r="LBT55" s="557"/>
      <c r="LBU55" s="557"/>
      <c r="LBV55" s="557"/>
      <c r="LBW55" s="557"/>
      <c r="LBX55" s="557"/>
      <c r="LBY55" s="557"/>
      <c r="LBZ55" s="557"/>
      <c r="LCA55" s="557"/>
      <c r="LCB55" s="557"/>
      <c r="LCC55" s="557"/>
      <c r="LCD55" s="557"/>
      <c r="LCE55" s="557"/>
      <c r="LCF55" s="557"/>
      <c r="LCG55" s="557"/>
      <c r="LCH55" s="557"/>
      <c r="LCI55" s="661"/>
      <c r="LCJ55" s="556"/>
      <c r="LCK55" s="557"/>
      <c r="LCL55" s="557"/>
      <c r="LCM55" s="557"/>
      <c r="LCN55" s="557"/>
      <c r="LCO55" s="557"/>
      <c r="LCP55" s="557"/>
      <c r="LCQ55" s="557"/>
      <c r="LCR55" s="557"/>
      <c r="LCS55" s="557"/>
      <c r="LCT55" s="557"/>
      <c r="LCU55" s="557"/>
      <c r="LCV55" s="557"/>
      <c r="LCW55" s="557"/>
      <c r="LCX55" s="557"/>
      <c r="LCY55" s="557"/>
      <c r="LCZ55" s="557"/>
      <c r="LDA55" s="557"/>
      <c r="LDB55" s="557"/>
      <c r="LDC55" s="661"/>
      <c r="LDD55" s="556"/>
      <c r="LDE55" s="557"/>
      <c r="LDF55" s="557"/>
      <c r="LDG55" s="557"/>
      <c r="LDH55" s="557"/>
      <c r="LDI55" s="557"/>
      <c r="LDJ55" s="557"/>
      <c r="LDK55" s="557"/>
      <c r="LDL55" s="557"/>
      <c r="LDM55" s="557"/>
      <c r="LDN55" s="557"/>
      <c r="LDO55" s="557"/>
      <c r="LDP55" s="557"/>
      <c r="LDQ55" s="557"/>
      <c r="LDR55" s="557"/>
      <c r="LDS55" s="557"/>
      <c r="LDT55" s="557"/>
      <c r="LDU55" s="557"/>
      <c r="LDV55" s="557"/>
      <c r="LDW55" s="661"/>
      <c r="LDX55" s="556"/>
      <c r="LDY55" s="557"/>
      <c r="LDZ55" s="557"/>
      <c r="LEA55" s="557"/>
      <c r="LEB55" s="557"/>
      <c r="LEC55" s="557"/>
      <c r="LED55" s="557"/>
      <c r="LEE55" s="557"/>
      <c r="LEF55" s="557"/>
      <c r="LEG55" s="557"/>
      <c r="LEH55" s="557"/>
      <c r="LEI55" s="557"/>
      <c r="LEJ55" s="557"/>
      <c r="LEK55" s="557"/>
      <c r="LEL55" s="557"/>
      <c r="LEM55" s="557"/>
      <c r="LEN55" s="557"/>
      <c r="LEO55" s="557"/>
      <c r="LEP55" s="557"/>
      <c r="LEQ55" s="661"/>
      <c r="LER55" s="556"/>
      <c r="LES55" s="557"/>
      <c r="LET55" s="557"/>
      <c r="LEU55" s="557"/>
      <c r="LEV55" s="557"/>
      <c r="LEW55" s="557"/>
      <c r="LEX55" s="557"/>
      <c r="LEY55" s="557"/>
      <c r="LEZ55" s="557"/>
      <c r="LFA55" s="557"/>
      <c r="LFB55" s="557"/>
      <c r="LFC55" s="557"/>
      <c r="LFD55" s="557"/>
      <c r="LFE55" s="557"/>
      <c r="LFF55" s="557"/>
      <c r="LFG55" s="557"/>
      <c r="LFH55" s="557"/>
      <c r="LFI55" s="557"/>
      <c r="LFJ55" s="557"/>
      <c r="LFK55" s="661"/>
      <c r="LFL55" s="556"/>
      <c r="LFM55" s="557"/>
      <c r="LFN55" s="557"/>
      <c r="LFO55" s="557"/>
      <c r="LFP55" s="557"/>
      <c r="LFQ55" s="557"/>
      <c r="LFR55" s="557"/>
      <c r="LFS55" s="557"/>
      <c r="LFT55" s="557"/>
      <c r="LFU55" s="557"/>
      <c r="LFV55" s="557"/>
      <c r="LFW55" s="557"/>
      <c r="LFX55" s="557"/>
      <c r="LFY55" s="557"/>
      <c r="LFZ55" s="557"/>
      <c r="LGA55" s="557"/>
      <c r="LGB55" s="557"/>
      <c r="LGC55" s="557"/>
      <c r="LGD55" s="557"/>
      <c r="LGE55" s="661"/>
      <c r="LGF55" s="556"/>
      <c r="LGG55" s="557"/>
      <c r="LGH55" s="557"/>
      <c r="LGI55" s="557"/>
      <c r="LGJ55" s="557"/>
      <c r="LGK55" s="557"/>
      <c r="LGL55" s="557"/>
      <c r="LGM55" s="557"/>
      <c r="LGN55" s="557"/>
      <c r="LGO55" s="557"/>
      <c r="LGP55" s="557"/>
      <c r="LGQ55" s="557"/>
      <c r="LGR55" s="557"/>
      <c r="LGS55" s="557"/>
      <c r="LGT55" s="557"/>
      <c r="LGU55" s="557"/>
      <c r="LGV55" s="557"/>
      <c r="LGW55" s="557"/>
      <c r="LGX55" s="557"/>
      <c r="LGY55" s="661"/>
      <c r="LGZ55" s="556"/>
      <c r="LHA55" s="557"/>
      <c r="LHB55" s="557"/>
      <c r="LHC55" s="557"/>
      <c r="LHD55" s="557"/>
      <c r="LHE55" s="557"/>
      <c r="LHF55" s="557"/>
      <c r="LHG55" s="557"/>
      <c r="LHH55" s="557"/>
      <c r="LHI55" s="557"/>
      <c r="LHJ55" s="557"/>
      <c r="LHK55" s="557"/>
      <c r="LHL55" s="557"/>
      <c r="LHM55" s="557"/>
      <c r="LHN55" s="557"/>
      <c r="LHO55" s="557"/>
      <c r="LHP55" s="557"/>
      <c r="LHQ55" s="557"/>
      <c r="LHR55" s="557"/>
      <c r="LHS55" s="661"/>
      <c r="LHT55" s="556"/>
      <c r="LHU55" s="557"/>
      <c r="LHV55" s="557"/>
      <c r="LHW55" s="557"/>
      <c r="LHX55" s="557"/>
      <c r="LHY55" s="557"/>
      <c r="LHZ55" s="557"/>
      <c r="LIA55" s="557"/>
      <c r="LIB55" s="557"/>
      <c r="LIC55" s="557"/>
      <c r="LID55" s="557"/>
      <c r="LIE55" s="557"/>
      <c r="LIF55" s="557"/>
      <c r="LIG55" s="557"/>
      <c r="LIH55" s="557"/>
      <c r="LII55" s="557"/>
      <c r="LIJ55" s="557"/>
      <c r="LIK55" s="557"/>
      <c r="LIL55" s="557"/>
      <c r="LIM55" s="661"/>
      <c r="LIN55" s="556"/>
      <c r="LIO55" s="557"/>
      <c r="LIP55" s="557"/>
      <c r="LIQ55" s="557"/>
      <c r="LIR55" s="557"/>
      <c r="LIS55" s="557"/>
      <c r="LIT55" s="557"/>
      <c r="LIU55" s="557"/>
      <c r="LIV55" s="557"/>
      <c r="LIW55" s="557"/>
      <c r="LIX55" s="557"/>
      <c r="LIY55" s="557"/>
      <c r="LIZ55" s="557"/>
      <c r="LJA55" s="557"/>
      <c r="LJB55" s="557"/>
      <c r="LJC55" s="557"/>
      <c r="LJD55" s="557"/>
      <c r="LJE55" s="557"/>
      <c r="LJF55" s="557"/>
      <c r="LJG55" s="661"/>
      <c r="LJH55" s="556"/>
      <c r="LJI55" s="557"/>
      <c r="LJJ55" s="557"/>
      <c r="LJK55" s="557"/>
      <c r="LJL55" s="557"/>
      <c r="LJM55" s="557"/>
      <c r="LJN55" s="557"/>
      <c r="LJO55" s="557"/>
      <c r="LJP55" s="557"/>
      <c r="LJQ55" s="557"/>
      <c r="LJR55" s="557"/>
      <c r="LJS55" s="557"/>
      <c r="LJT55" s="557"/>
      <c r="LJU55" s="557"/>
      <c r="LJV55" s="557"/>
      <c r="LJW55" s="557"/>
      <c r="LJX55" s="557"/>
      <c r="LJY55" s="557"/>
      <c r="LJZ55" s="557"/>
      <c r="LKA55" s="661"/>
      <c r="LKB55" s="556"/>
      <c r="LKC55" s="557"/>
      <c r="LKD55" s="557"/>
      <c r="LKE55" s="557"/>
      <c r="LKF55" s="557"/>
      <c r="LKG55" s="557"/>
      <c r="LKH55" s="557"/>
      <c r="LKI55" s="557"/>
      <c r="LKJ55" s="557"/>
      <c r="LKK55" s="557"/>
      <c r="LKL55" s="557"/>
      <c r="LKM55" s="557"/>
      <c r="LKN55" s="557"/>
      <c r="LKO55" s="557"/>
      <c r="LKP55" s="557"/>
      <c r="LKQ55" s="557"/>
      <c r="LKR55" s="557"/>
      <c r="LKS55" s="557"/>
      <c r="LKT55" s="557"/>
      <c r="LKU55" s="661"/>
      <c r="LKV55" s="556"/>
      <c r="LKW55" s="557"/>
      <c r="LKX55" s="557"/>
      <c r="LKY55" s="557"/>
      <c r="LKZ55" s="557"/>
      <c r="LLA55" s="557"/>
      <c r="LLB55" s="557"/>
      <c r="LLC55" s="557"/>
      <c r="LLD55" s="557"/>
      <c r="LLE55" s="557"/>
      <c r="LLF55" s="557"/>
      <c r="LLG55" s="557"/>
      <c r="LLH55" s="557"/>
      <c r="LLI55" s="557"/>
      <c r="LLJ55" s="557"/>
      <c r="LLK55" s="557"/>
      <c r="LLL55" s="557"/>
      <c r="LLM55" s="557"/>
      <c r="LLN55" s="557"/>
      <c r="LLO55" s="661"/>
      <c r="LLP55" s="556"/>
      <c r="LLQ55" s="557"/>
      <c r="LLR55" s="557"/>
      <c r="LLS55" s="557"/>
      <c r="LLT55" s="557"/>
      <c r="LLU55" s="557"/>
      <c r="LLV55" s="557"/>
      <c r="LLW55" s="557"/>
      <c r="LLX55" s="557"/>
      <c r="LLY55" s="557"/>
      <c r="LLZ55" s="557"/>
      <c r="LMA55" s="557"/>
      <c r="LMB55" s="557"/>
      <c r="LMC55" s="557"/>
      <c r="LMD55" s="557"/>
      <c r="LME55" s="557"/>
      <c r="LMF55" s="557"/>
      <c r="LMG55" s="557"/>
      <c r="LMH55" s="557"/>
      <c r="LMI55" s="661"/>
      <c r="LMJ55" s="556"/>
      <c r="LMK55" s="557"/>
      <c r="LML55" s="557"/>
      <c r="LMM55" s="557"/>
      <c r="LMN55" s="557"/>
      <c r="LMO55" s="557"/>
      <c r="LMP55" s="557"/>
      <c r="LMQ55" s="557"/>
      <c r="LMR55" s="557"/>
      <c r="LMS55" s="557"/>
      <c r="LMT55" s="557"/>
      <c r="LMU55" s="557"/>
      <c r="LMV55" s="557"/>
      <c r="LMW55" s="557"/>
      <c r="LMX55" s="557"/>
      <c r="LMY55" s="557"/>
      <c r="LMZ55" s="557"/>
      <c r="LNA55" s="557"/>
      <c r="LNB55" s="557"/>
      <c r="LNC55" s="661"/>
      <c r="LND55" s="556"/>
      <c r="LNE55" s="557"/>
      <c r="LNF55" s="557"/>
      <c r="LNG55" s="557"/>
      <c r="LNH55" s="557"/>
      <c r="LNI55" s="557"/>
      <c r="LNJ55" s="557"/>
      <c r="LNK55" s="557"/>
      <c r="LNL55" s="557"/>
      <c r="LNM55" s="557"/>
      <c r="LNN55" s="557"/>
      <c r="LNO55" s="557"/>
      <c r="LNP55" s="557"/>
      <c r="LNQ55" s="557"/>
      <c r="LNR55" s="557"/>
      <c r="LNS55" s="557"/>
      <c r="LNT55" s="557"/>
      <c r="LNU55" s="557"/>
      <c r="LNV55" s="557"/>
      <c r="LNW55" s="661"/>
      <c r="LNX55" s="556"/>
      <c r="LNY55" s="557"/>
      <c r="LNZ55" s="557"/>
      <c r="LOA55" s="557"/>
      <c r="LOB55" s="557"/>
      <c r="LOC55" s="557"/>
      <c r="LOD55" s="557"/>
      <c r="LOE55" s="557"/>
      <c r="LOF55" s="557"/>
      <c r="LOG55" s="557"/>
      <c r="LOH55" s="557"/>
      <c r="LOI55" s="557"/>
      <c r="LOJ55" s="557"/>
      <c r="LOK55" s="557"/>
      <c r="LOL55" s="557"/>
      <c r="LOM55" s="557"/>
      <c r="LON55" s="557"/>
      <c r="LOO55" s="557"/>
      <c r="LOP55" s="557"/>
      <c r="LOQ55" s="661"/>
      <c r="LOR55" s="556"/>
      <c r="LOS55" s="557"/>
      <c r="LOT55" s="557"/>
      <c r="LOU55" s="557"/>
      <c r="LOV55" s="557"/>
      <c r="LOW55" s="557"/>
      <c r="LOX55" s="557"/>
      <c r="LOY55" s="557"/>
      <c r="LOZ55" s="557"/>
      <c r="LPA55" s="557"/>
      <c r="LPB55" s="557"/>
      <c r="LPC55" s="557"/>
      <c r="LPD55" s="557"/>
      <c r="LPE55" s="557"/>
      <c r="LPF55" s="557"/>
      <c r="LPG55" s="557"/>
      <c r="LPH55" s="557"/>
      <c r="LPI55" s="557"/>
      <c r="LPJ55" s="557"/>
      <c r="LPK55" s="661"/>
      <c r="LPL55" s="556"/>
      <c r="LPM55" s="557"/>
      <c r="LPN55" s="557"/>
      <c r="LPO55" s="557"/>
      <c r="LPP55" s="557"/>
      <c r="LPQ55" s="557"/>
      <c r="LPR55" s="557"/>
      <c r="LPS55" s="557"/>
      <c r="LPT55" s="557"/>
      <c r="LPU55" s="557"/>
      <c r="LPV55" s="557"/>
      <c r="LPW55" s="557"/>
      <c r="LPX55" s="557"/>
      <c r="LPY55" s="557"/>
      <c r="LPZ55" s="557"/>
      <c r="LQA55" s="557"/>
      <c r="LQB55" s="557"/>
      <c r="LQC55" s="557"/>
      <c r="LQD55" s="557"/>
      <c r="LQE55" s="661"/>
      <c r="LQF55" s="556"/>
      <c r="LQG55" s="557"/>
      <c r="LQH55" s="557"/>
      <c r="LQI55" s="557"/>
      <c r="LQJ55" s="557"/>
      <c r="LQK55" s="557"/>
      <c r="LQL55" s="557"/>
      <c r="LQM55" s="557"/>
      <c r="LQN55" s="557"/>
      <c r="LQO55" s="557"/>
      <c r="LQP55" s="557"/>
      <c r="LQQ55" s="557"/>
      <c r="LQR55" s="557"/>
      <c r="LQS55" s="557"/>
      <c r="LQT55" s="557"/>
      <c r="LQU55" s="557"/>
      <c r="LQV55" s="557"/>
      <c r="LQW55" s="557"/>
      <c r="LQX55" s="557"/>
      <c r="LQY55" s="661"/>
      <c r="LQZ55" s="556"/>
      <c r="LRA55" s="557"/>
      <c r="LRB55" s="557"/>
      <c r="LRC55" s="557"/>
      <c r="LRD55" s="557"/>
      <c r="LRE55" s="557"/>
      <c r="LRF55" s="557"/>
      <c r="LRG55" s="557"/>
      <c r="LRH55" s="557"/>
      <c r="LRI55" s="557"/>
      <c r="LRJ55" s="557"/>
      <c r="LRK55" s="557"/>
      <c r="LRL55" s="557"/>
      <c r="LRM55" s="557"/>
      <c r="LRN55" s="557"/>
      <c r="LRO55" s="557"/>
      <c r="LRP55" s="557"/>
      <c r="LRQ55" s="557"/>
      <c r="LRR55" s="557"/>
      <c r="LRS55" s="661"/>
      <c r="LRT55" s="556"/>
      <c r="LRU55" s="557"/>
      <c r="LRV55" s="557"/>
      <c r="LRW55" s="557"/>
      <c r="LRX55" s="557"/>
      <c r="LRY55" s="557"/>
      <c r="LRZ55" s="557"/>
      <c r="LSA55" s="557"/>
      <c r="LSB55" s="557"/>
      <c r="LSC55" s="557"/>
      <c r="LSD55" s="557"/>
      <c r="LSE55" s="557"/>
      <c r="LSF55" s="557"/>
      <c r="LSG55" s="557"/>
      <c r="LSH55" s="557"/>
      <c r="LSI55" s="557"/>
      <c r="LSJ55" s="557"/>
      <c r="LSK55" s="557"/>
      <c r="LSL55" s="557"/>
      <c r="LSM55" s="661"/>
      <c r="LSN55" s="556"/>
      <c r="LSO55" s="557"/>
      <c r="LSP55" s="557"/>
      <c r="LSQ55" s="557"/>
      <c r="LSR55" s="557"/>
      <c r="LSS55" s="557"/>
      <c r="LST55" s="557"/>
      <c r="LSU55" s="557"/>
      <c r="LSV55" s="557"/>
      <c r="LSW55" s="557"/>
      <c r="LSX55" s="557"/>
      <c r="LSY55" s="557"/>
      <c r="LSZ55" s="557"/>
      <c r="LTA55" s="557"/>
      <c r="LTB55" s="557"/>
      <c r="LTC55" s="557"/>
      <c r="LTD55" s="557"/>
      <c r="LTE55" s="557"/>
      <c r="LTF55" s="557"/>
      <c r="LTG55" s="661"/>
      <c r="LTH55" s="556"/>
      <c r="LTI55" s="557"/>
      <c r="LTJ55" s="557"/>
      <c r="LTK55" s="557"/>
      <c r="LTL55" s="557"/>
      <c r="LTM55" s="557"/>
      <c r="LTN55" s="557"/>
      <c r="LTO55" s="557"/>
      <c r="LTP55" s="557"/>
      <c r="LTQ55" s="557"/>
      <c r="LTR55" s="557"/>
      <c r="LTS55" s="557"/>
      <c r="LTT55" s="557"/>
      <c r="LTU55" s="557"/>
      <c r="LTV55" s="557"/>
      <c r="LTW55" s="557"/>
      <c r="LTX55" s="557"/>
      <c r="LTY55" s="557"/>
      <c r="LTZ55" s="557"/>
      <c r="LUA55" s="661"/>
      <c r="LUB55" s="556"/>
      <c r="LUC55" s="557"/>
      <c r="LUD55" s="557"/>
      <c r="LUE55" s="557"/>
      <c r="LUF55" s="557"/>
      <c r="LUG55" s="557"/>
      <c r="LUH55" s="557"/>
      <c r="LUI55" s="557"/>
      <c r="LUJ55" s="557"/>
      <c r="LUK55" s="557"/>
      <c r="LUL55" s="557"/>
      <c r="LUM55" s="557"/>
      <c r="LUN55" s="557"/>
      <c r="LUO55" s="557"/>
      <c r="LUP55" s="557"/>
      <c r="LUQ55" s="557"/>
      <c r="LUR55" s="557"/>
      <c r="LUS55" s="557"/>
      <c r="LUT55" s="557"/>
      <c r="LUU55" s="661"/>
      <c r="LUV55" s="556"/>
      <c r="LUW55" s="557"/>
      <c r="LUX55" s="557"/>
      <c r="LUY55" s="557"/>
      <c r="LUZ55" s="557"/>
      <c r="LVA55" s="557"/>
      <c r="LVB55" s="557"/>
      <c r="LVC55" s="557"/>
      <c r="LVD55" s="557"/>
      <c r="LVE55" s="557"/>
      <c r="LVF55" s="557"/>
      <c r="LVG55" s="557"/>
      <c r="LVH55" s="557"/>
      <c r="LVI55" s="557"/>
      <c r="LVJ55" s="557"/>
      <c r="LVK55" s="557"/>
      <c r="LVL55" s="557"/>
      <c r="LVM55" s="557"/>
      <c r="LVN55" s="557"/>
      <c r="LVO55" s="661"/>
      <c r="LVP55" s="556"/>
      <c r="LVQ55" s="557"/>
      <c r="LVR55" s="557"/>
      <c r="LVS55" s="557"/>
      <c r="LVT55" s="557"/>
      <c r="LVU55" s="557"/>
      <c r="LVV55" s="557"/>
      <c r="LVW55" s="557"/>
      <c r="LVX55" s="557"/>
      <c r="LVY55" s="557"/>
      <c r="LVZ55" s="557"/>
      <c r="LWA55" s="557"/>
      <c r="LWB55" s="557"/>
      <c r="LWC55" s="557"/>
      <c r="LWD55" s="557"/>
      <c r="LWE55" s="557"/>
      <c r="LWF55" s="557"/>
      <c r="LWG55" s="557"/>
      <c r="LWH55" s="557"/>
      <c r="LWI55" s="661"/>
      <c r="LWJ55" s="556"/>
      <c r="LWK55" s="557"/>
      <c r="LWL55" s="557"/>
      <c r="LWM55" s="557"/>
      <c r="LWN55" s="557"/>
      <c r="LWO55" s="557"/>
      <c r="LWP55" s="557"/>
      <c r="LWQ55" s="557"/>
      <c r="LWR55" s="557"/>
      <c r="LWS55" s="557"/>
      <c r="LWT55" s="557"/>
      <c r="LWU55" s="557"/>
      <c r="LWV55" s="557"/>
      <c r="LWW55" s="557"/>
      <c r="LWX55" s="557"/>
      <c r="LWY55" s="557"/>
      <c r="LWZ55" s="557"/>
      <c r="LXA55" s="557"/>
      <c r="LXB55" s="557"/>
      <c r="LXC55" s="661"/>
      <c r="LXD55" s="556"/>
      <c r="LXE55" s="557"/>
      <c r="LXF55" s="557"/>
      <c r="LXG55" s="557"/>
      <c r="LXH55" s="557"/>
      <c r="LXI55" s="557"/>
      <c r="LXJ55" s="557"/>
      <c r="LXK55" s="557"/>
      <c r="LXL55" s="557"/>
      <c r="LXM55" s="557"/>
      <c r="LXN55" s="557"/>
      <c r="LXO55" s="557"/>
      <c r="LXP55" s="557"/>
      <c r="LXQ55" s="557"/>
      <c r="LXR55" s="557"/>
      <c r="LXS55" s="557"/>
      <c r="LXT55" s="557"/>
      <c r="LXU55" s="557"/>
      <c r="LXV55" s="557"/>
      <c r="LXW55" s="661"/>
      <c r="LXX55" s="556"/>
      <c r="LXY55" s="557"/>
      <c r="LXZ55" s="557"/>
      <c r="LYA55" s="557"/>
      <c r="LYB55" s="557"/>
      <c r="LYC55" s="557"/>
      <c r="LYD55" s="557"/>
      <c r="LYE55" s="557"/>
      <c r="LYF55" s="557"/>
      <c r="LYG55" s="557"/>
      <c r="LYH55" s="557"/>
      <c r="LYI55" s="557"/>
      <c r="LYJ55" s="557"/>
      <c r="LYK55" s="557"/>
      <c r="LYL55" s="557"/>
      <c r="LYM55" s="557"/>
      <c r="LYN55" s="557"/>
      <c r="LYO55" s="557"/>
      <c r="LYP55" s="557"/>
      <c r="LYQ55" s="661"/>
      <c r="LYR55" s="556"/>
      <c r="LYS55" s="557"/>
      <c r="LYT55" s="557"/>
      <c r="LYU55" s="557"/>
      <c r="LYV55" s="557"/>
      <c r="LYW55" s="557"/>
      <c r="LYX55" s="557"/>
      <c r="LYY55" s="557"/>
      <c r="LYZ55" s="557"/>
      <c r="LZA55" s="557"/>
      <c r="LZB55" s="557"/>
      <c r="LZC55" s="557"/>
      <c r="LZD55" s="557"/>
      <c r="LZE55" s="557"/>
      <c r="LZF55" s="557"/>
      <c r="LZG55" s="557"/>
      <c r="LZH55" s="557"/>
      <c r="LZI55" s="557"/>
      <c r="LZJ55" s="557"/>
      <c r="LZK55" s="661"/>
      <c r="LZL55" s="556"/>
      <c r="LZM55" s="557"/>
      <c r="LZN55" s="557"/>
      <c r="LZO55" s="557"/>
      <c r="LZP55" s="557"/>
      <c r="LZQ55" s="557"/>
      <c r="LZR55" s="557"/>
      <c r="LZS55" s="557"/>
      <c r="LZT55" s="557"/>
      <c r="LZU55" s="557"/>
      <c r="LZV55" s="557"/>
      <c r="LZW55" s="557"/>
      <c r="LZX55" s="557"/>
      <c r="LZY55" s="557"/>
      <c r="LZZ55" s="557"/>
      <c r="MAA55" s="557"/>
      <c r="MAB55" s="557"/>
      <c r="MAC55" s="557"/>
      <c r="MAD55" s="557"/>
      <c r="MAE55" s="661"/>
      <c r="MAF55" s="556"/>
      <c r="MAG55" s="557"/>
      <c r="MAH55" s="557"/>
      <c r="MAI55" s="557"/>
      <c r="MAJ55" s="557"/>
      <c r="MAK55" s="557"/>
      <c r="MAL55" s="557"/>
      <c r="MAM55" s="557"/>
      <c r="MAN55" s="557"/>
      <c r="MAO55" s="557"/>
      <c r="MAP55" s="557"/>
      <c r="MAQ55" s="557"/>
      <c r="MAR55" s="557"/>
      <c r="MAS55" s="557"/>
      <c r="MAT55" s="557"/>
      <c r="MAU55" s="557"/>
      <c r="MAV55" s="557"/>
      <c r="MAW55" s="557"/>
      <c r="MAX55" s="557"/>
      <c r="MAY55" s="661"/>
      <c r="MAZ55" s="556"/>
      <c r="MBA55" s="557"/>
      <c r="MBB55" s="557"/>
      <c r="MBC55" s="557"/>
      <c r="MBD55" s="557"/>
      <c r="MBE55" s="557"/>
      <c r="MBF55" s="557"/>
      <c r="MBG55" s="557"/>
      <c r="MBH55" s="557"/>
      <c r="MBI55" s="557"/>
      <c r="MBJ55" s="557"/>
      <c r="MBK55" s="557"/>
      <c r="MBL55" s="557"/>
      <c r="MBM55" s="557"/>
      <c r="MBN55" s="557"/>
      <c r="MBO55" s="557"/>
      <c r="MBP55" s="557"/>
      <c r="MBQ55" s="557"/>
      <c r="MBR55" s="557"/>
      <c r="MBS55" s="661"/>
      <c r="MBT55" s="556"/>
      <c r="MBU55" s="557"/>
      <c r="MBV55" s="557"/>
      <c r="MBW55" s="557"/>
      <c r="MBX55" s="557"/>
      <c r="MBY55" s="557"/>
      <c r="MBZ55" s="557"/>
      <c r="MCA55" s="557"/>
      <c r="MCB55" s="557"/>
      <c r="MCC55" s="557"/>
      <c r="MCD55" s="557"/>
      <c r="MCE55" s="557"/>
      <c r="MCF55" s="557"/>
      <c r="MCG55" s="557"/>
      <c r="MCH55" s="557"/>
      <c r="MCI55" s="557"/>
      <c r="MCJ55" s="557"/>
      <c r="MCK55" s="557"/>
      <c r="MCL55" s="557"/>
      <c r="MCM55" s="661"/>
      <c r="MCN55" s="556"/>
      <c r="MCO55" s="557"/>
      <c r="MCP55" s="557"/>
      <c r="MCQ55" s="557"/>
      <c r="MCR55" s="557"/>
      <c r="MCS55" s="557"/>
      <c r="MCT55" s="557"/>
      <c r="MCU55" s="557"/>
      <c r="MCV55" s="557"/>
      <c r="MCW55" s="557"/>
      <c r="MCX55" s="557"/>
      <c r="MCY55" s="557"/>
      <c r="MCZ55" s="557"/>
      <c r="MDA55" s="557"/>
      <c r="MDB55" s="557"/>
      <c r="MDC55" s="557"/>
      <c r="MDD55" s="557"/>
      <c r="MDE55" s="557"/>
      <c r="MDF55" s="557"/>
      <c r="MDG55" s="661"/>
      <c r="MDH55" s="556"/>
      <c r="MDI55" s="557"/>
      <c r="MDJ55" s="557"/>
      <c r="MDK55" s="557"/>
      <c r="MDL55" s="557"/>
      <c r="MDM55" s="557"/>
      <c r="MDN55" s="557"/>
      <c r="MDO55" s="557"/>
      <c r="MDP55" s="557"/>
      <c r="MDQ55" s="557"/>
      <c r="MDR55" s="557"/>
      <c r="MDS55" s="557"/>
      <c r="MDT55" s="557"/>
      <c r="MDU55" s="557"/>
      <c r="MDV55" s="557"/>
      <c r="MDW55" s="557"/>
      <c r="MDX55" s="557"/>
      <c r="MDY55" s="557"/>
      <c r="MDZ55" s="557"/>
      <c r="MEA55" s="661"/>
      <c r="MEB55" s="556"/>
      <c r="MEC55" s="557"/>
      <c r="MED55" s="557"/>
      <c r="MEE55" s="557"/>
      <c r="MEF55" s="557"/>
      <c r="MEG55" s="557"/>
      <c r="MEH55" s="557"/>
      <c r="MEI55" s="557"/>
      <c r="MEJ55" s="557"/>
      <c r="MEK55" s="557"/>
      <c r="MEL55" s="557"/>
      <c r="MEM55" s="557"/>
      <c r="MEN55" s="557"/>
      <c r="MEO55" s="557"/>
      <c r="MEP55" s="557"/>
      <c r="MEQ55" s="557"/>
      <c r="MER55" s="557"/>
      <c r="MES55" s="557"/>
      <c r="MET55" s="557"/>
      <c r="MEU55" s="661"/>
      <c r="MEV55" s="556"/>
      <c r="MEW55" s="557"/>
      <c r="MEX55" s="557"/>
      <c r="MEY55" s="557"/>
      <c r="MEZ55" s="557"/>
      <c r="MFA55" s="557"/>
      <c r="MFB55" s="557"/>
      <c r="MFC55" s="557"/>
      <c r="MFD55" s="557"/>
      <c r="MFE55" s="557"/>
      <c r="MFF55" s="557"/>
      <c r="MFG55" s="557"/>
      <c r="MFH55" s="557"/>
      <c r="MFI55" s="557"/>
      <c r="MFJ55" s="557"/>
      <c r="MFK55" s="557"/>
      <c r="MFL55" s="557"/>
      <c r="MFM55" s="557"/>
      <c r="MFN55" s="557"/>
      <c r="MFO55" s="661"/>
      <c r="MFP55" s="556"/>
      <c r="MFQ55" s="557"/>
      <c r="MFR55" s="557"/>
      <c r="MFS55" s="557"/>
      <c r="MFT55" s="557"/>
      <c r="MFU55" s="557"/>
      <c r="MFV55" s="557"/>
      <c r="MFW55" s="557"/>
      <c r="MFX55" s="557"/>
      <c r="MFY55" s="557"/>
      <c r="MFZ55" s="557"/>
      <c r="MGA55" s="557"/>
      <c r="MGB55" s="557"/>
      <c r="MGC55" s="557"/>
      <c r="MGD55" s="557"/>
      <c r="MGE55" s="557"/>
      <c r="MGF55" s="557"/>
      <c r="MGG55" s="557"/>
      <c r="MGH55" s="557"/>
      <c r="MGI55" s="661"/>
      <c r="MGJ55" s="556"/>
      <c r="MGK55" s="557"/>
      <c r="MGL55" s="557"/>
      <c r="MGM55" s="557"/>
      <c r="MGN55" s="557"/>
      <c r="MGO55" s="557"/>
      <c r="MGP55" s="557"/>
      <c r="MGQ55" s="557"/>
      <c r="MGR55" s="557"/>
      <c r="MGS55" s="557"/>
      <c r="MGT55" s="557"/>
      <c r="MGU55" s="557"/>
      <c r="MGV55" s="557"/>
      <c r="MGW55" s="557"/>
      <c r="MGX55" s="557"/>
      <c r="MGY55" s="557"/>
      <c r="MGZ55" s="557"/>
      <c r="MHA55" s="557"/>
      <c r="MHB55" s="557"/>
      <c r="MHC55" s="661"/>
      <c r="MHD55" s="556"/>
      <c r="MHE55" s="557"/>
      <c r="MHF55" s="557"/>
      <c r="MHG55" s="557"/>
      <c r="MHH55" s="557"/>
      <c r="MHI55" s="557"/>
      <c r="MHJ55" s="557"/>
      <c r="MHK55" s="557"/>
      <c r="MHL55" s="557"/>
      <c r="MHM55" s="557"/>
      <c r="MHN55" s="557"/>
      <c r="MHO55" s="557"/>
      <c r="MHP55" s="557"/>
      <c r="MHQ55" s="557"/>
      <c r="MHR55" s="557"/>
      <c r="MHS55" s="557"/>
      <c r="MHT55" s="557"/>
      <c r="MHU55" s="557"/>
      <c r="MHV55" s="557"/>
      <c r="MHW55" s="661"/>
      <c r="MHX55" s="556"/>
      <c r="MHY55" s="557"/>
      <c r="MHZ55" s="557"/>
      <c r="MIA55" s="557"/>
      <c r="MIB55" s="557"/>
      <c r="MIC55" s="557"/>
      <c r="MID55" s="557"/>
      <c r="MIE55" s="557"/>
      <c r="MIF55" s="557"/>
      <c r="MIG55" s="557"/>
      <c r="MIH55" s="557"/>
      <c r="MII55" s="557"/>
      <c r="MIJ55" s="557"/>
      <c r="MIK55" s="557"/>
      <c r="MIL55" s="557"/>
      <c r="MIM55" s="557"/>
      <c r="MIN55" s="557"/>
      <c r="MIO55" s="557"/>
      <c r="MIP55" s="557"/>
      <c r="MIQ55" s="661"/>
      <c r="MIR55" s="556"/>
      <c r="MIS55" s="557"/>
      <c r="MIT55" s="557"/>
      <c r="MIU55" s="557"/>
      <c r="MIV55" s="557"/>
      <c r="MIW55" s="557"/>
      <c r="MIX55" s="557"/>
      <c r="MIY55" s="557"/>
      <c r="MIZ55" s="557"/>
      <c r="MJA55" s="557"/>
      <c r="MJB55" s="557"/>
      <c r="MJC55" s="557"/>
      <c r="MJD55" s="557"/>
      <c r="MJE55" s="557"/>
      <c r="MJF55" s="557"/>
      <c r="MJG55" s="557"/>
      <c r="MJH55" s="557"/>
      <c r="MJI55" s="557"/>
      <c r="MJJ55" s="557"/>
      <c r="MJK55" s="661"/>
      <c r="MJL55" s="556"/>
      <c r="MJM55" s="557"/>
      <c r="MJN55" s="557"/>
      <c r="MJO55" s="557"/>
      <c r="MJP55" s="557"/>
      <c r="MJQ55" s="557"/>
      <c r="MJR55" s="557"/>
      <c r="MJS55" s="557"/>
      <c r="MJT55" s="557"/>
      <c r="MJU55" s="557"/>
      <c r="MJV55" s="557"/>
      <c r="MJW55" s="557"/>
      <c r="MJX55" s="557"/>
      <c r="MJY55" s="557"/>
      <c r="MJZ55" s="557"/>
      <c r="MKA55" s="557"/>
      <c r="MKB55" s="557"/>
      <c r="MKC55" s="557"/>
      <c r="MKD55" s="557"/>
      <c r="MKE55" s="661"/>
      <c r="MKF55" s="556"/>
      <c r="MKG55" s="557"/>
      <c r="MKH55" s="557"/>
      <c r="MKI55" s="557"/>
      <c r="MKJ55" s="557"/>
      <c r="MKK55" s="557"/>
      <c r="MKL55" s="557"/>
      <c r="MKM55" s="557"/>
      <c r="MKN55" s="557"/>
      <c r="MKO55" s="557"/>
      <c r="MKP55" s="557"/>
      <c r="MKQ55" s="557"/>
      <c r="MKR55" s="557"/>
      <c r="MKS55" s="557"/>
      <c r="MKT55" s="557"/>
      <c r="MKU55" s="557"/>
      <c r="MKV55" s="557"/>
      <c r="MKW55" s="557"/>
      <c r="MKX55" s="557"/>
      <c r="MKY55" s="661"/>
      <c r="MKZ55" s="556"/>
      <c r="MLA55" s="557"/>
      <c r="MLB55" s="557"/>
      <c r="MLC55" s="557"/>
      <c r="MLD55" s="557"/>
      <c r="MLE55" s="557"/>
      <c r="MLF55" s="557"/>
      <c r="MLG55" s="557"/>
      <c r="MLH55" s="557"/>
      <c r="MLI55" s="557"/>
      <c r="MLJ55" s="557"/>
      <c r="MLK55" s="557"/>
      <c r="MLL55" s="557"/>
      <c r="MLM55" s="557"/>
      <c r="MLN55" s="557"/>
      <c r="MLO55" s="557"/>
      <c r="MLP55" s="557"/>
      <c r="MLQ55" s="557"/>
      <c r="MLR55" s="557"/>
      <c r="MLS55" s="661"/>
      <c r="MLT55" s="556"/>
      <c r="MLU55" s="557"/>
      <c r="MLV55" s="557"/>
      <c r="MLW55" s="557"/>
      <c r="MLX55" s="557"/>
      <c r="MLY55" s="557"/>
      <c r="MLZ55" s="557"/>
      <c r="MMA55" s="557"/>
      <c r="MMB55" s="557"/>
      <c r="MMC55" s="557"/>
      <c r="MMD55" s="557"/>
      <c r="MME55" s="557"/>
      <c r="MMF55" s="557"/>
      <c r="MMG55" s="557"/>
      <c r="MMH55" s="557"/>
      <c r="MMI55" s="557"/>
      <c r="MMJ55" s="557"/>
      <c r="MMK55" s="557"/>
      <c r="MML55" s="557"/>
      <c r="MMM55" s="661"/>
      <c r="MMN55" s="556"/>
      <c r="MMO55" s="557"/>
      <c r="MMP55" s="557"/>
      <c r="MMQ55" s="557"/>
      <c r="MMR55" s="557"/>
      <c r="MMS55" s="557"/>
      <c r="MMT55" s="557"/>
      <c r="MMU55" s="557"/>
      <c r="MMV55" s="557"/>
      <c r="MMW55" s="557"/>
      <c r="MMX55" s="557"/>
      <c r="MMY55" s="557"/>
      <c r="MMZ55" s="557"/>
      <c r="MNA55" s="557"/>
      <c r="MNB55" s="557"/>
      <c r="MNC55" s="557"/>
      <c r="MND55" s="557"/>
      <c r="MNE55" s="557"/>
      <c r="MNF55" s="557"/>
      <c r="MNG55" s="661"/>
      <c r="MNH55" s="556"/>
      <c r="MNI55" s="557"/>
      <c r="MNJ55" s="557"/>
      <c r="MNK55" s="557"/>
      <c r="MNL55" s="557"/>
      <c r="MNM55" s="557"/>
      <c r="MNN55" s="557"/>
      <c r="MNO55" s="557"/>
      <c r="MNP55" s="557"/>
      <c r="MNQ55" s="557"/>
      <c r="MNR55" s="557"/>
      <c r="MNS55" s="557"/>
      <c r="MNT55" s="557"/>
      <c r="MNU55" s="557"/>
      <c r="MNV55" s="557"/>
      <c r="MNW55" s="557"/>
      <c r="MNX55" s="557"/>
      <c r="MNY55" s="557"/>
      <c r="MNZ55" s="557"/>
      <c r="MOA55" s="661"/>
      <c r="MOB55" s="556"/>
      <c r="MOC55" s="557"/>
      <c r="MOD55" s="557"/>
      <c r="MOE55" s="557"/>
      <c r="MOF55" s="557"/>
      <c r="MOG55" s="557"/>
      <c r="MOH55" s="557"/>
      <c r="MOI55" s="557"/>
      <c r="MOJ55" s="557"/>
      <c r="MOK55" s="557"/>
      <c r="MOL55" s="557"/>
      <c r="MOM55" s="557"/>
      <c r="MON55" s="557"/>
      <c r="MOO55" s="557"/>
      <c r="MOP55" s="557"/>
      <c r="MOQ55" s="557"/>
      <c r="MOR55" s="557"/>
      <c r="MOS55" s="557"/>
      <c r="MOT55" s="557"/>
      <c r="MOU55" s="661"/>
      <c r="MOV55" s="556"/>
      <c r="MOW55" s="557"/>
      <c r="MOX55" s="557"/>
      <c r="MOY55" s="557"/>
      <c r="MOZ55" s="557"/>
      <c r="MPA55" s="557"/>
      <c r="MPB55" s="557"/>
      <c r="MPC55" s="557"/>
      <c r="MPD55" s="557"/>
      <c r="MPE55" s="557"/>
      <c r="MPF55" s="557"/>
      <c r="MPG55" s="557"/>
      <c r="MPH55" s="557"/>
      <c r="MPI55" s="557"/>
      <c r="MPJ55" s="557"/>
      <c r="MPK55" s="557"/>
      <c r="MPL55" s="557"/>
      <c r="MPM55" s="557"/>
      <c r="MPN55" s="557"/>
      <c r="MPO55" s="661"/>
      <c r="MPP55" s="556"/>
      <c r="MPQ55" s="557"/>
      <c r="MPR55" s="557"/>
      <c r="MPS55" s="557"/>
      <c r="MPT55" s="557"/>
      <c r="MPU55" s="557"/>
      <c r="MPV55" s="557"/>
      <c r="MPW55" s="557"/>
      <c r="MPX55" s="557"/>
      <c r="MPY55" s="557"/>
      <c r="MPZ55" s="557"/>
      <c r="MQA55" s="557"/>
      <c r="MQB55" s="557"/>
      <c r="MQC55" s="557"/>
      <c r="MQD55" s="557"/>
      <c r="MQE55" s="557"/>
      <c r="MQF55" s="557"/>
      <c r="MQG55" s="557"/>
      <c r="MQH55" s="557"/>
      <c r="MQI55" s="661"/>
      <c r="MQJ55" s="556"/>
      <c r="MQK55" s="557"/>
      <c r="MQL55" s="557"/>
      <c r="MQM55" s="557"/>
      <c r="MQN55" s="557"/>
      <c r="MQO55" s="557"/>
      <c r="MQP55" s="557"/>
      <c r="MQQ55" s="557"/>
      <c r="MQR55" s="557"/>
      <c r="MQS55" s="557"/>
      <c r="MQT55" s="557"/>
      <c r="MQU55" s="557"/>
      <c r="MQV55" s="557"/>
      <c r="MQW55" s="557"/>
      <c r="MQX55" s="557"/>
      <c r="MQY55" s="557"/>
      <c r="MQZ55" s="557"/>
      <c r="MRA55" s="557"/>
      <c r="MRB55" s="557"/>
      <c r="MRC55" s="661"/>
      <c r="MRD55" s="556"/>
      <c r="MRE55" s="557"/>
      <c r="MRF55" s="557"/>
      <c r="MRG55" s="557"/>
      <c r="MRH55" s="557"/>
      <c r="MRI55" s="557"/>
      <c r="MRJ55" s="557"/>
      <c r="MRK55" s="557"/>
      <c r="MRL55" s="557"/>
      <c r="MRM55" s="557"/>
      <c r="MRN55" s="557"/>
      <c r="MRO55" s="557"/>
      <c r="MRP55" s="557"/>
      <c r="MRQ55" s="557"/>
      <c r="MRR55" s="557"/>
      <c r="MRS55" s="557"/>
      <c r="MRT55" s="557"/>
      <c r="MRU55" s="557"/>
      <c r="MRV55" s="557"/>
      <c r="MRW55" s="661"/>
      <c r="MRX55" s="556"/>
      <c r="MRY55" s="557"/>
      <c r="MRZ55" s="557"/>
      <c r="MSA55" s="557"/>
      <c r="MSB55" s="557"/>
      <c r="MSC55" s="557"/>
      <c r="MSD55" s="557"/>
      <c r="MSE55" s="557"/>
      <c r="MSF55" s="557"/>
      <c r="MSG55" s="557"/>
      <c r="MSH55" s="557"/>
      <c r="MSI55" s="557"/>
      <c r="MSJ55" s="557"/>
      <c r="MSK55" s="557"/>
      <c r="MSL55" s="557"/>
      <c r="MSM55" s="557"/>
      <c r="MSN55" s="557"/>
      <c r="MSO55" s="557"/>
      <c r="MSP55" s="557"/>
      <c r="MSQ55" s="661"/>
      <c r="MSR55" s="556"/>
      <c r="MSS55" s="557"/>
      <c r="MST55" s="557"/>
      <c r="MSU55" s="557"/>
      <c r="MSV55" s="557"/>
      <c r="MSW55" s="557"/>
      <c r="MSX55" s="557"/>
      <c r="MSY55" s="557"/>
      <c r="MSZ55" s="557"/>
      <c r="MTA55" s="557"/>
      <c r="MTB55" s="557"/>
      <c r="MTC55" s="557"/>
      <c r="MTD55" s="557"/>
      <c r="MTE55" s="557"/>
      <c r="MTF55" s="557"/>
      <c r="MTG55" s="557"/>
      <c r="MTH55" s="557"/>
      <c r="MTI55" s="557"/>
      <c r="MTJ55" s="557"/>
      <c r="MTK55" s="661"/>
      <c r="MTL55" s="556"/>
      <c r="MTM55" s="557"/>
      <c r="MTN55" s="557"/>
      <c r="MTO55" s="557"/>
      <c r="MTP55" s="557"/>
      <c r="MTQ55" s="557"/>
      <c r="MTR55" s="557"/>
      <c r="MTS55" s="557"/>
      <c r="MTT55" s="557"/>
      <c r="MTU55" s="557"/>
      <c r="MTV55" s="557"/>
      <c r="MTW55" s="557"/>
      <c r="MTX55" s="557"/>
      <c r="MTY55" s="557"/>
      <c r="MTZ55" s="557"/>
      <c r="MUA55" s="557"/>
      <c r="MUB55" s="557"/>
      <c r="MUC55" s="557"/>
      <c r="MUD55" s="557"/>
      <c r="MUE55" s="661"/>
      <c r="MUF55" s="556"/>
      <c r="MUG55" s="557"/>
      <c r="MUH55" s="557"/>
      <c r="MUI55" s="557"/>
      <c r="MUJ55" s="557"/>
      <c r="MUK55" s="557"/>
      <c r="MUL55" s="557"/>
      <c r="MUM55" s="557"/>
      <c r="MUN55" s="557"/>
      <c r="MUO55" s="557"/>
      <c r="MUP55" s="557"/>
      <c r="MUQ55" s="557"/>
      <c r="MUR55" s="557"/>
      <c r="MUS55" s="557"/>
      <c r="MUT55" s="557"/>
      <c r="MUU55" s="557"/>
      <c r="MUV55" s="557"/>
      <c r="MUW55" s="557"/>
      <c r="MUX55" s="557"/>
      <c r="MUY55" s="661"/>
      <c r="MUZ55" s="556"/>
      <c r="MVA55" s="557"/>
      <c r="MVB55" s="557"/>
      <c r="MVC55" s="557"/>
      <c r="MVD55" s="557"/>
      <c r="MVE55" s="557"/>
      <c r="MVF55" s="557"/>
      <c r="MVG55" s="557"/>
      <c r="MVH55" s="557"/>
      <c r="MVI55" s="557"/>
      <c r="MVJ55" s="557"/>
      <c r="MVK55" s="557"/>
      <c r="MVL55" s="557"/>
      <c r="MVM55" s="557"/>
      <c r="MVN55" s="557"/>
      <c r="MVO55" s="557"/>
      <c r="MVP55" s="557"/>
      <c r="MVQ55" s="557"/>
      <c r="MVR55" s="557"/>
      <c r="MVS55" s="661"/>
      <c r="MVT55" s="556"/>
      <c r="MVU55" s="557"/>
      <c r="MVV55" s="557"/>
      <c r="MVW55" s="557"/>
      <c r="MVX55" s="557"/>
      <c r="MVY55" s="557"/>
      <c r="MVZ55" s="557"/>
      <c r="MWA55" s="557"/>
      <c r="MWB55" s="557"/>
      <c r="MWC55" s="557"/>
      <c r="MWD55" s="557"/>
      <c r="MWE55" s="557"/>
      <c r="MWF55" s="557"/>
      <c r="MWG55" s="557"/>
      <c r="MWH55" s="557"/>
      <c r="MWI55" s="557"/>
      <c r="MWJ55" s="557"/>
      <c r="MWK55" s="557"/>
      <c r="MWL55" s="557"/>
      <c r="MWM55" s="661"/>
      <c r="MWN55" s="556"/>
      <c r="MWO55" s="557"/>
      <c r="MWP55" s="557"/>
      <c r="MWQ55" s="557"/>
      <c r="MWR55" s="557"/>
      <c r="MWS55" s="557"/>
      <c r="MWT55" s="557"/>
      <c r="MWU55" s="557"/>
      <c r="MWV55" s="557"/>
      <c r="MWW55" s="557"/>
      <c r="MWX55" s="557"/>
      <c r="MWY55" s="557"/>
      <c r="MWZ55" s="557"/>
      <c r="MXA55" s="557"/>
      <c r="MXB55" s="557"/>
      <c r="MXC55" s="557"/>
      <c r="MXD55" s="557"/>
      <c r="MXE55" s="557"/>
      <c r="MXF55" s="557"/>
      <c r="MXG55" s="661"/>
      <c r="MXH55" s="556"/>
      <c r="MXI55" s="557"/>
      <c r="MXJ55" s="557"/>
      <c r="MXK55" s="557"/>
      <c r="MXL55" s="557"/>
      <c r="MXM55" s="557"/>
      <c r="MXN55" s="557"/>
      <c r="MXO55" s="557"/>
      <c r="MXP55" s="557"/>
      <c r="MXQ55" s="557"/>
      <c r="MXR55" s="557"/>
      <c r="MXS55" s="557"/>
      <c r="MXT55" s="557"/>
      <c r="MXU55" s="557"/>
      <c r="MXV55" s="557"/>
      <c r="MXW55" s="557"/>
      <c r="MXX55" s="557"/>
      <c r="MXY55" s="557"/>
      <c r="MXZ55" s="557"/>
      <c r="MYA55" s="661"/>
      <c r="MYB55" s="556"/>
      <c r="MYC55" s="557"/>
      <c r="MYD55" s="557"/>
      <c r="MYE55" s="557"/>
      <c r="MYF55" s="557"/>
      <c r="MYG55" s="557"/>
      <c r="MYH55" s="557"/>
      <c r="MYI55" s="557"/>
      <c r="MYJ55" s="557"/>
      <c r="MYK55" s="557"/>
      <c r="MYL55" s="557"/>
      <c r="MYM55" s="557"/>
      <c r="MYN55" s="557"/>
      <c r="MYO55" s="557"/>
      <c r="MYP55" s="557"/>
      <c r="MYQ55" s="557"/>
      <c r="MYR55" s="557"/>
      <c r="MYS55" s="557"/>
      <c r="MYT55" s="557"/>
      <c r="MYU55" s="661"/>
      <c r="MYV55" s="556"/>
      <c r="MYW55" s="557"/>
      <c r="MYX55" s="557"/>
      <c r="MYY55" s="557"/>
      <c r="MYZ55" s="557"/>
      <c r="MZA55" s="557"/>
      <c r="MZB55" s="557"/>
      <c r="MZC55" s="557"/>
      <c r="MZD55" s="557"/>
      <c r="MZE55" s="557"/>
      <c r="MZF55" s="557"/>
      <c r="MZG55" s="557"/>
      <c r="MZH55" s="557"/>
      <c r="MZI55" s="557"/>
      <c r="MZJ55" s="557"/>
      <c r="MZK55" s="557"/>
      <c r="MZL55" s="557"/>
      <c r="MZM55" s="557"/>
      <c r="MZN55" s="557"/>
      <c r="MZO55" s="661"/>
      <c r="MZP55" s="556"/>
      <c r="MZQ55" s="557"/>
      <c r="MZR55" s="557"/>
      <c r="MZS55" s="557"/>
      <c r="MZT55" s="557"/>
      <c r="MZU55" s="557"/>
      <c r="MZV55" s="557"/>
      <c r="MZW55" s="557"/>
      <c r="MZX55" s="557"/>
      <c r="MZY55" s="557"/>
      <c r="MZZ55" s="557"/>
      <c r="NAA55" s="557"/>
      <c r="NAB55" s="557"/>
      <c r="NAC55" s="557"/>
      <c r="NAD55" s="557"/>
      <c r="NAE55" s="557"/>
      <c r="NAF55" s="557"/>
      <c r="NAG55" s="557"/>
      <c r="NAH55" s="557"/>
      <c r="NAI55" s="661"/>
      <c r="NAJ55" s="556"/>
      <c r="NAK55" s="557"/>
      <c r="NAL55" s="557"/>
      <c r="NAM55" s="557"/>
      <c r="NAN55" s="557"/>
      <c r="NAO55" s="557"/>
      <c r="NAP55" s="557"/>
      <c r="NAQ55" s="557"/>
      <c r="NAR55" s="557"/>
      <c r="NAS55" s="557"/>
      <c r="NAT55" s="557"/>
      <c r="NAU55" s="557"/>
      <c r="NAV55" s="557"/>
      <c r="NAW55" s="557"/>
      <c r="NAX55" s="557"/>
      <c r="NAY55" s="557"/>
      <c r="NAZ55" s="557"/>
      <c r="NBA55" s="557"/>
      <c r="NBB55" s="557"/>
      <c r="NBC55" s="661"/>
      <c r="NBD55" s="556"/>
      <c r="NBE55" s="557"/>
      <c r="NBF55" s="557"/>
      <c r="NBG55" s="557"/>
      <c r="NBH55" s="557"/>
      <c r="NBI55" s="557"/>
      <c r="NBJ55" s="557"/>
      <c r="NBK55" s="557"/>
      <c r="NBL55" s="557"/>
      <c r="NBM55" s="557"/>
      <c r="NBN55" s="557"/>
      <c r="NBO55" s="557"/>
      <c r="NBP55" s="557"/>
      <c r="NBQ55" s="557"/>
      <c r="NBR55" s="557"/>
      <c r="NBS55" s="557"/>
      <c r="NBT55" s="557"/>
      <c r="NBU55" s="557"/>
      <c r="NBV55" s="557"/>
      <c r="NBW55" s="661"/>
      <c r="NBX55" s="556"/>
      <c r="NBY55" s="557"/>
      <c r="NBZ55" s="557"/>
      <c r="NCA55" s="557"/>
      <c r="NCB55" s="557"/>
      <c r="NCC55" s="557"/>
      <c r="NCD55" s="557"/>
      <c r="NCE55" s="557"/>
      <c r="NCF55" s="557"/>
      <c r="NCG55" s="557"/>
      <c r="NCH55" s="557"/>
      <c r="NCI55" s="557"/>
      <c r="NCJ55" s="557"/>
      <c r="NCK55" s="557"/>
      <c r="NCL55" s="557"/>
      <c r="NCM55" s="557"/>
      <c r="NCN55" s="557"/>
      <c r="NCO55" s="557"/>
      <c r="NCP55" s="557"/>
      <c r="NCQ55" s="661"/>
      <c r="NCR55" s="556"/>
      <c r="NCS55" s="557"/>
      <c r="NCT55" s="557"/>
      <c r="NCU55" s="557"/>
      <c r="NCV55" s="557"/>
      <c r="NCW55" s="557"/>
      <c r="NCX55" s="557"/>
      <c r="NCY55" s="557"/>
      <c r="NCZ55" s="557"/>
      <c r="NDA55" s="557"/>
      <c r="NDB55" s="557"/>
      <c r="NDC55" s="557"/>
      <c r="NDD55" s="557"/>
      <c r="NDE55" s="557"/>
      <c r="NDF55" s="557"/>
      <c r="NDG55" s="557"/>
      <c r="NDH55" s="557"/>
      <c r="NDI55" s="557"/>
      <c r="NDJ55" s="557"/>
      <c r="NDK55" s="661"/>
      <c r="NDL55" s="556"/>
      <c r="NDM55" s="557"/>
      <c r="NDN55" s="557"/>
      <c r="NDO55" s="557"/>
      <c r="NDP55" s="557"/>
      <c r="NDQ55" s="557"/>
      <c r="NDR55" s="557"/>
      <c r="NDS55" s="557"/>
      <c r="NDT55" s="557"/>
      <c r="NDU55" s="557"/>
      <c r="NDV55" s="557"/>
      <c r="NDW55" s="557"/>
      <c r="NDX55" s="557"/>
      <c r="NDY55" s="557"/>
      <c r="NDZ55" s="557"/>
      <c r="NEA55" s="557"/>
      <c r="NEB55" s="557"/>
      <c r="NEC55" s="557"/>
      <c r="NED55" s="557"/>
      <c r="NEE55" s="661"/>
      <c r="NEF55" s="556"/>
      <c r="NEG55" s="557"/>
      <c r="NEH55" s="557"/>
      <c r="NEI55" s="557"/>
      <c r="NEJ55" s="557"/>
      <c r="NEK55" s="557"/>
      <c r="NEL55" s="557"/>
      <c r="NEM55" s="557"/>
      <c r="NEN55" s="557"/>
      <c r="NEO55" s="557"/>
      <c r="NEP55" s="557"/>
      <c r="NEQ55" s="557"/>
      <c r="NER55" s="557"/>
      <c r="NES55" s="557"/>
      <c r="NET55" s="557"/>
      <c r="NEU55" s="557"/>
      <c r="NEV55" s="557"/>
      <c r="NEW55" s="557"/>
      <c r="NEX55" s="557"/>
      <c r="NEY55" s="661"/>
      <c r="NEZ55" s="556"/>
      <c r="NFA55" s="557"/>
      <c r="NFB55" s="557"/>
      <c r="NFC55" s="557"/>
      <c r="NFD55" s="557"/>
      <c r="NFE55" s="557"/>
      <c r="NFF55" s="557"/>
      <c r="NFG55" s="557"/>
      <c r="NFH55" s="557"/>
      <c r="NFI55" s="557"/>
      <c r="NFJ55" s="557"/>
      <c r="NFK55" s="557"/>
      <c r="NFL55" s="557"/>
      <c r="NFM55" s="557"/>
      <c r="NFN55" s="557"/>
      <c r="NFO55" s="557"/>
      <c r="NFP55" s="557"/>
      <c r="NFQ55" s="557"/>
      <c r="NFR55" s="557"/>
      <c r="NFS55" s="661"/>
      <c r="NFT55" s="556"/>
      <c r="NFU55" s="557"/>
      <c r="NFV55" s="557"/>
      <c r="NFW55" s="557"/>
      <c r="NFX55" s="557"/>
      <c r="NFY55" s="557"/>
      <c r="NFZ55" s="557"/>
      <c r="NGA55" s="557"/>
      <c r="NGB55" s="557"/>
      <c r="NGC55" s="557"/>
      <c r="NGD55" s="557"/>
      <c r="NGE55" s="557"/>
      <c r="NGF55" s="557"/>
      <c r="NGG55" s="557"/>
      <c r="NGH55" s="557"/>
      <c r="NGI55" s="557"/>
      <c r="NGJ55" s="557"/>
      <c r="NGK55" s="557"/>
      <c r="NGL55" s="557"/>
      <c r="NGM55" s="661"/>
      <c r="NGN55" s="556"/>
      <c r="NGO55" s="557"/>
      <c r="NGP55" s="557"/>
      <c r="NGQ55" s="557"/>
      <c r="NGR55" s="557"/>
      <c r="NGS55" s="557"/>
      <c r="NGT55" s="557"/>
      <c r="NGU55" s="557"/>
      <c r="NGV55" s="557"/>
      <c r="NGW55" s="557"/>
      <c r="NGX55" s="557"/>
      <c r="NGY55" s="557"/>
      <c r="NGZ55" s="557"/>
      <c r="NHA55" s="557"/>
      <c r="NHB55" s="557"/>
      <c r="NHC55" s="557"/>
      <c r="NHD55" s="557"/>
      <c r="NHE55" s="557"/>
      <c r="NHF55" s="557"/>
      <c r="NHG55" s="661"/>
      <c r="NHH55" s="556"/>
      <c r="NHI55" s="557"/>
      <c r="NHJ55" s="557"/>
      <c r="NHK55" s="557"/>
      <c r="NHL55" s="557"/>
      <c r="NHM55" s="557"/>
      <c r="NHN55" s="557"/>
      <c r="NHO55" s="557"/>
      <c r="NHP55" s="557"/>
      <c r="NHQ55" s="557"/>
      <c r="NHR55" s="557"/>
      <c r="NHS55" s="557"/>
      <c r="NHT55" s="557"/>
      <c r="NHU55" s="557"/>
      <c r="NHV55" s="557"/>
      <c r="NHW55" s="557"/>
      <c r="NHX55" s="557"/>
      <c r="NHY55" s="557"/>
      <c r="NHZ55" s="557"/>
      <c r="NIA55" s="661"/>
      <c r="NIB55" s="556"/>
      <c r="NIC55" s="557"/>
      <c r="NID55" s="557"/>
      <c r="NIE55" s="557"/>
      <c r="NIF55" s="557"/>
      <c r="NIG55" s="557"/>
      <c r="NIH55" s="557"/>
      <c r="NII55" s="557"/>
      <c r="NIJ55" s="557"/>
      <c r="NIK55" s="557"/>
      <c r="NIL55" s="557"/>
      <c r="NIM55" s="557"/>
      <c r="NIN55" s="557"/>
      <c r="NIO55" s="557"/>
      <c r="NIP55" s="557"/>
      <c r="NIQ55" s="557"/>
      <c r="NIR55" s="557"/>
      <c r="NIS55" s="557"/>
      <c r="NIT55" s="557"/>
      <c r="NIU55" s="661"/>
      <c r="NIV55" s="556"/>
      <c r="NIW55" s="557"/>
      <c r="NIX55" s="557"/>
      <c r="NIY55" s="557"/>
      <c r="NIZ55" s="557"/>
      <c r="NJA55" s="557"/>
      <c r="NJB55" s="557"/>
      <c r="NJC55" s="557"/>
      <c r="NJD55" s="557"/>
      <c r="NJE55" s="557"/>
      <c r="NJF55" s="557"/>
      <c r="NJG55" s="557"/>
      <c r="NJH55" s="557"/>
      <c r="NJI55" s="557"/>
      <c r="NJJ55" s="557"/>
      <c r="NJK55" s="557"/>
      <c r="NJL55" s="557"/>
      <c r="NJM55" s="557"/>
      <c r="NJN55" s="557"/>
      <c r="NJO55" s="661"/>
      <c r="NJP55" s="556"/>
      <c r="NJQ55" s="557"/>
      <c r="NJR55" s="557"/>
      <c r="NJS55" s="557"/>
      <c r="NJT55" s="557"/>
      <c r="NJU55" s="557"/>
      <c r="NJV55" s="557"/>
      <c r="NJW55" s="557"/>
      <c r="NJX55" s="557"/>
      <c r="NJY55" s="557"/>
      <c r="NJZ55" s="557"/>
      <c r="NKA55" s="557"/>
      <c r="NKB55" s="557"/>
      <c r="NKC55" s="557"/>
      <c r="NKD55" s="557"/>
      <c r="NKE55" s="557"/>
      <c r="NKF55" s="557"/>
      <c r="NKG55" s="557"/>
      <c r="NKH55" s="557"/>
      <c r="NKI55" s="661"/>
      <c r="NKJ55" s="556"/>
      <c r="NKK55" s="557"/>
      <c r="NKL55" s="557"/>
      <c r="NKM55" s="557"/>
      <c r="NKN55" s="557"/>
      <c r="NKO55" s="557"/>
      <c r="NKP55" s="557"/>
      <c r="NKQ55" s="557"/>
      <c r="NKR55" s="557"/>
      <c r="NKS55" s="557"/>
      <c r="NKT55" s="557"/>
      <c r="NKU55" s="557"/>
      <c r="NKV55" s="557"/>
      <c r="NKW55" s="557"/>
      <c r="NKX55" s="557"/>
      <c r="NKY55" s="557"/>
      <c r="NKZ55" s="557"/>
      <c r="NLA55" s="557"/>
      <c r="NLB55" s="557"/>
      <c r="NLC55" s="661"/>
      <c r="NLD55" s="556"/>
      <c r="NLE55" s="557"/>
      <c r="NLF55" s="557"/>
      <c r="NLG55" s="557"/>
      <c r="NLH55" s="557"/>
      <c r="NLI55" s="557"/>
      <c r="NLJ55" s="557"/>
      <c r="NLK55" s="557"/>
      <c r="NLL55" s="557"/>
      <c r="NLM55" s="557"/>
      <c r="NLN55" s="557"/>
      <c r="NLO55" s="557"/>
      <c r="NLP55" s="557"/>
      <c r="NLQ55" s="557"/>
      <c r="NLR55" s="557"/>
      <c r="NLS55" s="557"/>
      <c r="NLT55" s="557"/>
      <c r="NLU55" s="557"/>
      <c r="NLV55" s="557"/>
      <c r="NLW55" s="661"/>
      <c r="NLX55" s="556"/>
      <c r="NLY55" s="557"/>
      <c r="NLZ55" s="557"/>
      <c r="NMA55" s="557"/>
      <c r="NMB55" s="557"/>
      <c r="NMC55" s="557"/>
      <c r="NMD55" s="557"/>
      <c r="NME55" s="557"/>
      <c r="NMF55" s="557"/>
      <c r="NMG55" s="557"/>
      <c r="NMH55" s="557"/>
      <c r="NMI55" s="557"/>
      <c r="NMJ55" s="557"/>
      <c r="NMK55" s="557"/>
      <c r="NML55" s="557"/>
      <c r="NMM55" s="557"/>
      <c r="NMN55" s="557"/>
      <c r="NMO55" s="557"/>
      <c r="NMP55" s="557"/>
      <c r="NMQ55" s="661"/>
      <c r="NMR55" s="556"/>
      <c r="NMS55" s="557"/>
      <c r="NMT55" s="557"/>
      <c r="NMU55" s="557"/>
      <c r="NMV55" s="557"/>
      <c r="NMW55" s="557"/>
      <c r="NMX55" s="557"/>
      <c r="NMY55" s="557"/>
      <c r="NMZ55" s="557"/>
      <c r="NNA55" s="557"/>
      <c r="NNB55" s="557"/>
      <c r="NNC55" s="557"/>
      <c r="NND55" s="557"/>
      <c r="NNE55" s="557"/>
      <c r="NNF55" s="557"/>
      <c r="NNG55" s="557"/>
      <c r="NNH55" s="557"/>
      <c r="NNI55" s="557"/>
      <c r="NNJ55" s="557"/>
      <c r="NNK55" s="661"/>
      <c r="NNL55" s="556"/>
      <c r="NNM55" s="557"/>
      <c r="NNN55" s="557"/>
      <c r="NNO55" s="557"/>
      <c r="NNP55" s="557"/>
      <c r="NNQ55" s="557"/>
      <c r="NNR55" s="557"/>
      <c r="NNS55" s="557"/>
      <c r="NNT55" s="557"/>
      <c r="NNU55" s="557"/>
      <c r="NNV55" s="557"/>
      <c r="NNW55" s="557"/>
      <c r="NNX55" s="557"/>
      <c r="NNY55" s="557"/>
      <c r="NNZ55" s="557"/>
      <c r="NOA55" s="557"/>
      <c r="NOB55" s="557"/>
      <c r="NOC55" s="557"/>
      <c r="NOD55" s="557"/>
      <c r="NOE55" s="661"/>
      <c r="NOF55" s="556"/>
      <c r="NOG55" s="557"/>
      <c r="NOH55" s="557"/>
      <c r="NOI55" s="557"/>
      <c r="NOJ55" s="557"/>
      <c r="NOK55" s="557"/>
      <c r="NOL55" s="557"/>
      <c r="NOM55" s="557"/>
      <c r="NON55" s="557"/>
      <c r="NOO55" s="557"/>
      <c r="NOP55" s="557"/>
      <c r="NOQ55" s="557"/>
      <c r="NOR55" s="557"/>
      <c r="NOS55" s="557"/>
      <c r="NOT55" s="557"/>
      <c r="NOU55" s="557"/>
      <c r="NOV55" s="557"/>
      <c r="NOW55" s="557"/>
      <c r="NOX55" s="557"/>
      <c r="NOY55" s="661"/>
      <c r="NOZ55" s="556"/>
      <c r="NPA55" s="557"/>
      <c r="NPB55" s="557"/>
      <c r="NPC55" s="557"/>
      <c r="NPD55" s="557"/>
      <c r="NPE55" s="557"/>
      <c r="NPF55" s="557"/>
      <c r="NPG55" s="557"/>
      <c r="NPH55" s="557"/>
      <c r="NPI55" s="557"/>
      <c r="NPJ55" s="557"/>
      <c r="NPK55" s="557"/>
      <c r="NPL55" s="557"/>
      <c r="NPM55" s="557"/>
      <c r="NPN55" s="557"/>
      <c r="NPO55" s="557"/>
      <c r="NPP55" s="557"/>
      <c r="NPQ55" s="557"/>
      <c r="NPR55" s="557"/>
      <c r="NPS55" s="661"/>
      <c r="NPT55" s="556"/>
      <c r="NPU55" s="557"/>
      <c r="NPV55" s="557"/>
      <c r="NPW55" s="557"/>
      <c r="NPX55" s="557"/>
      <c r="NPY55" s="557"/>
      <c r="NPZ55" s="557"/>
      <c r="NQA55" s="557"/>
      <c r="NQB55" s="557"/>
      <c r="NQC55" s="557"/>
      <c r="NQD55" s="557"/>
      <c r="NQE55" s="557"/>
      <c r="NQF55" s="557"/>
      <c r="NQG55" s="557"/>
      <c r="NQH55" s="557"/>
      <c r="NQI55" s="557"/>
      <c r="NQJ55" s="557"/>
      <c r="NQK55" s="557"/>
      <c r="NQL55" s="557"/>
      <c r="NQM55" s="661"/>
      <c r="NQN55" s="556"/>
      <c r="NQO55" s="557"/>
      <c r="NQP55" s="557"/>
      <c r="NQQ55" s="557"/>
      <c r="NQR55" s="557"/>
      <c r="NQS55" s="557"/>
      <c r="NQT55" s="557"/>
      <c r="NQU55" s="557"/>
      <c r="NQV55" s="557"/>
      <c r="NQW55" s="557"/>
      <c r="NQX55" s="557"/>
      <c r="NQY55" s="557"/>
      <c r="NQZ55" s="557"/>
      <c r="NRA55" s="557"/>
      <c r="NRB55" s="557"/>
      <c r="NRC55" s="557"/>
      <c r="NRD55" s="557"/>
      <c r="NRE55" s="557"/>
      <c r="NRF55" s="557"/>
      <c r="NRG55" s="661"/>
      <c r="NRH55" s="556"/>
      <c r="NRI55" s="557"/>
      <c r="NRJ55" s="557"/>
      <c r="NRK55" s="557"/>
      <c r="NRL55" s="557"/>
      <c r="NRM55" s="557"/>
      <c r="NRN55" s="557"/>
      <c r="NRO55" s="557"/>
      <c r="NRP55" s="557"/>
      <c r="NRQ55" s="557"/>
      <c r="NRR55" s="557"/>
      <c r="NRS55" s="557"/>
      <c r="NRT55" s="557"/>
      <c r="NRU55" s="557"/>
      <c r="NRV55" s="557"/>
      <c r="NRW55" s="557"/>
      <c r="NRX55" s="557"/>
      <c r="NRY55" s="557"/>
      <c r="NRZ55" s="557"/>
      <c r="NSA55" s="661"/>
      <c r="NSB55" s="556"/>
      <c r="NSC55" s="557"/>
      <c r="NSD55" s="557"/>
      <c r="NSE55" s="557"/>
      <c r="NSF55" s="557"/>
      <c r="NSG55" s="557"/>
      <c r="NSH55" s="557"/>
      <c r="NSI55" s="557"/>
      <c r="NSJ55" s="557"/>
      <c r="NSK55" s="557"/>
      <c r="NSL55" s="557"/>
      <c r="NSM55" s="557"/>
      <c r="NSN55" s="557"/>
      <c r="NSO55" s="557"/>
      <c r="NSP55" s="557"/>
      <c r="NSQ55" s="557"/>
      <c r="NSR55" s="557"/>
      <c r="NSS55" s="557"/>
      <c r="NST55" s="557"/>
      <c r="NSU55" s="661"/>
      <c r="NSV55" s="556"/>
      <c r="NSW55" s="557"/>
      <c r="NSX55" s="557"/>
      <c r="NSY55" s="557"/>
      <c r="NSZ55" s="557"/>
      <c r="NTA55" s="557"/>
      <c r="NTB55" s="557"/>
      <c r="NTC55" s="557"/>
      <c r="NTD55" s="557"/>
      <c r="NTE55" s="557"/>
      <c r="NTF55" s="557"/>
      <c r="NTG55" s="557"/>
      <c r="NTH55" s="557"/>
      <c r="NTI55" s="557"/>
      <c r="NTJ55" s="557"/>
      <c r="NTK55" s="557"/>
      <c r="NTL55" s="557"/>
      <c r="NTM55" s="557"/>
      <c r="NTN55" s="557"/>
      <c r="NTO55" s="661"/>
      <c r="NTP55" s="556"/>
      <c r="NTQ55" s="557"/>
      <c r="NTR55" s="557"/>
      <c r="NTS55" s="557"/>
      <c r="NTT55" s="557"/>
      <c r="NTU55" s="557"/>
      <c r="NTV55" s="557"/>
      <c r="NTW55" s="557"/>
      <c r="NTX55" s="557"/>
      <c r="NTY55" s="557"/>
      <c r="NTZ55" s="557"/>
      <c r="NUA55" s="557"/>
      <c r="NUB55" s="557"/>
      <c r="NUC55" s="557"/>
      <c r="NUD55" s="557"/>
      <c r="NUE55" s="557"/>
      <c r="NUF55" s="557"/>
      <c r="NUG55" s="557"/>
      <c r="NUH55" s="557"/>
      <c r="NUI55" s="661"/>
      <c r="NUJ55" s="556"/>
      <c r="NUK55" s="557"/>
      <c r="NUL55" s="557"/>
      <c r="NUM55" s="557"/>
      <c r="NUN55" s="557"/>
      <c r="NUO55" s="557"/>
      <c r="NUP55" s="557"/>
      <c r="NUQ55" s="557"/>
      <c r="NUR55" s="557"/>
      <c r="NUS55" s="557"/>
      <c r="NUT55" s="557"/>
      <c r="NUU55" s="557"/>
      <c r="NUV55" s="557"/>
      <c r="NUW55" s="557"/>
      <c r="NUX55" s="557"/>
      <c r="NUY55" s="557"/>
      <c r="NUZ55" s="557"/>
      <c r="NVA55" s="557"/>
      <c r="NVB55" s="557"/>
      <c r="NVC55" s="661"/>
      <c r="NVD55" s="556"/>
      <c r="NVE55" s="557"/>
      <c r="NVF55" s="557"/>
      <c r="NVG55" s="557"/>
      <c r="NVH55" s="557"/>
      <c r="NVI55" s="557"/>
      <c r="NVJ55" s="557"/>
      <c r="NVK55" s="557"/>
      <c r="NVL55" s="557"/>
      <c r="NVM55" s="557"/>
      <c r="NVN55" s="557"/>
      <c r="NVO55" s="557"/>
      <c r="NVP55" s="557"/>
      <c r="NVQ55" s="557"/>
      <c r="NVR55" s="557"/>
      <c r="NVS55" s="557"/>
      <c r="NVT55" s="557"/>
      <c r="NVU55" s="557"/>
      <c r="NVV55" s="557"/>
      <c r="NVW55" s="661"/>
      <c r="NVX55" s="556"/>
      <c r="NVY55" s="557"/>
      <c r="NVZ55" s="557"/>
      <c r="NWA55" s="557"/>
      <c r="NWB55" s="557"/>
      <c r="NWC55" s="557"/>
      <c r="NWD55" s="557"/>
      <c r="NWE55" s="557"/>
      <c r="NWF55" s="557"/>
      <c r="NWG55" s="557"/>
      <c r="NWH55" s="557"/>
      <c r="NWI55" s="557"/>
      <c r="NWJ55" s="557"/>
      <c r="NWK55" s="557"/>
      <c r="NWL55" s="557"/>
      <c r="NWM55" s="557"/>
      <c r="NWN55" s="557"/>
      <c r="NWO55" s="557"/>
      <c r="NWP55" s="557"/>
      <c r="NWQ55" s="661"/>
      <c r="NWR55" s="556"/>
      <c r="NWS55" s="557"/>
      <c r="NWT55" s="557"/>
      <c r="NWU55" s="557"/>
      <c r="NWV55" s="557"/>
      <c r="NWW55" s="557"/>
      <c r="NWX55" s="557"/>
      <c r="NWY55" s="557"/>
      <c r="NWZ55" s="557"/>
      <c r="NXA55" s="557"/>
      <c r="NXB55" s="557"/>
      <c r="NXC55" s="557"/>
      <c r="NXD55" s="557"/>
      <c r="NXE55" s="557"/>
      <c r="NXF55" s="557"/>
      <c r="NXG55" s="557"/>
      <c r="NXH55" s="557"/>
      <c r="NXI55" s="557"/>
      <c r="NXJ55" s="557"/>
      <c r="NXK55" s="661"/>
      <c r="NXL55" s="556"/>
      <c r="NXM55" s="557"/>
      <c r="NXN55" s="557"/>
      <c r="NXO55" s="557"/>
      <c r="NXP55" s="557"/>
      <c r="NXQ55" s="557"/>
      <c r="NXR55" s="557"/>
      <c r="NXS55" s="557"/>
      <c r="NXT55" s="557"/>
      <c r="NXU55" s="557"/>
      <c r="NXV55" s="557"/>
      <c r="NXW55" s="557"/>
      <c r="NXX55" s="557"/>
      <c r="NXY55" s="557"/>
      <c r="NXZ55" s="557"/>
      <c r="NYA55" s="557"/>
      <c r="NYB55" s="557"/>
      <c r="NYC55" s="557"/>
      <c r="NYD55" s="557"/>
      <c r="NYE55" s="661"/>
      <c r="NYF55" s="556"/>
      <c r="NYG55" s="557"/>
      <c r="NYH55" s="557"/>
      <c r="NYI55" s="557"/>
      <c r="NYJ55" s="557"/>
      <c r="NYK55" s="557"/>
      <c r="NYL55" s="557"/>
      <c r="NYM55" s="557"/>
      <c r="NYN55" s="557"/>
      <c r="NYO55" s="557"/>
      <c r="NYP55" s="557"/>
      <c r="NYQ55" s="557"/>
      <c r="NYR55" s="557"/>
      <c r="NYS55" s="557"/>
      <c r="NYT55" s="557"/>
      <c r="NYU55" s="557"/>
      <c r="NYV55" s="557"/>
      <c r="NYW55" s="557"/>
      <c r="NYX55" s="557"/>
      <c r="NYY55" s="661"/>
      <c r="NYZ55" s="556"/>
      <c r="NZA55" s="557"/>
      <c r="NZB55" s="557"/>
      <c r="NZC55" s="557"/>
      <c r="NZD55" s="557"/>
      <c r="NZE55" s="557"/>
      <c r="NZF55" s="557"/>
      <c r="NZG55" s="557"/>
      <c r="NZH55" s="557"/>
      <c r="NZI55" s="557"/>
      <c r="NZJ55" s="557"/>
      <c r="NZK55" s="557"/>
      <c r="NZL55" s="557"/>
      <c r="NZM55" s="557"/>
      <c r="NZN55" s="557"/>
      <c r="NZO55" s="557"/>
      <c r="NZP55" s="557"/>
      <c r="NZQ55" s="557"/>
      <c r="NZR55" s="557"/>
      <c r="NZS55" s="661"/>
      <c r="NZT55" s="556"/>
      <c r="NZU55" s="557"/>
      <c r="NZV55" s="557"/>
      <c r="NZW55" s="557"/>
      <c r="NZX55" s="557"/>
      <c r="NZY55" s="557"/>
      <c r="NZZ55" s="557"/>
      <c r="OAA55" s="557"/>
      <c r="OAB55" s="557"/>
      <c r="OAC55" s="557"/>
      <c r="OAD55" s="557"/>
      <c r="OAE55" s="557"/>
      <c r="OAF55" s="557"/>
      <c r="OAG55" s="557"/>
      <c r="OAH55" s="557"/>
      <c r="OAI55" s="557"/>
      <c r="OAJ55" s="557"/>
      <c r="OAK55" s="557"/>
      <c r="OAL55" s="557"/>
      <c r="OAM55" s="661"/>
      <c r="OAN55" s="556"/>
      <c r="OAO55" s="557"/>
      <c r="OAP55" s="557"/>
      <c r="OAQ55" s="557"/>
      <c r="OAR55" s="557"/>
      <c r="OAS55" s="557"/>
      <c r="OAT55" s="557"/>
      <c r="OAU55" s="557"/>
      <c r="OAV55" s="557"/>
      <c r="OAW55" s="557"/>
      <c r="OAX55" s="557"/>
      <c r="OAY55" s="557"/>
      <c r="OAZ55" s="557"/>
      <c r="OBA55" s="557"/>
      <c r="OBB55" s="557"/>
      <c r="OBC55" s="557"/>
      <c r="OBD55" s="557"/>
      <c r="OBE55" s="557"/>
      <c r="OBF55" s="557"/>
      <c r="OBG55" s="661"/>
      <c r="OBH55" s="556"/>
      <c r="OBI55" s="557"/>
      <c r="OBJ55" s="557"/>
      <c r="OBK55" s="557"/>
      <c r="OBL55" s="557"/>
      <c r="OBM55" s="557"/>
      <c r="OBN55" s="557"/>
      <c r="OBO55" s="557"/>
      <c r="OBP55" s="557"/>
      <c r="OBQ55" s="557"/>
      <c r="OBR55" s="557"/>
      <c r="OBS55" s="557"/>
      <c r="OBT55" s="557"/>
      <c r="OBU55" s="557"/>
      <c r="OBV55" s="557"/>
      <c r="OBW55" s="557"/>
      <c r="OBX55" s="557"/>
      <c r="OBY55" s="557"/>
      <c r="OBZ55" s="557"/>
      <c r="OCA55" s="661"/>
      <c r="OCB55" s="556"/>
      <c r="OCC55" s="557"/>
      <c r="OCD55" s="557"/>
      <c r="OCE55" s="557"/>
      <c r="OCF55" s="557"/>
      <c r="OCG55" s="557"/>
      <c r="OCH55" s="557"/>
      <c r="OCI55" s="557"/>
      <c r="OCJ55" s="557"/>
      <c r="OCK55" s="557"/>
      <c r="OCL55" s="557"/>
      <c r="OCM55" s="557"/>
      <c r="OCN55" s="557"/>
      <c r="OCO55" s="557"/>
      <c r="OCP55" s="557"/>
      <c r="OCQ55" s="557"/>
      <c r="OCR55" s="557"/>
      <c r="OCS55" s="557"/>
      <c r="OCT55" s="557"/>
      <c r="OCU55" s="661"/>
      <c r="OCV55" s="556"/>
      <c r="OCW55" s="557"/>
      <c r="OCX55" s="557"/>
      <c r="OCY55" s="557"/>
      <c r="OCZ55" s="557"/>
      <c r="ODA55" s="557"/>
      <c r="ODB55" s="557"/>
      <c r="ODC55" s="557"/>
      <c r="ODD55" s="557"/>
      <c r="ODE55" s="557"/>
      <c r="ODF55" s="557"/>
      <c r="ODG55" s="557"/>
      <c r="ODH55" s="557"/>
      <c r="ODI55" s="557"/>
      <c r="ODJ55" s="557"/>
      <c r="ODK55" s="557"/>
      <c r="ODL55" s="557"/>
      <c r="ODM55" s="557"/>
      <c r="ODN55" s="557"/>
      <c r="ODO55" s="661"/>
      <c r="ODP55" s="556"/>
      <c r="ODQ55" s="557"/>
      <c r="ODR55" s="557"/>
      <c r="ODS55" s="557"/>
      <c r="ODT55" s="557"/>
      <c r="ODU55" s="557"/>
      <c r="ODV55" s="557"/>
      <c r="ODW55" s="557"/>
      <c r="ODX55" s="557"/>
      <c r="ODY55" s="557"/>
      <c r="ODZ55" s="557"/>
      <c r="OEA55" s="557"/>
      <c r="OEB55" s="557"/>
      <c r="OEC55" s="557"/>
      <c r="OED55" s="557"/>
      <c r="OEE55" s="557"/>
      <c r="OEF55" s="557"/>
      <c r="OEG55" s="557"/>
      <c r="OEH55" s="557"/>
      <c r="OEI55" s="661"/>
      <c r="OEJ55" s="556"/>
      <c r="OEK55" s="557"/>
      <c r="OEL55" s="557"/>
      <c r="OEM55" s="557"/>
      <c r="OEN55" s="557"/>
      <c r="OEO55" s="557"/>
      <c r="OEP55" s="557"/>
      <c r="OEQ55" s="557"/>
      <c r="OER55" s="557"/>
      <c r="OES55" s="557"/>
      <c r="OET55" s="557"/>
      <c r="OEU55" s="557"/>
      <c r="OEV55" s="557"/>
      <c r="OEW55" s="557"/>
      <c r="OEX55" s="557"/>
      <c r="OEY55" s="557"/>
      <c r="OEZ55" s="557"/>
      <c r="OFA55" s="557"/>
      <c r="OFB55" s="557"/>
      <c r="OFC55" s="661"/>
      <c r="OFD55" s="556"/>
      <c r="OFE55" s="557"/>
      <c r="OFF55" s="557"/>
      <c r="OFG55" s="557"/>
      <c r="OFH55" s="557"/>
      <c r="OFI55" s="557"/>
      <c r="OFJ55" s="557"/>
      <c r="OFK55" s="557"/>
      <c r="OFL55" s="557"/>
      <c r="OFM55" s="557"/>
      <c r="OFN55" s="557"/>
      <c r="OFO55" s="557"/>
      <c r="OFP55" s="557"/>
      <c r="OFQ55" s="557"/>
      <c r="OFR55" s="557"/>
      <c r="OFS55" s="557"/>
      <c r="OFT55" s="557"/>
      <c r="OFU55" s="557"/>
      <c r="OFV55" s="557"/>
      <c r="OFW55" s="661"/>
      <c r="OFX55" s="556"/>
      <c r="OFY55" s="557"/>
      <c r="OFZ55" s="557"/>
      <c r="OGA55" s="557"/>
      <c r="OGB55" s="557"/>
      <c r="OGC55" s="557"/>
      <c r="OGD55" s="557"/>
      <c r="OGE55" s="557"/>
      <c r="OGF55" s="557"/>
      <c r="OGG55" s="557"/>
      <c r="OGH55" s="557"/>
      <c r="OGI55" s="557"/>
      <c r="OGJ55" s="557"/>
      <c r="OGK55" s="557"/>
      <c r="OGL55" s="557"/>
      <c r="OGM55" s="557"/>
      <c r="OGN55" s="557"/>
      <c r="OGO55" s="557"/>
      <c r="OGP55" s="557"/>
      <c r="OGQ55" s="661"/>
      <c r="OGR55" s="556"/>
      <c r="OGS55" s="557"/>
      <c r="OGT55" s="557"/>
      <c r="OGU55" s="557"/>
      <c r="OGV55" s="557"/>
      <c r="OGW55" s="557"/>
      <c r="OGX55" s="557"/>
      <c r="OGY55" s="557"/>
      <c r="OGZ55" s="557"/>
      <c r="OHA55" s="557"/>
      <c r="OHB55" s="557"/>
      <c r="OHC55" s="557"/>
      <c r="OHD55" s="557"/>
      <c r="OHE55" s="557"/>
      <c r="OHF55" s="557"/>
      <c r="OHG55" s="557"/>
      <c r="OHH55" s="557"/>
      <c r="OHI55" s="557"/>
      <c r="OHJ55" s="557"/>
      <c r="OHK55" s="661"/>
      <c r="OHL55" s="556"/>
      <c r="OHM55" s="557"/>
      <c r="OHN55" s="557"/>
      <c r="OHO55" s="557"/>
      <c r="OHP55" s="557"/>
      <c r="OHQ55" s="557"/>
      <c r="OHR55" s="557"/>
      <c r="OHS55" s="557"/>
      <c r="OHT55" s="557"/>
      <c r="OHU55" s="557"/>
      <c r="OHV55" s="557"/>
      <c r="OHW55" s="557"/>
      <c r="OHX55" s="557"/>
      <c r="OHY55" s="557"/>
      <c r="OHZ55" s="557"/>
      <c r="OIA55" s="557"/>
      <c r="OIB55" s="557"/>
      <c r="OIC55" s="557"/>
      <c r="OID55" s="557"/>
      <c r="OIE55" s="661"/>
      <c r="OIF55" s="556"/>
      <c r="OIG55" s="557"/>
      <c r="OIH55" s="557"/>
      <c r="OII55" s="557"/>
      <c r="OIJ55" s="557"/>
      <c r="OIK55" s="557"/>
      <c r="OIL55" s="557"/>
      <c r="OIM55" s="557"/>
      <c r="OIN55" s="557"/>
      <c r="OIO55" s="557"/>
      <c r="OIP55" s="557"/>
      <c r="OIQ55" s="557"/>
      <c r="OIR55" s="557"/>
      <c r="OIS55" s="557"/>
      <c r="OIT55" s="557"/>
      <c r="OIU55" s="557"/>
      <c r="OIV55" s="557"/>
      <c r="OIW55" s="557"/>
      <c r="OIX55" s="557"/>
      <c r="OIY55" s="661"/>
      <c r="OIZ55" s="556"/>
      <c r="OJA55" s="557"/>
      <c r="OJB55" s="557"/>
      <c r="OJC55" s="557"/>
      <c r="OJD55" s="557"/>
      <c r="OJE55" s="557"/>
      <c r="OJF55" s="557"/>
      <c r="OJG55" s="557"/>
      <c r="OJH55" s="557"/>
      <c r="OJI55" s="557"/>
      <c r="OJJ55" s="557"/>
      <c r="OJK55" s="557"/>
      <c r="OJL55" s="557"/>
      <c r="OJM55" s="557"/>
      <c r="OJN55" s="557"/>
      <c r="OJO55" s="557"/>
      <c r="OJP55" s="557"/>
      <c r="OJQ55" s="557"/>
      <c r="OJR55" s="557"/>
      <c r="OJS55" s="661"/>
      <c r="OJT55" s="556"/>
      <c r="OJU55" s="557"/>
      <c r="OJV55" s="557"/>
      <c r="OJW55" s="557"/>
      <c r="OJX55" s="557"/>
      <c r="OJY55" s="557"/>
      <c r="OJZ55" s="557"/>
      <c r="OKA55" s="557"/>
      <c r="OKB55" s="557"/>
      <c r="OKC55" s="557"/>
      <c r="OKD55" s="557"/>
      <c r="OKE55" s="557"/>
      <c r="OKF55" s="557"/>
      <c r="OKG55" s="557"/>
      <c r="OKH55" s="557"/>
      <c r="OKI55" s="557"/>
      <c r="OKJ55" s="557"/>
      <c r="OKK55" s="557"/>
      <c r="OKL55" s="557"/>
      <c r="OKM55" s="661"/>
      <c r="OKN55" s="556"/>
      <c r="OKO55" s="557"/>
      <c r="OKP55" s="557"/>
      <c r="OKQ55" s="557"/>
      <c r="OKR55" s="557"/>
      <c r="OKS55" s="557"/>
      <c r="OKT55" s="557"/>
      <c r="OKU55" s="557"/>
      <c r="OKV55" s="557"/>
      <c r="OKW55" s="557"/>
      <c r="OKX55" s="557"/>
      <c r="OKY55" s="557"/>
      <c r="OKZ55" s="557"/>
      <c r="OLA55" s="557"/>
      <c r="OLB55" s="557"/>
      <c r="OLC55" s="557"/>
      <c r="OLD55" s="557"/>
      <c r="OLE55" s="557"/>
      <c r="OLF55" s="557"/>
      <c r="OLG55" s="661"/>
      <c r="OLH55" s="556"/>
      <c r="OLI55" s="557"/>
      <c r="OLJ55" s="557"/>
      <c r="OLK55" s="557"/>
      <c r="OLL55" s="557"/>
      <c r="OLM55" s="557"/>
      <c r="OLN55" s="557"/>
      <c r="OLO55" s="557"/>
      <c r="OLP55" s="557"/>
      <c r="OLQ55" s="557"/>
      <c r="OLR55" s="557"/>
      <c r="OLS55" s="557"/>
      <c r="OLT55" s="557"/>
      <c r="OLU55" s="557"/>
      <c r="OLV55" s="557"/>
      <c r="OLW55" s="557"/>
      <c r="OLX55" s="557"/>
      <c r="OLY55" s="557"/>
      <c r="OLZ55" s="557"/>
      <c r="OMA55" s="661"/>
      <c r="OMB55" s="556"/>
      <c r="OMC55" s="557"/>
      <c r="OMD55" s="557"/>
      <c r="OME55" s="557"/>
      <c r="OMF55" s="557"/>
      <c r="OMG55" s="557"/>
      <c r="OMH55" s="557"/>
      <c r="OMI55" s="557"/>
      <c r="OMJ55" s="557"/>
      <c r="OMK55" s="557"/>
      <c r="OML55" s="557"/>
      <c r="OMM55" s="557"/>
      <c r="OMN55" s="557"/>
      <c r="OMO55" s="557"/>
      <c r="OMP55" s="557"/>
      <c r="OMQ55" s="557"/>
      <c r="OMR55" s="557"/>
      <c r="OMS55" s="557"/>
      <c r="OMT55" s="557"/>
      <c r="OMU55" s="661"/>
      <c r="OMV55" s="556"/>
      <c r="OMW55" s="557"/>
      <c r="OMX55" s="557"/>
      <c r="OMY55" s="557"/>
      <c r="OMZ55" s="557"/>
      <c r="ONA55" s="557"/>
      <c r="ONB55" s="557"/>
      <c r="ONC55" s="557"/>
      <c r="OND55" s="557"/>
      <c r="ONE55" s="557"/>
      <c r="ONF55" s="557"/>
      <c r="ONG55" s="557"/>
      <c r="ONH55" s="557"/>
      <c r="ONI55" s="557"/>
      <c r="ONJ55" s="557"/>
      <c r="ONK55" s="557"/>
      <c r="ONL55" s="557"/>
      <c r="ONM55" s="557"/>
      <c r="ONN55" s="557"/>
      <c r="ONO55" s="661"/>
      <c r="ONP55" s="556"/>
      <c r="ONQ55" s="557"/>
      <c r="ONR55" s="557"/>
      <c r="ONS55" s="557"/>
      <c r="ONT55" s="557"/>
      <c r="ONU55" s="557"/>
      <c r="ONV55" s="557"/>
      <c r="ONW55" s="557"/>
      <c r="ONX55" s="557"/>
      <c r="ONY55" s="557"/>
      <c r="ONZ55" s="557"/>
      <c r="OOA55" s="557"/>
      <c r="OOB55" s="557"/>
      <c r="OOC55" s="557"/>
      <c r="OOD55" s="557"/>
      <c r="OOE55" s="557"/>
      <c r="OOF55" s="557"/>
      <c r="OOG55" s="557"/>
      <c r="OOH55" s="557"/>
      <c r="OOI55" s="661"/>
      <c r="OOJ55" s="556"/>
      <c r="OOK55" s="557"/>
      <c r="OOL55" s="557"/>
      <c r="OOM55" s="557"/>
      <c r="OON55" s="557"/>
      <c r="OOO55" s="557"/>
      <c r="OOP55" s="557"/>
      <c r="OOQ55" s="557"/>
      <c r="OOR55" s="557"/>
      <c r="OOS55" s="557"/>
      <c r="OOT55" s="557"/>
      <c r="OOU55" s="557"/>
      <c r="OOV55" s="557"/>
      <c r="OOW55" s="557"/>
      <c r="OOX55" s="557"/>
      <c r="OOY55" s="557"/>
      <c r="OOZ55" s="557"/>
      <c r="OPA55" s="557"/>
      <c r="OPB55" s="557"/>
      <c r="OPC55" s="661"/>
      <c r="OPD55" s="556"/>
      <c r="OPE55" s="557"/>
      <c r="OPF55" s="557"/>
      <c r="OPG55" s="557"/>
      <c r="OPH55" s="557"/>
      <c r="OPI55" s="557"/>
      <c r="OPJ55" s="557"/>
      <c r="OPK55" s="557"/>
      <c r="OPL55" s="557"/>
      <c r="OPM55" s="557"/>
      <c r="OPN55" s="557"/>
      <c r="OPO55" s="557"/>
      <c r="OPP55" s="557"/>
      <c r="OPQ55" s="557"/>
      <c r="OPR55" s="557"/>
      <c r="OPS55" s="557"/>
      <c r="OPT55" s="557"/>
      <c r="OPU55" s="557"/>
      <c r="OPV55" s="557"/>
      <c r="OPW55" s="661"/>
      <c r="OPX55" s="556"/>
      <c r="OPY55" s="557"/>
      <c r="OPZ55" s="557"/>
      <c r="OQA55" s="557"/>
      <c r="OQB55" s="557"/>
      <c r="OQC55" s="557"/>
      <c r="OQD55" s="557"/>
      <c r="OQE55" s="557"/>
      <c r="OQF55" s="557"/>
      <c r="OQG55" s="557"/>
      <c r="OQH55" s="557"/>
      <c r="OQI55" s="557"/>
      <c r="OQJ55" s="557"/>
      <c r="OQK55" s="557"/>
      <c r="OQL55" s="557"/>
      <c r="OQM55" s="557"/>
      <c r="OQN55" s="557"/>
      <c r="OQO55" s="557"/>
      <c r="OQP55" s="557"/>
      <c r="OQQ55" s="661"/>
      <c r="OQR55" s="556"/>
      <c r="OQS55" s="557"/>
      <c r="OQT55" s="557"/>
      <c r="OQU55" s="557"/>
      <c r="OQV55" s="557"/>
      <c r="OQW55" s="557"/>
      <c r="OQX55" s="557"/>
      <c r="OQY55" s="557"/>
      <c r="OQZ55" s="557"/>
      <c r="ORA55" s="557"/>
      <c r="ORB55" s="557"/>
      <c r="ORC55" s="557"/>
      <c r="ORD55" s="557"/>
      <c r="ORE55" s="557"/>
      <c r="ORF55" s="557"/>
      <c r="ORG55" s="557"/>
      <c r="ORH55" s="557"/>
      <c r="ORI55" s="557"/>
      <c r="ORJ55" s="557"/>
      <c r="ORK55" s="661"/>
      <c r="ORL55" s="556"/>
      <c r="ORM55" s="557"/>
      <c r="ORN55" s="557"/>
      <c r="ORO55" s="557"/>
      <c r="ORP55" s="557"/>
      <c r="ORQ55" s="557"/>
      <c r="ORR55" s="557"/>
      <c r="ORS55" s="557"/>
      <c r="ORT55" s="557"/>
      <c r="ORU55" s="557"/>
      <c r="ORV55" s="557"/>
      <c r="ORW55" s="557"/>
      <c r="ORX55" s="557"/>
      <c r="ORY55" s="557"/>
      <c r="ORZ55" s="557"/>
      <c r="OSA55" s="557"/>
      <c r="OSB55" s="557"/>
      <c r="OSC55" s="557"/>
      <c r="OSD55" s="557"/>
      <c r="OSE55" s="661"/>
      <c r="OSF55" s="556"/>
      <c r="OSG55" s="557"/>
      <c r="OSH55" s="557"/>
      <c r="OSI55" s="557"/>
      <c r="OSJ55" s="557"/>
      <c r="OSK55" s="557"/>
      <c r="OSL55" s="557"/>
      <c r="OSM55" s="557"/>
      <c r="OSN55" s="557"/>
      <c r="OSO55" s="557"/>
      <c r="OSP55" s="557"/>
      <c r="OSQ55" s="557"/>
      <c r="OSR55" s="557"/>
      <c r="OSS55" s="557"/>
      <c r="OST55" s="557"/>
      <c r="OSU55" s="557"/>
      <c r="OSV55" s="557"/>
      <c r="OSW55" s="557"/>
      <c r="OSX55" s="557"/>
      <c r="OSY55" s="661"/>
      <c r="OSZ55" s="556"/>
      <c r="OTA55" s="557"/>
      <c r="OTB55" s="557"/>
      <c r="OTC55" s="557"/>
      <c r="OTD55" s="557"/>
      <c r="OTE55" s="557"/>
      <c r="OTF55" s="557"/>
      <c r="OTG55" s="557"/>
      <c r="OTH55" s="557"/>
      <c r="OTI55" s="557"/>
      <c r="OTJ55" s="557"/>
      <c r="OTK55" s="557"/>
      <c r="OTL55" s="557"/>
      <c r="OTM55" s="557"/>
      <c r="OTN55" s="557"/>
      <c r="OTO55" s="557"/>
      <c r="OTP55" s="557"/>
      <c r="OTQ55" s="557"/>
      <c r="OTR55" s="557"/>
      <c r="OTS55" s="661"/>
      <c r="OTT55" s="556"/>
      <c r="OTU55" s="557"/>
      <c r="OTV55" s="557"/>
      <c r="OTW55" s="557"/>
      <c r="OTX55" s="557"/>
      <c r="OTY55" s="557"/>
      <c r="OTZ55" s="557"/>
      <c r="OUA55" s="557"/>
      <c r="OUB55" s="557"/>
      <c r="OUC55" s="557"/>
      <c r="OUD55" s="557"/>
      <c r="OUE55" s="557"/>
      <c r="OUF55" s="557"/>
      <c r="OUG55" s="557"/>
      <c r="OUH55" s="557"/>
      <c r="OUI55" s="557"/>
      <c r="OUJ55" s="557"/>
      <c r="OUK55" s="557"/>
      <c r="OUL55" s="557"/>
      <c r="OUM55" s="661"/>
      <c r="OUN55" s="556"/>
      <c r="OUO55" s="557"/>
      <c r="OUP55" s="557"/>
      <c r="OUQ55" s="557"/>
      <c r="OUR55" s="557"/>
      <c r="OUS55" s="557"/>
      <c r="OUT55" s="557"/>
      <c r="OUU55" s="557"/>
      <c r="OUV55" s="557"/>
      <c r="OUW55" s="557"/>
      <c r="OUX55" s="557"/>
      <c r="OUY55" s="557"/>
      <c r="OUZ55" s="557"/>
      <c r="OVA55" s="557"/>
      <c r="OVB55" s="557"/>
      <c r="OVC55" s="557"/>
      <c r="OVD55" s="557"/>
      <c r="OVE55" s="557"/>
      <c r="OVF55" s="557"/>
      <c r="OVG55" s="661"/>
      <c r="OVH55" s="556"/>
      <c r="OVI55" s="557"/>
      <c r="OVJ55" s="557"/>
      <c r="OVK55" s="557"/>
      <c r="OVL55" s="557"/>
      <c r="OVM55" s="557"/>
      <c r="OVN55" s="557"/>
      <c r="OVO55" s="557"/>
      <c r="OVP55" s="557"/>
      <c r="OVQ55" s="557"/>
      <c r="OVR55" s="557"/>
      <c r="OVS55" s="557"/>
      <c r="OVT55" s="557"/>
      <c r="OVU55" s="557"/>
      <c r="OVV55" s="557"/>
      <c r="OVW55" s="557"/>
      <c r="OVX55" s="557"/>
      <c r="OVY55" s="557"/>
      <c r="OVZ55" s="557"/>
      <c r="OWA55" s="661"/>
      <c r="OWB55" s="556"/>
      <c r="OWC55" s="557"/>
      <c r="OWD55" s="557"/>
      <c r="OWE55" s="557"/>
      <c r="OWF55" s="557"/>
      <c r="OWG55" s="557"/>
      <c r="OWH55" s="557"/>
      <c r="OWI55" s="557"/>
      <c r="OWJ55" s="557"/>
      <c r="OWK55" s="557"/>
      <c r="OWL55" s="557"/>
      <c r="OWM55" s="557"/>
      <c r="OWN55" s="557"/>
      <c r="OWO55" s="557"/>
      <c r="OWP55" s="557"/>
      <c r="OWQ55" s="557"/>
      <c r="OWR55" s="557"/>
      <c r="OWS55" s="557"/>
      <c r="OWT55" s="557"/>
      <c r="OWU55" s="661"/>
      <c r="OWV55" s="556"/>
      <c r="OWW55" s="557"/>
      <c r="OWX55" s="557"/>
      <c r="OWY55" s="557"/>
      <c r="OWZ55" s="557"/>
      <c r="OXA55" s="557"/>
      <c r="OXB55" s="557"/>
      <c r="OXC55" s="557"/>
      <c r="OXD55" s="557"/>
      <c r="OXE55" s="557"/>
      <c r="OXF55" s="557"/>
      <c r="OXG55" s="557"/>
      <c r="OXH55" s="557"/>
      <c r="OXI55" s="557"/>
      <c r="OXJ55" s="557"/>
      <c r="OXK55" s="557"/>
      <c r="OXL55" s="557"/>
      <c r="OXM55" s="557"/>
      <c r="OXN55" s="557"/>
      <c r="OXO55" s="661"/>
      <c r="OXP55" s="556"/>
      <c r="OXQ55" s="557"/>
      <c r="OXR55" s="557"/>
      <c r="OXS55" s="557"/>
      <c r="OXT55" s="557"/>
      <c r="OXU55" s="557"/>
      <c r="OXV55" s="557"/>
      <c r="OXW55" s="557"/>
      <c r="OXX55" s="557"/>
      <c r="OXY55" s="557"/>
      <c r="OXZ55" s="557"/>
      <c r="OYA55" s="557"/>
      <c r="OYB55" s="557"/>
      <c r="OYC55" s="557"/>
      <c r="OYD55" s="557"/>
      <c r="OYE55" s="557"/>
      <c r="OYF55" s="557"/>
      <c r="OYG55" s="557"/>
      <c r="OYH55" s="557"/>
      <c r="OYI55" s="661"/>
      <c r="OYJ55" s="556"/>
      <c r="OYK55" s="557"/>
      <c r="OYL55" s="557"/>
      <c r="OYM55" s="557"/>
      <c r="OYN55" s="557"/>
      <c r="OYO55" s="557"/>
      <c r="OYP55" s="557"/>
      <c r="OYQ55" s="557"/>
      <c r="OYR55" s="557"/>
      <c r="OYS55" s="557"/>
      <c r="OYT55" s="557"/>
      <c r="OYU55" s="557"/>
      <c r="OYV55" s="557"/>
      <c r="OYW55" s="557"/>
      <c r="OYX55" s="557"/>
      <c r="OYY55" s="557"/>
      <c r="OYZ55" s="557"/>
      <c r="OZA55" s="557"/>
      <c r="OZB55" s="557"/>
      <c r="OZC55" s="661"/>
      <c r="OZD55" s="556"/>
      <c r="OZE55" s="557"/>
      <c r="OZF55" s="557"/>
      <c r="OZG55" s="557"/>
      <c r="OZH55" s="557"/>
      <c r="OZI55" s="557"/>
      <c r="OZJ55" s="557"/>
      <c r="OZK55" s="557"/>
      <c r="OZL55" s="557"/>
      <c r="OZM55" s="557"/>
      <c r="OZN55" s="557"/>
      <c r="OZO55" s="557"/>
      <c r="OZP55" s="557"/>
      <c r="OZQ55" s="557"/>
      <c r="OZR55" s="557"/>
      <c r="OZS55" s="557"/>
      <c r="OZT55" s="557"/>
      <c r="OZU55" s="557"/>
      <c r="OZV55" s="557"/>
      <c r="OZW55" s="661"/>
      <c r="OZX55" s="556"/>
      <c r="OZY55" s="557"/>
      <c r="OZZ55" s="557"/>
      <c r="PAA55" s="557"/>
      <c r="PAB55" s="557"/>
      <c r="PAC55" s="557"/>
      <c r="PAD55" s="557"/>
      <c r="PAE55" s="557"/>
      <c r="PAF55" s="557"/>
      <c r="PAG55" s="557"/>
      <c r="PAH55" s="557"/>
      <c r="PAI55" s="557"/>
      <c r="PAJ55" s="557"/>
      <c r="PAK55" s="557"/>
      <c r="PAL55" s="557"/>
      <c r="PAM55" s="557"/>
      <c r="PAN55" s="557"/>
      <c r="PAO55" s="557"/>
      <c r="PAP55" s="557"/>
      <c r="PAQ55" s="661"/>
      <c r="PAR55" s="556"/>
      <c r="PAS55" s="557"/>
      <c r="PAT55" s="557"/>
      <c r="PAU55" s="557"/>
      <c r="PAV55" s="557"/>
      <c r="PAW55" s="557"/>
      <c r="PAX55" s="557"/>
      <c r="PAY55" s="557"/>
      <c r="PAZ55" s="557"/>
      <c r="PBA55" s="557"/>
      <c r="PBB55" s="557"/>
      <c r="PBC55" s="557"/>
      <c r="PBD55" s="557"/>
      <c r="PBE55" s="557"/>
      <c r="PBF55" s="557"/>
      <c r="PBG55" s="557"/>
      <c r="PBH55" s="557"/>
      <c r="PBI55" s="557"/>
      <c r="PBJ55" s="557"/>
      <c r="PBK55" s="661"/>
      <c r="PBL55" s="556"/>
      <c r="PBM55" s="557"/>
      <c r="PBN55" s="557"/>
      <c r="PBO55" s="557"/>
      <c r="PBP55" s="557"/>
      <c r="PBQ55" s="557"/>
      <c r="PBR55" s="557"/>
      <c r="PBS55" s="557"/>
      <c r="PBT55" s="557"/>
      <c r="PBU55" s="557"/>
      <c r="PBV55" s="557"/>
      <c r="PBW55" s="557"/>
      <c r="PBX55" s="557"/>
      <c r="PBY55" s="557"/>
      <c r="PBZ55" s="557"/>
      <c r="PCA55" s="557"/>
      <c r="PCB55" s="557"/>
      <c r="PCC55" s="557"/>
      <c r="PCD55" s="557"/>
      <c r="PCE55" s="661"/>
      <c r="PCF55" s="556"/>
      <c r="PCG55" s="557"/>
      <c r="PCH55" s="557"/>
      <c r="PCI55" s="557"/>
      <c r="PCJ55" s="557"/>
      <c r="PCK55" s="557"/>
      <c r="PCL55" s="557"/>
      <c r="PCM55" s="557"/>
      <c r="PCN55" s="557"/>
      <c r="PCO55" s="557"/>
      <c r="PCP55" s="557"/>
      <c r="PCQ55" s="557"/>
      <c r="PCR55" s="557"/>
      <c r="PCS55" s="557"/>
      <c r="PCT55" s="557"/>
      <c r="PCU55" s="557"/>
      <c r="PCV55" s="557"/>
      <c r="PCW55" s="557"/>
      <c r="PCX55" s="557"/>
      <c r="PCY55" s="661"/>
      <c r="PCZ55" s="556"/>
      <c r="PDA55" s="557"/>
      <c r="PDB55" s="557"/>
      <c r="PDC55" s="557"/>
      <c r="PDD55" s="557"/>
      <c r="PDE55" s="557"/>
      <c r="PDF55" s="557"/>
      <c r="PDG55" s="557"/>
      <c r="PDH55" s="557"/>
      <c r="PDI55" s="557"/>
      <c r="PDJ55" s="557"/>
      <c r="PDK55" s="557"/>
      <c r="PDL55" s="557"/>
      <c r="PDM55" s="557"/>
      <c r="PDN55" s="557"/>
      <c r="PDO55" s="557"/>
      <c r="PDP55" s="557"/>
      <c r="PDQ55" s="557"/>
      <c r="PDR55" s="557"/>
      <c r="PDS55" s="661"/>
      <c r="PDT55" s="556"/>
      <c r="PDU55" s="557"/>
      <c r="PDV55" s="557"/>
      <c r="PDW55" s="557"/>
      <c r="PDX55" s="557"/>
      <c r="PDY55" s="557"/>
      <c r="PDZ55" s="557"/>
      <c r="PEA55" s="557"/>
      <c r="PEB55" s="557"/>
      <c r="PEC55" s="557"/>
      <c r="PED55" s="557"/>
      <c r="PEE55" s="557"/>
      <c r="PEF55" s="557"/>
      <c r="PEG55" s="557"/>
      <c r="PEH55" s="557"/>
      <c r="PEI55" s="557"/>
      <c r="PEJ55" s="557"/>
      <c r="PEK55" s="557"/>
      <c r="PEL55" s="557"/>
      <c r="PEM55" s="661"/>
      <c r="PEN55" s="556"/>
      <c r="PEO55" s="557"/>
      <c r="PEP55" s="557"/>
      <c r="PEQ55" s="557"/>
      <c r="PER55" s="557"/>
      <c r="PES55" s="557"/>
      <c r="PET55" s="557"/>
      <c r="PEU55" s="557"/>
      <c r="PEV55" s="557"/>
      <c r="PEW55" s="557"/>
      <c r="PEX55" s="557"/>
      <c r="PEY55" s="557"/>
      <c r="PEZ55" s="557"/>
      <c r="PFA55" s="557"/>
      <c r="PFB55" s="557"/>
      <c r="PFC55" s="557"/>
      <c r="PFD55" s="557"/>
      <c r="PFE55" s="557"/>
      <c r="PFF55" s="557"/>
      <c r="PFG55" s="661"/>
      <c r="PFH55" s="556"/>
      <c r="PFI55" s="557"/>
      <c r="PFJ55" s="557"/>
      <c r="PFK55" s="557"/>
      <c r="PFL55" s="557"/>
      <c r="PFM55" s="557"/>
      <c r="PFN55" s="557"/>
      <c r="PFO55" s="557"/>
      <c r="PFP55" s="557"/>
      <c r="PFQ55" s="557"/>
      <c r="PFR55" s="557"/>
      <c r="PFS55" s="557"/>
      <c r="PFT55" s="557"/>
      <c r="PFU55" s="557"/>
      <c r="PFV55" s="557"/>
      <c r="PFW55" s="557"/>
      <c r="PFX55" s="557"/>
      <c r="PFY55" s="557"/>
      <c r="PFZ55" s="557"/>
      <c r="PGA55" s="661"/>
      <c r="PGB55" s="556"/>
      <c r="PGC55" s="557"/>
      <c r="PGD55" s="557"/>
      <c r="PGE55" s="557"/>
      <c r="PGF55" s="557"/>
      <c r="PGG55" s="557"/>
      <c r="PGH55" s="557"/>
      <c r="PGI55" s="557"/>
      <c r="PGJ55" s="557"/>
      <c r="PGK55" s="557"/>
      <c r="PGL55" s="557"/>
      <c r="PGM55" s="557"/>
      <c r="PGN55" s="557"/>
      <c r="PGO55" s="557"/>
      <c r="PGP55" s="557"/>
      <c r="PGQ55" s="557"/>
      <c r="PGR55" s="557"/>
      <c r="PGS55" s="557"/>
      <c r="PGT55" s="557"/>
      <c r="PGU55" s="661"/>
      <c r="PGV55" s="556"/>
      <c r="PGW55" s="557"/>
      <c r="PGX55" s="557"/>
      <c r="PGY55" s="557"/>
      <c r="PGZ55" s="557"/>
      <c r="PHA55" s="557"/>
      <c r="PHB55" s="557"/>
      <c r="PHC55" s="557"/>
      <c r="PHD55" s="557"/>
      <c r="PHE55" s="557"/>
      <c r="PHF55" s="557"/>
      <c r="PHG55" s="557"/>
      <c r="PHH55" s="557"/>
      <c r="PHI55" s="557"/>
      <c r="PHJ55" s="557"/>
      <c r="PHK55" s="557"/>
      <c r="PHL55" s="557"/>
      <c r="PHM55" s="557"/>
      <c r="PHN55" s="557"/>
      <c r="PHO55" s="661"/>
      <c r="PHP55" s="556"/>
      <c r="PHQ55" s="557"/>
      <c r="PHR55" s="557"/>
      <c r="PHS55" s="557"/>
      <c r="PHT55" s="557"/>
      <c r="PHU55" s="557"/>
      <c r="PHV55" s="557"/>
      <c r="PHW55" s="557"/>
      <c r="PHX55" s="557"/>
      <c r="PHY55" s="557"/>
      <c r="PHZ55" s="557"/>
      <c r="PIA55" s="557"/>
      <c r="PIB55" s="557"/>
      <c r="PIC55" s="557"/>
      <c r="PID55" s="557"/>
      <c r="PIE55" s="557"/>
      <c r="PIF55" s="557"/>
      <c r="PIG55" s="557"/>
      <c r="PIH55" s="557"/>
      <c r="PII55" s="661"/>
      <c r="PIJ55" s="556"/>
      <c r="PIK55" s="557"/>
      <c r="PIL55" s="557"/>
      <c r="PIM55" s="557"/>
      <c r="PIN55" s="557"/>
      <c r="PIO55" s="557"/>
      <c r="PIP55" s="557"/>
      <c r="PIQ55" s="557"/>
      <c r="PIR55" s="557"/>
      <c r="PIS55" s="557"/>
      <c r="PIT55" s="557"/>
      <c r="PIU55" s="557"/>
      <c r="PIV55" s="557"/>
      <c r="PIW55" s="557"/>
      <c r="PIX55" s="557"/>
      <c r="PIY55" s="557"/>
      <c r="PIZ55" s="557"/>
      <c r="PJA55" s="557"/>
      <c r="PJB55" s="557"/>
      <c r="PJC55" s="661"/>
      <c r="PJD55" s="556"/>
      <c r="PJE55" s="557"/>
      <c r="PJF55" s="557"/>
      <c r="PJG55" s="557"/>
      <c r="PJH55" s="557"/>
      <c r="PJI55" s="557"/>
      <c r="PJJ55" s="557"/>
      <c r="PJK55" s="557"/>
      <c r="PJL55" s="557"/>
      <c r="PJM55" s="557"/>
      <c r="PJN55" s="557"/>
      <c r="PJO55" s="557"/>
      <c r="PJP55" s="557"/>
      <c r="PJQ55" s="557"/>
      <c r="PJR55" s="557"/>
      <c r="PJS55" s="557"/>
      <c r="PJT55" s="557"/>
      <c r="PJU55" s="557"/>
      <c r="PJV55" s="557"/>
      <c r="PJW55" s="661"/>
      <c r="PJX55" s="556"/>
      <c r="PJY55" s="557"/>
      <c r="PJZ55" s="557"/>
      <c r="PKA55" s="557"/>
      <c r="PKB55" s="557"/>
      <c r="PKC55" s="557"/>
      <c r="PKD55" s="557"/>
      <c r="PKE55" s="557"/>
      <c r="PKF55" s="557"/>
      <c r="PKG55" s="557"/>
      <c r="PKH55" s="557"/>
      <c r="PKI55" s="557"/>
      <c r="PKJ55" s="557"/>
      <c r="PKK55" s="557"/>
      <c r="PKL55" s="557"/>
      <c r="PKM55" s="557"/>
      <c r="PKN55" s="557"/>
      <c r="PKO55" s="557"/>
      <c r="PKP55" s="557"/>
      <c r="PKQ55" s="661"/>
      <c r="PKR55" s="556"/>
      <c r="PKS55" s="557"/>
      <c r="PKT55" s="557"/>
      <c r="PKU55" s="557"/>
      <c r="PKV55" s="557"/>
      <c r="PKW55" s="557"/>
      <c r="PKX55" s="557"/>
      <c r="PKY55" s="557"/>
      <c r="PKZ55" s="557"/>
      <c r="PLA55" s="557"/>
      <c r="PLB55" s="557"/>
      <c r="PLC55" s="557"/>
      <c r="PLD55" s="557"/>
      <c r="PLE55" s="557"/>
      <c r="PLF55" s="557"/>
      <c r="PLG55" s="557"/>
      <c r="PLH55" s="557"/>
      <c r="PLI55" s="557"/>
      <c r="PLJ55" s="557"/>
      <c r="PLK55" s="661"/>
      <c r="PLL55" s="556"/>
      <c r="PLM55" s="557"/>
      <c r="PLN55" s="557"/>
      <c r="PLO55" s="557"/>
      <c r="PLP55" s="557"/>
      <c r="PLQ55" s="557"/>
      <c r="PLR55" s="557"/>
      <c r="PLS55" s="557"/>
      <c r="PLT55" s="557"/>
      <c r="PLU55" s="557"/>
      <c r="PLV55" s="557"/>
      <c r="PLW55" s="557"/>
      <c r="PLX55" s="557"/>
      <c r="PLY55" s="557"/>
      <c r="PLZ55" s="557"/>
      <c r="PMA55" s="557"/>
      <c r="PMB55" s="557"/>
      <c r="PMC55" s="557"/>
      <c r="PMD55" s="557"/>
      <c r="PME55" s="661"/>
      <c r="PMF55" s="556"/>
      <c r="PMG55" s="557"/>
      <c r="PMH55" s="557"/>
      <c r="PMI55" s="557"/>
      <c r="PMJ55" s="557"/>
      <c r="PMK55" s="557"/>
      <c r="PML55" s="557"/>
      <c r="PMM55" s="557"/>
      <c r="PMN55" s="557"/>
      <c r="PMO55" s="557"/>
      <c r="PMP55" s="557"/>
      <c r="PMQ55" s="557"/>
      <c r="PMR55" s="557"/>
      <c r="PMS55" s="557"/>
      <c r="PMT55" s="557"/>
      <c r="PMU55" s="557"/>
      <c r="PMV55" s="557"/>
      <c r="PMW55" s="557"/>
      <c r="PMX55" s="557"/>
      <c r="PMY55" s="661"/>
      <c r="PMZ55" s="556"/>
      <c r="PNA55" s="557"/>
      <c r="PNB55" s="557"/>
      <c r="PNC55" s="557"/>
      <c r="PND55" s="557"/>
      <c r="PNE55" s="557"/>
      <c r="PNF55" s="557"/>
      <c r="PNG55" s="557"/>
      <c r="PNH55" s="557"/>
      <c r="PNI55" s="557"/>
      <c r="PNJ55" s="557"/>
      <c r="PNK55" s="557"/>
      <c r="PNL55" s="557"/>
      <c r="PNM55" s="557"/>
      <c r="PNN55" s="557"/>
      <c r="PNO55" s="557"/>
      <c r="PNP55" s="557"/>
      <c r="PNQ55" s="557"/>
      <c r="PNR55" s="557"/>
      <c r="PNS55" s="661"/>
      <c r="PNT55" s="556"/>
      <c r="PNU55" s="557"/>
      <c r="PNV55" s="557"/>
      <c r="PNW55" s="557"/>
      <c r="PNX55" s="557"/>
      <c r="PNY55" s="557"/>
      <c r="PNZ55" s="557"/>
      <c r="POA55" s="557"/>
      <c r="POB55" s="557"/>
      <c r="POC55" s="557"/>
      <c r="POD55" s="557"/>
      <c r="POE55" s="557"/>
      <c r="POF55" s="557"/>
      <c r="POG55" s="557"/>
      <c r="POH55" s="557"/>
      <c r="POI55" s="557"/>
      <c r="POJ55" s="557"/>
      <c r="POK55" s="557"/>
      <c r="POL55" s="557"/>
      <c r="POM55" s="661"/>
      <c r="PON55" s="556"/>
      <c r="POO55" s="557"/>
      <c r="POP55" s="557"/>
      <c r="POQ55" s="557"/>
      <c r="POR55" s="557"/>
      <c r="POS55" s="557"/>
      <c r="POT55" s="557"/>
      <c r="POU55" s="557"/>
      <c r="POV55" s="557"/>
      <c r="POW55" s="557"/>
      <c r="POX55" s="557"/>
      <c r="POY55" s="557"/>
      <c r="POZ55" s="557"/>
      <c r="PPA55" s="557"/>
      <c r="PPB55" s="557"/>
      <c r="PPC55" s="557"/>
      <c r="PPD55" s="557"/>
      <c r="PPE55" s="557"/>
      <c r="PPF55" s="557"/>
      <c r="PPG55" s="661"/>
      <c r="PPH55" s="556"/>
      <c r="PPI55" s="557"/>
      <c r="PPJ55" s="557"/>
      <c r="PPK55" s="557"/>
      <c r="PPL55" s="557"/>
      <c r="PPM55" s="557"/>
      <c r="PPN55" s="557"/>
      <c r="PPO55" s="557"/>
      <c r="PPP55" s="557"/>
      <c r="PPQ55" s="557"/>
      <c r="PPR55" s="557"/>
      <c r="PPS55" s="557"/>
      <c r="PPT55" s="557"/>
      <c r="PPU55" s="557"/>
      <c r="PPV55" s="557"/>
      <c r="PPW55" s="557"/>
      <c r="PPX55" s="557"/>
      <c r="PPY55" s="557"/>
      <c r="PPZ55" s="557"/>
      <c r="PQA55" s="661"/>
      <c r="PQB55" s="556"/>
      <c r="PQC55" s="557"/>
      <c r="PQD55" s="557"/>
      <c r="PQE55" s="557"/>
      <c r="PQF55" s="557"/>
      <c r="PQG55" s="557"/>
      <c r="PQH55" s="557"/>
      <c r="PQI55" s="557"/>
      <c r="PQJ55" s="557"/>
      <c r="PQK55" s="557"/>
      <c r="PQL55" s="557"/>
      <c r="PQM55" s="557"/>
      <c r="PQN55" s="557"/>
      <c r="PQO55" s="557"/>
      <c r="PQP55" s="557"/>
      <c r="PQQ55" s="557"/>
      <c r="PQR55" s="557"/>
      <c r="PQS55" s="557"/>
      <c r="PQT55" s="557"/>
      <c r="PQU55" s="661"/>
      <c r="PQV55" s="556"/>
      <c r="PQW55" s="557"/>
      <c r="PQX55" s="557"/>
      <c r="PQY55" s="557"/>
      <c r="PQZ55" s="557"/>
      <c r="PRA55" s="557"/>
      <c r="PRB55" s="557"/>
      <c r="PRC55" s="557"/>
      <c r="PRD55" s="557"/>
      <c r="PRE55" s="557"/>
      <c r="PRF55" s="557"/>
      <c r="PRG55" s="557"/>
      <c r="PRH55" s="557"/>
      <c r="PRI55" s="557"/>
      <c r="PRJ55" s="557"/>
      <c r="PRK55" s="557"/>
      <c r="PRL55" s="557"/>
      <c r="PRM55" s="557"/>
      <c r="PRN55" s="557"/>
      <c r="PRO55" s="661"/>
      <c r="PRP55" s="556"/>
      <c r="PRQ55" s="557"/>
      <c r="PRR55" s="557"/>
      <c r="PRS55" s="557"/>
      <c r="PRT55" s="557"/>
      <c r="PRU55" s="557"/>
      <c r="PRV55" s="557"/>
      <c r="PRW55" s="557"/>
      <c r="PRX55" s="557"/>
      <c r="PRY55" s="557"/>
      <c r="PRZ55" s="557"/>
      <c r="PSA55" s="557"/>
      <c r="PSB55" s="557"/>
      <c r="PSC55" s="557"/>
      <c r="PSD55" s="557"/>
      <c r="PSE55" s="557"/>
      <c r="PSF55" s="557"/>
      <c r="PSG55" s="557"/>
      <c r="PSH55" s="557"/>
      <c r="PSI55" s="661"/>
      <c r="PSJ55" s="556"/>
      <c r="PSK55" s="557"/>
      <c r="PSL55" s="557"/>
      <c r="PSM55" s="557"/>
      <c r="PSN55" s="557"/>
      <c r="PSO55" s="557"/>
      <c r="PSP55" s="557"/>
      <c r="PSQ55" s="557"/>
      <c r="PSR55" s="557"/>
      <c r="PSS55" s="557"/>
      <c r="PST55" s="557"/>
      <c r="PSU55" s="557"/>
      <c r="PSV55" s="557"/>
      <c r="PSW55" s="557"/>
      <c r="PSX55" s="557"/>
      <c r="PSY55" s="557"/>
      <c r="PSZ55" s="557"/>
      <c r="PTA55" s="557"/>
      <c r="PTB55" s="557"/>
      <c r="PTC55" s="661"/>
      <c r="PTD55" s="556"/>
      <c r="PTE55" s="557"/>
      <c r="PTF55" s="557"/>
      <c r="PTG55" s="557"/>
      <c r="PTH55" s="557"/>
      <c r="PTI55" s="557"/>
      <c r="PTJ55" s="557"/>
      <c r="PTK55" s="557"/>
      <c r="PTL55" s="557"/>
      <c r="PTM55" s="557"/>
      <c r="PTN55" s="557"/>
      <c r="PTO55" s="557"/>
      <c r="PTP55" s="557"/>
      <c r="PTQ55" s="557"/>
      <c r="PTR55" s="557"/>
      <c r="PTS55" s="557"/>
      <c r="PTT55" s="557"/>
      <c r="PTU55" s="557"/>
      <c r="PTV55" s="557"/>
      <c r="PTW55" s="661"/>
      <c r="PTX55" s="556"/>
      <c r="PTY55" s="557"/>
      <c r="PTZ55" s="557"/>
      <c r="PUA55" s="557"/>
      <c r="PUB55" s="557"/>
      <c r="PUC55" s="557"/>
      <c r="PUD55" s="557"/>
      <c r="PUE55" s="557"/>
      <c r="PUF55" s="557"/>
      <c r="PUG55" s="557"/>
      <c r="PUH55" s="557"/>
      <c r="PUI55" s="557"/>
      <c r="PUJ55" s="557"/>
      <c r="PUK55" s="557"/>
      <c r="PUL55" s="557"/>
      <c r="PUM55" s="557"/>
      <c r="PUN55" s="557"/>
      <c r="PUO55" s="557"/>
      <c r="PUP55" s="557"/>
      <c r="PUQ55" s="661"/>
      <c r="PUR55" s="556"/>
      <c r="PUS55" s="557"/>
      <c r="PUT55" s="557"/>
      <c r="PUU55" s="557"/>
      <c r="PUV55" s="557"/>
      <c r="PUW55" s="557"/>
      <c r="PUX55" s="557"/>
      <c r="PUY55" s="557"/>
      <c r="PUZ55" s="557"/>
      <c r="PVA55" s="557"/>
      <c r="PVB55" s="557"/>
      <c r="PVC55" s="557"/>
      <c r="PVD55" s="557"/>
      <c r="PVE55" s="557"/>
      <c r="PVF55" s="557"/>
      <c r="PVG55" s="557"/>
      <c r="PVH55" s="557"/>
      <c r="PVI55" s="557"/>
      <c r="PVJ55" s="557"/>
      <c r="PVK55" s="661"/>
      <c r="PVL55" s="556"/>
      <c r="PVM55" s="557"/>
      <c r="PVN55" s="557"/>
      <c r="PVO55" s="557"/>
      <c r="PVP55" s="557"/>
      <c r="PVQ55" s="557"/>
      <c r="PVR55" s="557"/>
      <c r="PVS55" s="557"/>
      <c r="PVT55" s="557"/>
      <c r="PVU55" s="557"/>
      <c r="PVV55" s="557"/>
      <c r="PVW55" s="557"/>
      <c r="PVX55" s="557"/>
      <c r="PVY55" s="557"/>
      <c r="PVZ55" s="557"/>
      <c r="PWA55" s="557"/>
      <c r="PWB55" s="557"/>
      <c r="PWC55" s="557"/>
      <c r="PWD55" s="557"/>
      <c r="PWE55" s="661"/>
      <c r="PWF55" s="556"/>
      <c r="PWG55" s="557"/>
      <c r="PWH55" s="557"/>
      <c r="PWI55" s="557"/>
      <c r="PWJ55" s="557"/>
      <c r="PWK55" s="557"/>
      <c r="PWL55" s="557"/>
      <c r="PWM55" s="557"/>
      <c r="PWN55" s="557"/>
      <c r="PWO55" s="557"/>
      <c r="PWP55" s="557"/>
      <c r="PWQ55" s="557"/>
      <c r="PWR55" s="557"/>
      <c r="PWS55" s="557"/>
      <c r="PWT55" s="557"/>
      <c r="PWU55" s="557"/>
      <c r="PWV55" s="557"/>
      <c r="PWW55" s="557"/>
      <c r="PWX55" s="557"/>
      <c r="PWY55" s="661"/>
      <c r="PWZ55" s="556"/>
      <c r="PXA55" s="557"/>
      <c r="PXB55" s="557"/>
      <c r="PXC55" s="557"/>
      <c r="PXD55" s="557"/>
      <c r="PXE55" s="557"/>
      <c r="PXF55" s="557"/>
      <c r="PXG55" s="557"/>
      <c r="PXH55" s="557"/>
      <c r="PXI55" s="557"/>
      <c r="PXJ55" s="557"/>
      <c r="PXK55" s="557"/>
      <c r="PXL55" s="557"/>
      <c r="PXM55" s="557"/>
      <c r="PXN55" s="557"/>
      <c r="PXO55" s="557"/>
      <c r="PXP55" s="557"/>
      <c r="PXQ55" s="557"/>
      <c r="PXR55" s="557"/>
      <c r="PXS55" s="661"/>
      <c r="PXT55" s="556"/>
      <c r="PXU55" s="557"/>
      <c r="PXV55" s="557"/>
      <c r="PXW55" s="557"/>
      <c r="PXX55" s="557"/>
      <c r="PXY55" s="557"/>
      <c r="PXZ55" s="557"/>
      <c r="PYA55" s="557"/>
      <c r="PYB55" s="557"/>
      <c r="PYC55" s="557"/>
      <c r="PYD55" s="557"/>
      <c r="PYE55" s="557"/>
      <c r="PYF55" s="557"/>
      <c r="PYG55" s="557"/>
      <c r="PYH55" s="557"/>
      <c r="PYI55" s="557"/>
      <c r="PYJ55" s="557"/>
      <c r="PYK55" s="557"/>
      <c r="PYL55" s="557"/>
      <c r="PYM55" s="661"/>
      <c r="PYN55" s="556"/>
      <c r="PYO55" s="557"/>
      <c r="PYP55" s="557"/>
      <c r="PYQ55" s="557"/>
      <c r="PYR55" s="557"/>
      <c r="PYS55" s="557"/>
      <c r="PYT55" s="557"/>
      <c r="PYU55" s="557"/>
      <c r="PYV55" s="557"/>
      <c r="PYW55" s="557"/>
      <c r="PYX55" s="557"/>
      <c r="PYY55" s="557"/>
      <c r="PYZ55" s="557"/>
      <c r="PZA55" s="557"/>
      <c r="PZB55" s="557"/>
      <c r="PZC55" s="557"/>
      <c r="PZD55" s="557"/>
      <c r="PZE55" s="557"/>
      <c r="PZF55" s="557"/>
      <c r="PZG55" s="661"/>
      <c r="PZH55" s="556"/>
      <c r="PZI55" s="557"/>
      <c r="PZJ55" s="557"/>
      <c r="PZK55" s="557"/>
      <c r="PZL55" s="557"/>
      <c r="PZM55" s="557"/>
      <c r="PZN55" s="557"/>
      <c r="PZO55" s="557"/>
      <c r="PZP55" s="557"/>
      <c r="PZQ55" s="557"/>
      <c r="PZR55" s="557"/>
      <c r="PZS55" s="557"/>
      <c r="PZT55" s="557"/>
      <c r="PZU55" s="557"/>
      <c r="PZV55" s="557"/>
      <c r="PZW55" s="557"/>
      <c r="PZX55" s="557"/>
      <c r="PZY55" s="557"/>
      <c r="PZZ55" s="557"/>
      <c r="QAA55" s="661"/>
      <c r="QAB55" s="556"/>
      <c r="QAC55" s="557"/>
      <c r="QAD55" s="557"/>
      <c r="QAE55" s="557"/>
      <c r="QAF55" s="557"/>
      <c r="QAG55" s="557"/>
      <c r="QAH55" s="557"/>
      <c r="QAI55" s="557"/>
      <c r="QAJ55" s="557"/>
      <c r="QAK55" s="557"/>
      <c r="QAL55" s="557"/>
      <c r="QAM55" s="557"/>
      <c r="QAN55" s="557"/>
      <c r="QAO55" s="557"/>
      <c r="QAP55" s="557"/>
      <c r="QAQ55" s="557"/>
      <c r="QAR55" s="557"/>
      <c r="QAS55" s="557"/>
      <c r="QAT55" s="557"/>
      <c r="QAU55" s="661"/>
      <c r="QAV55" s="556"/>
      <c r="QAW55" s="557"/>
      <c r="QAX55" s="557"/>
      <c r="QAY55" s="557"/>
      <c r="QAZ55" s="557"/>
      <c r="QBA55" s="557"/>
      <c r="QBB55" s="557"/>
      <c r="QBC55" s="557"/>
      <c r="QBD55" s="557"/>
      <c r="QBE55" s="557"/>
      <c r="QBF55" s="557"/>
      <c r="QBG55" s="557"/>
      <c r="QBH55" s="557"/>
      <c r="QBI55" s="557"/>
      <c r="QBJ55" s="557"/>
      <c r="QBK55" s="557"/>
      <c r="QBL55" s="557"/>
      <c r="QBM55" s="557"/>
      <c r="QBN55" s="557"/>
      <c r="QBO55" s="661"/>
      <c r="QBP55" s="556"/>
      <c r="QBQ55" s="557"/>
      <c r="QBR55" s="557"/>
      <c r="QBS55" s="557"/>
      <c r="QBT55" s="557"/>
      <c r="QBU55" s="557"/>
      <c r="QBV55" s="557"/>
      <c r="QBW55" s="557"/>
      <c r="QBX55" s="557"/>
      <c r="QBY55" s="557"/>
      <c r="QBZ55" s="557"/>
      <c r="QCA55" s="557"/>
      <c r="QCB55" s="557"/>
      <c r="QCC55" s="557"/>
      <c r="QCD55" s="557"/>
      <c r="QCE55" s="557"/>
      <c r="QCF55" s="557"/>
      <c r="QCG55" s="557"/>
      <c r="QCH55" s="557"/>
      <c r="QCI55" s="661"/>
      <c r="QCJ55" s="556"/>
      <c r="QCK55" s="557"/>
      <c r="QCL55" s="557"/>
      <c r="QCM55" s="557"/>
      <c r="QCN55" s="557"/>
      <c r="QCO55" s="557"/>
      <c r="QCP55" s="557"/>
      <c r="QCQ55" s="557"/>
      <c r="QCR55" s="557"/>
      <c r="QCS55" s="557"/>
      <c r="QCT55" s="557"/>
      <c r="QCU55" s="557"/>
      <c r="QCV55" s="557"/>
      <c r="QCW55" s="557"/>
      <c r="QCX55" s="557"/>
      <c r="QCY55" s="557"/>
      <c r="QCZ55" s="557"/>
      <c r="QDA55" s="557"/>
      <c r="QDB55" s="557"/>
      <c r="QDC55" s="661"/>
      <c r="QDD55" s="556"/>
      <c r="QDE55" s="557"/>
      <c r="QDF55" s="557"/>
      <c r="QDG55" s="557"/>
      <c r="QDH55" s="557"/>
      <c r="QDI55" s="557"/>
      <c r="QDJ55" s="557"/>
      <c r="QDK55" s="557"/>
      <c r="QDL55" s="557"/>
      <c r="QDM55" s="557"/>
      <c r="QDN55" s="557"/>
      <c r="QDO55" s="557"/>
      <c r="QDP55" s="557"/>
      <c r="QDQ55" s="557"/>
      <c r="QDR55" s="557"/>
      <c r="QDS55" s="557"/>
      <c r="QDT55" s="557"/>
      <c r="QDU55" s="557"/>
      <c r="QDV55" s="557"/>
      <c r="QDW55" s="661"/>
      <c r="QDX55" s="556"/>
      <c r="QDY55" s="557"/>
      <c r="QDZ55" s="557"/>
      <c r="QEA55" s="557"/>
      <c r="QEB55" s="557"/>
      <c r="QEC55" s="557"/>
      <c r="QED55" s="557"/>
      <c r="QEE55" s="557"/>
      <c r="QEF55" s="557"/>
      <c r="QEG55" s="557"/>
      <c r="QEH55" s="557"/>
      <c r="QEI55" s="557"/>
      <c r="QEJ55" s="557"/>
      <c r="QEK55" s="557"/>
      <c r="QEL55" s="557"/>
      <c r="QEM55" s="557"/>
      <c r="QEN55" s="557"/>
      <c r="QEO55" s="557"/>
      <c r="QEP55" s="557"/>
      <c r="QEQ55" s="661"/>
      <c r="QER55" s="556"/>
      <c r="QES55" s="557"/>
      <c r="QET55" s="557"/>
      <c r="QEU55" s="557"/>
      <c r="QEV55" s="557"/>
      <c r="QEW55" s="557"/>
      <c r="QEX55" s="557"/>
      <c r="QEY55" s="557"/>
      <c r="QEZ55" s="557"/>
      <c r="QFA55" s="557"/>
      <c r="QFB55" s="557"/>
      <c r="QFC55" s="557"/>
      <c r="QFD55" s="557"/>
      <c r="QFE55" s="557"/>
      <c r="QFF55" s="557"/>
      <c r="QFG55" s="557"/>
      <c r="QFH55" s="557"/>
      <c r="QFI55" s="557"/>
      <c r="QFJ55" s="557"/>
      <c r="QFK55" s="661"/>
      <c r="QFL55" s="556"/>
      <c r="QFM55" s="557"/>
      <c r="QFN55" s="557"/>
      <c r="QFO55" s="557"/>
      <c r="QFP55" s="557"/>
      <c r="QFQ55" s="557"/>
      <c r="QFR55" s="557"/>
      <c r="QFS55" s="557"/>
      <c r="QFT55" s="557"/>
      <c r="QFU55" s="557"/>
      <c r="QFV55" s="557"/>
      <c r="QFW55" s="557"/>
      <c r="QFX55" s="557"/>
      <c r="QFY55" s="557"/>
      <c r="QFZ55" s="557"/>
      <c r="QGA55" s="557"/>
      <c r="QGB55" s="557"/>
      <c r="QGC55" s="557"/>
      <c r="QGD55" s="557"/>
      <c r="QGE55" s="661"/>
      <c r="QGF55" s="556"/>
      <c r="QGG55" s="557"/>
      <c r="QGH55" s="557"/>
      <c r="QGI55" s="557"/>
      <c r="QGJ55" s="557"/>
      <c r="QGK55" s="557"/>
      <c r="QGL55" s="557"/>
      <c r="QGM55" s="557"/>
      <c r="QGN55" s="557"/>
      <c r="QGO55" s="557"/>
      <c r="QGP55" s="557"/>
      <c r="QGQ55" s="557"/>
      <c r="QGR55" s="557"/>
      <c r="QGS55" s="557"/>
      <c r="QGT55" s="557"/>
      <c r="QGU55" s="557"/>
      <c r="QGV55" s="557"/>
      <c r="QGW55" s="557"/>
      <c r="QGX55" s="557"/>
      <c r="QGY55" s="661"/>
      <c r="QGZ55" s="556"/>
      <c r="QHA55" s="557"/>
      <c r="QHB55" s="557"/>
      <c r="QHC55" s="557"/>
      <c r="QHD55" s="557"/>
      <c r="QHE55" s="557"/>
      <c r="QHF55" s="557"/>
      <c r="QHG55" s="557"/>
      <c r="QHH55" s="557"/>
      <c r="QHI55" s="557"/>
      <c r="QHJ55" s="557"/>
      <c r="QHK55" s="557"/>
      <c r="QHL55" s="557"/>
      <c r="QHM55" s="557"/>
      <c r="QHN55" s="557"/>
      <c r="QHO55" s="557"/>
      <c r="QHP55" s="557"/>
      <c r="QHQ55" s="557"/>
      <c r="QHR55" s="557"/>
      <c r="QHS55" s="661"/>
      <c r="QHT55" s="556"/>
      <c r="QHU55" s="557"/>
      <c r="QHV55" s="557"/>
      <c r="QHW55" s="557"/>
      <c r="QHX55" s="557"/>
      <c r="QHY55" s="557"/>
      <c r="QHZ55" s="557"/>
      <c r="QIA55" s="557"/>
      <c r="QIB55" s="557"/>
      <c r="QIC55" s="557"/>
      <c r="QID55" s="557"/>
      <c r="QIE55" s="557"/>
      <c r="QIF55" s="557"/>
      <c r="QIG55" s="557"/>
      <c r="QIH55" s="557"/>
      <c r="QII55" s="557"/>
      <c r="QIJ55" s="557"/>
      <c r="QIK55" s="557"/>
      <c r="QIL55" s="557"/>
      <c r="QIM55" s="661"/>
      <c r="QIN55" s="556"/>
      <c r="QIO55" s="557"/>
      <c r="QIP55" s="557"/>
      <c r="QIQ55" s="557"/>
      <c r="QIR55" s="557"/>
      <c r="QIS55" s="557"/>
      <c r="QIT55" s="557"/>
      <c r="QIU55" s="557"/>
      <c r="QIV55" s="557"/>
      <c r="QIW55" s="557"/>
      <c r="QIX55" s="557"/>
      <c r="QIY55" s="557"/>
      <c r="QIZ55" s="557"/>
      <c r="QJA55" s="557"/>
      <c r="QJB55" s="557"/>
      <c r="QJC55" s="557"/>
      <c r="QJD55" s="557"/>
      <c r="QJE55" s="557"/>
      <c r="QJF55" s="557"/>
      <c r="QJG55" s="661"/>
      <c r="QJH55" s="556"/>
      <c r="QJI55" s="557"/>
      <c r="QJJ55" s="557"/>
      <c r="QJK55" s="557"/>
      <c r="QJL55" s="557"/>
      <c r="QJM55" s="557"/>
      <c r="QJN55" s="557"/>
      <c r="QJO55" s="557"/>
      <c r="QJP55" s="557"/>
      <c r="QJQ55" s="557"/>
      <c r="QJR55" s="557"/>
      <c r="QJS55" s="557"/>
      <c r="QJT55" s="557"/>
      <c r="QJU55" s="557"/>
      <c r="QJV55" s="557"/>
      <c r="QJW55" s="557"/>
      <c r="QJX55" s="557"/>
      <c r="QJY55" s="557"/>
      <c r="QJZ55" s="557"/>
      <c r="QKA55" s="661"/>
      <c r="QKB55" s="556"/>
      <c r="QKC55" s="557"/>
      <c r="QKD55" s="557"/>
      <c r="QKE55" s="557"/>
      <c r="QKF55" s="557"/>
      <c r="QKG55" s="557"/>
      <c r="QKH55" s="557"/>
      <c r="QKI55" s="557"/>
      <c r="QKJ55" s="557"/>
      <c r="QKK55" s="557"/>
      <c r="QKL55" s="557"/>
      <c r="QKM55" s="557"/>
      <c r="QKN55" s="557"/>
      <c r="QKO55" s="557"/>
      <c r="QKP55" s="557"/>
      <c r="QKQ55" s="557"/>
      <c r="QKR55" s="557"/>
      <c r="QKS55" s="557"/>
      <c r="QKT55" s="557"/>
      <c r="QKU55" s="661"/>
      <c r="QKV55" s="556"/>
      <c r="QKW55" s="557"/>
      <c r="QKX55" s="557"/>
      <c r="QKY55" s="557"/>
      <c r="QKZ55" s="557"/>
      <c r="QLA55" s="557"/>
      <c r="QLB55" s="557"/>
      <c r="QLC55" s="557"/>
      <c r="QLD55" s="557"/>
      <c r="QLE55" s="557"/>
      <c r="QLF55" s="557"/>
      <c r="QLG55" s="557"/>
      <c r="QLH55" s="557"/>
      <c r="QLI55" s="557"/>
      <c r="QLJ55" s="557"/>
      <c r="QLK55" s="557"/>
      <c r="QLL55" s="557"/>
      <c r="QLM55" s="557"/>
      <c r="QLN55" s="557"/>
      <c r="QLO55" s="661"/>
      <c r="QLP55" s="556"/>
      <c r="QLQ55" s="557"/>
      <c r="QLR55" s="557"/>
      <c r="QLS55" s="557"/>
      <c r="QLT55" s="557"/>
      <c r="QLU55" s="557"/>
      <c r="QLV55" s="557"/>
      <c r="QLW55" s="557"/>
      <c r="QLX55" s="557"/>
      <c r="QLY55" s="557"/>
      <c r="QLZ55" s="557"/>
      <c r="QMA55" s="557"/>
      <c r="QMB55" s="557"/>
      <c r="QMC55" s="557"/>
      <c r="QMD55" s="557"/>
      <c r="QME55" s="557"/>
      <c r="QMF55" s="557"/>
      <c r="QMG55" s="557"/>
      <c r="QMH55" s="557"/>
      <c r="QMI55" s="661"/>
      <c r="QMJ55" s="556"/>
      <c r="QMK55" s="557"/>
      <c r="QML55" s="557"/>
      <c r="QMM55" s="557"/>
      <c r="QMN55" s="557"/>
      <c r="QMO55" s="557"/>
      <c r="QMP55" s="557"/>
      <c r="QMQ55" s="557"/>
      <c r="QMR55" s="557"/>
      <c r="QMS55" s="557"/>
      <c r="QMT55" s="557"/>
      <c r="QMU55" s="557"/>
      <c r="QMV55" s="557"/>
      <c r="QMW55" s="557"/>
      <c r="QMX55" s="557"/>
      <c r="QMY55" s="557"/>
      <c r="QMZ55" s="557"/>
      <c r="QNA55" s="557"/>
      <c r="QNB55" s="557"/>
      <c r="QNC55" s="661"/>
      <c r="QND55" s="556"/>
      <c r="QNE55" s="557"/>
      <c r="QNF55" s="557"/>
      <c r="QNG55" s="557"/>
      <c r="QNH55" s="557"/>
      <c r="QNI55" s="557"/>
      <c r="QNJ55" s="557"/>
      <c r="QNK55" s="557"/>
      <c r="QNL55" s="557"/>
      <c r="QNM55" s="557"/>
      <c r="QNN55" s="557"/>
      <c r="QNO55" s="557"/>
      <c r="QNP55" s="557"/>
      <c r="QNQ55" s="557"/>
      <c r="QNR55" s="557"/>
      <c r="QNS55" s="557"/>
      <c r="QNT55" s="557"/>
      <c r="QNU55" s="557"/>
      <c r="QNV55" s="557"/>
      <c r="QNW55" s="661"/>
      <c r="QNX55" s="556"/>
      <c r="QNY55" s="557"/>
      <c r="QNZ55" s="557"/>
      <c r="QOA55" s="557"/>
      <c r="QOB55" s="557"/>
      <c r="QOC55" s="557"/>
      <c r="QOD55" s="557"/>
      <c r="QOE55" s="557"/>
      <c r="QOF55" s="557"/>
      <c r="QOG55" s="557"/>
      <c r="QOH55" s="557"/>
      <c r="QOI55" s="557"/>
      <c r="QOJ55" s="557"/>
      <c r="QOK55" s="557"/>
      <c r="QOL55" s="557"/>
      <c r="QOM55" s="557"/>
      <c r="QON55" s="557"/>
      <c r="QOO55" s="557"/>
      <c r="QOP55" s="557"/>
      <c r="QOQ55" s="661"/>
      <c r="QOR55" s="556"/>
      <c r="QOS55" s="557"/>
      <c r="QOT55" s="557"/>
      <c r="QOU55" s="557"/>
      <c r="QOV55" s="557"/>
      <c r="QOW55" s="557"/>
      <c r="QOX55" s="557"/>
      <c r="QOY55" s="557"/>
      <c r="QOZ55" s="557"/>
      <c r="QPA55" s="557"/>
      <c r="QPB55" s="557"/>
      <c r="QPC55" s="557"/>
      <c r="QPD55" s="557"/>
      <c r="QPE55" s="557"/>
      <c r="QPF55" s="557"/>
      <c r="QPG55" s="557"/>
      <c r="QPH55" s="557"/>
      <c r="QPI55" s="557"/>
      <c r="QPJ55" s="557"/>
      <c r="QPK55" s="661"/>
      <c r="QPL55" s="556"/>
      <c r="QPM55" s="557"/>
      <c r="QPN55" s="557"/>
      <c r="QPO55" s="557"/>
      <c r="QPP55" s="557"/>
      <c r="QPQ55" s="557"/>
      <c r="QPR55" s="557"/>
      <c r="QPS55" s="557"/>
      <c r="QPT55" s="557"/>
      <c r="QPU55" s="557"/>
      <c r="QPV55" s="557"/>
      <c r="QPW55" s="557"/>
      <c r="QPX55" s="557"/>
      <c r="QPY55" s="557"/>
      <c r="QPZ55" s="557"/>
      <c r="QQA55" s="557"/>
      <c r="QQB55" s="557"/>
      <c r="QQC55" s="557"/>
      <c r="QQD55" s="557"/>
      <c r="QQE55" s="661"/>
      <c r="QQF55" s="556"/>
      <c r="QQG55" s="557"/>
      <c r="QQH55" s="557"/>
      <c r="QQI55" s="557"/>
      <c r="QQJ55" s="557"/>
      <c r="QQK55" s="557"/>
      <c r="QQL55" s="557"/>
      <c r="QQM55" s="557"/>
      <c r="QQN55" s="557"/>
      <c r="QQO55" s="557"/>
      <c r="QQP55" s="557"/>
      <c r="QQQ55" s="557"/>
      <c r="QQR55" s="557"/>
      <c r="QQS55" s="557"/>
      <c r="QQT55" s="557"/>
      <c r="QQU55" s="557"/>
      <c r="QQV55" s="557"/>
      <c r="QQW55" s="557"/>
      <c r="QQX55" s="557"/>
      <c r="QQY55" s="661"/>
      <c r="QQZ55" s="556"/>
      <c r="QRA55" s="557"/>
      <c r="QRB55" s="557"/>
      <c r="QRC55" s="557"/>
      <c r="QRD55" s="557"/>
      <c r="QRE55" s="557"/>
      <c r="QRF55" s="557"/>
      <c r="QRG55" s="557"/>
      <c r="QRH55" s="557"/>
      <c r="QRI55" s="557"/>
      <c r="QRJ55" s="557"/>
      <c r="QRK55" s="557"/>
      <c r="QRL55" s="557"/>
      <c r="QRM55" s="557"/>
      <c r="QRN55" s="557"/>
      <c r="QRO55" s="557"/>
      <c r="QRP55" s="557"/>
      <c r="QRQ55" s="557"/>
      <c r="QRR55" s="557"/>
      <c r="QRS55" s="661"/>
      <c r="QRT55" s="556"/>
      <c r="QRU55" s="557"/>
      <c r="QRV55" s="557"/>
      <c r="QRW55" s="557"/>
      <c r="QRX55" s="557"/>
      <c r="QRY55" s="557"/>
      <c r="QRZ55" s="557"/>
      <c r="QSA55" s="557"/>
      <c r="QSB55" s="557"/>
      <c r="QSC55" s="557"/>
      <c r="QSD55" s="557"/>
      <c r="QSE55" s="557"/>
      <c r="QSF55" s="557"/>
      <c r="QSG55" s="557"/>
      <c r="QSH55" s="557"/>
      <c r="QSI55" s="557"/>
      <c r="QSJ55" s="557"/>
      <c r="QSK55" s="557"/>
      <c r="QSL55" s="557"/>
      <c r="QSM55" s="661"/>
      <c r="QSN55" s="556"/>
      <c r="QSO55" s="557"/>
      <c r="QSP55" s="557"/>
      <c r="QSQ55" s="557"/>
      <c r="QSR55" s="557"/>
      <c r="QSS55" s="557"/>
      <c r="QST55" s="557"/>
      <c r="QSU55" s="557"/>
      <c r="QSV55" s="557"/>
      <c r="QSW55" s="557"/>
      <c r="QSX55" s="557"/>
      <c r="QSY55" s="557"/>
      <c r="QSZ55" s="557"/>
      <c r="QTA55" s="557"/>
      <c r="QTB55" s="557"/>
      <c r="QTC55" s="557"/>
      <c r="QTD55" s="557"/>
      <c r="QTE55" s="557"/>
      <c r="QTF55" s="557"/>
      <c r="QTG55" s="661"/>
      <c r="QTH55" s="556"/>
      <c r="QTI55" s="557"/>
      <c r="QTJ55" s="557"/>
      <c r="QTK55" s="557"/>
      <c r="QTL55" s="557"/>
      <c r="QTM55" s="557"/>
      <c r="QTN55" s="557"/>
      <c r="QTO55" s="557"/>
      <c r="QTP55" s="557"/>
      <c r="QTQ55" s="557"/>
      <c r="QTR55" s="557"/>
      <c r="QTS55" s="557"/>
      <c r="QTT55" s="557"/>
      <c r="QTU55" s="557"/>
      <c r="QTV55" s="557"/>
      <c r="QTW55" s="557"/>
      <c r="QTX55" s="557"/>
      <c r="QTY55" s="557"/>
      <c r="QTZ55" s="557"/>
      <c r="QUA55" s="661"/>
      <c r="QUB55" s="556"/>
      <c r="QUC55" s="557"/>
      <c r="QUD55" s="557"/>
      <c r="QUE55" s="557"/>
      <c r="QUF55" s="557"/>
      <c r="QUG55" s="557"/>
      <c r="QUH55" s="557"/>
      <c r="QUI55" s="557"/>
      <c r="QUJ55" s="557"/>
      <c r="QUK55" s="557"/>
      <c r="QUL55" s="557"/>
      <c r="QUM55" s="557"/>
      <c r="QUN55" s="557"/>
      <c r="QUO55" s="557"/>
      <c r="QUP55" s="557"/>
      <c r="QUQ55" s="557"/>
      <c r="QUR55" s="557"/>
      <c r="QUS55" s="557"/>
      <c r="QUT55" s="557"/>
      <c r="QUU55" s="661"/>
      <c r="QUV55" s="556"/>
      <c r="QUW55" s="557"/>
      <c r="QUX55" s="557"/>
      <c r="QUY55" s="557"/>
      <c r="QUZ55" s="557"/>
      <c r="QVA55" s="557"/>
      <c r="QVB55" s="557"/>
      <c r="QVC55" s="557"/>
      <c r="QVD55" s="557"/>
      <c r="QVE55" s="557"/>
      <c r="QVF55" s="557"/>
      <c r="QVG55" s="557"/>
      <c r="QVH55" s="557"/>
      <c r="QVI55" s="557"/>
      <c r="QVJ55" s="557"/>
      <c r="QVK55" s="557"/>
      <c r="QVL55" s="557"/>
      <c r="QVM55" s="557"/>
      <c r="QVN55" s="557"/>
      <c r="QVO55" s="661"/>
      <c r="QVP55" s="556"/>
      <c r="QVQ55" s="557"/>
      <c r="QVR55" s="557"/>
      <c r="QVS55" s="557"/>
      <c r="QVT55" s="557"/>
      <c r="QVU55" s="557"/>
      <c r="QVV55" s="557"/>
      <c r="QVW55" s="557"/>
      <c r="QVX55" s="557"/>
      <c r="QVY55" s="557"/>
      <c r="QVZ55" s="557"/>
      <c r="QWA55" s="557"/>
      <c r="QWB55" s="557"/>
      <c r="QWC55" s="557"/>
      <c r="QWD55" s="557"/>
      <c r="QWE55" s="557"/>
      <c r="QWF55" s="557"/>
      <c r="QWG55" s="557"/>
      <c r="QWH55" s="557"/>
      <c r="QWI55" s="661"/>
      <c r="QWJ55" s="556"/>
      <c r="QWK55" s="557"/>
      <c r="QWL55" s="557"/>
      <c r="QWM55" s="557"/>
      <c r="QWN55" s="557"/>
      <c r="QWO55" s="557"/>
      <c r="QWP55" s="557"/>
      <c r="QWQ55" s="557"/>
      <c r="QWR55" s="557"/>
      <c r="QWS55" s="557"/>
      <c r="QWT55" s="557"/>
      <c r="QWU55" s="557"/>
      <c r="QWV55" s="557"/>
      <c r="QWW55" s="557"/>
      <c r="QWX55" s="557"/>
      <c r="QWY55" s="557"/>
      <c r="QWZ55" s="557"/>
      <c r="QXA55" s="557"/>
      <c r="QXB55" s="557"/>
      <c r="QXC55" s="661"/>
      <c r="QXD55" s="556"/>
      <c r="QXE55" s="557"/>
      <c r="QXF55" s="557"/>
      <c r="QXG55" s="557"/>
      <c r="QXH55" s="557"/>
      <c r="QXI55" s="557"/>
      <c r="QXJ55" s="557"/>
      <c r="QXK55" s="557"/>
      <c r="QXL55" s="557"/>
      <c r="QXM55" s="557"/>
      <c r="QXN55" s="557"/>
      <c r="QXO55" s="557"/>
      <c r="QXP55" s="557"/>
      <c r="QXQ55" s="557"/>
      <c r="QXR55" s="557"/>
      <c r="QXS55" s="557"/>
      <c r="QXT55" s="557"/>
      <c r="QXU55" s="557"/>
      <c r="QXV55" s="557"/>
      <c r="QXW55" s="661"/>
      <c r="QXX55" s="556"/>
      <c r="QXY55" s="557"/>
      <c r="QXZ55" s="557"/>
      <c r="QYA55" s="557"/>
      <c r="QYB55" s="557"/>
      <c r="QYC55" s="557"/>
      <c r="QYD55" s="557"/>
      <c r="QYE55" s="557"/>
      <c r="QYF55" s="557"/>
      <c r="QYG55" s="557"/>
      <c r="QYH55" s="557"/>
      <c r="QYI55" s="557"/>
      <c r="QYJ55" s="557"/>
      <c r="QYK55" s="557"/>
      <c r="QYL55" s="557"/>
      <c r="QYM55" s="557"/>
      <c r="QYN55" s="557"/>
      <c r="QYO55" s="557"/>
      <c r="QYP55" s="557"/>
      <c r="QYQ55" s="661"/>
      <c r="QYR55" s="556"/>
      <c r="QYS55" s="557"/>
      <c r="QYT55" s="557"/>
      <c r="QYU55" s="557"/>
      <c r="QYV55" s="557"/>
      <c r="QYW55" s="557"/>
      <c r="QYX55" s="557"/>
      <c r="QYY55" s="557"/>
      <c r="QYZ55" s="557"/>
      <c r="QZA55" s="557"/>
      <c r="QZB55" s="557"/>
      <c r="QZC55" s="557"/>
      <c r="QZD55" s="557"/>
      <c r="QZE55" s="557"/>
      <c r="QZF55" s="557"/>
      <c r="QZG55" s="557"/>
      <c r="QZH55" s="557"/>
      <c r="QZI55" s="557"/>
      <c r="QZJ55" s="557"/>
      <c r="QZK55" s="661"/>
      <c r="QZL55" s="556"/>
      <c r="QZM55" s="557"/>
      <c r="QZN55" s="557"/>
      <c r="QZO55" s="557"/>
      <c r="QZP55" s="557"/>
      <c r="QZQ55" s="557"/>
      <c r="QZR55" s="557"/>
      <c r="QZS55" s="557"/>
      <c r="QZT55" s="557"/>
      <c r="QZU55" s="557"/>
      <c r="QZV55" s="557"/>
      <c r="QZW55" s="557"/>
      <c r="QZX55" s="557"/>
      <c r="QZY55" s="557"/>
      <c r="QZZ55" s="557"/>
      <c r="RAA55" s="557"/>
      <c r="RAB55" s="557"/>
      <c r="RAC55" s="557"/>
      <c r="RAD55" s="557"/>
      <c r="RAE55" s="661"/>
      <c r="RAF55" s="556"/>
      <c r="RAG55" s="557"/>
      <c r="RAH55" s="557"/>
      <c r="RAI55" s="557"/>
      <c r="RAJ55" s="557"/>
      <c r="RAK55" s="557"/>
      <c r="RAL55" s="557"/>
      <c r="RAM55" s="557"/>
      <c r="RAN55" s="557"/>
      <c r="RAO55" s="557"/>
      <c r="RAP55" s="557"/>
      <c r="RAQ55" s="557"/>
      <c r="RAR55" s="557"/>
      <c r="RAS55" s="557"/>
      <c r="RAT55" s="557"/>
      <c r="RAU55" s="557"/>
      <c r="RAV55" s="557"/>
      <c r="RAW55" s="557"/>
      <c r="RAX55" s="557"/>
      <c r="RAY55" s="661"/>
      <c r="RAZ55" s="556"/>
      <c r="RBA55" s="557"/>
      <c r="RBB55" s="557"/>
      <c r="RBC55" s="557"/>
      <c r="RBD55" s="557"/>
      <c r="RBE55" s="557"/>
      <c r="RBF55" s="557"/>
      <c r="RBG55" s="557"/>
      <c r="RBH55" s="557"/>
      <c r="RBI55" s="557"/>
      <c r="RBJ55" s="557"/>
      <c r="RBK55" s="557"/>
      <c r="RBL55" s="557"/>
      <c r="RBM55" s="557"/>
      <c r="RBN55" s="557"/>
      <c r="RBO55" s="557"/>
      <c r="RBP55" s="557"/>
      <c r="RBQ55" s="557"/>
      <c r="RBR55" s="557"/>
      <c r="RBS55" s="661"/>
      <c r="RBT55" s="556"/>
      <c r="RBU55" s="557"/>
      <c r="RBV55" s="557"/>
      <c r="RBW55" s="557"/>
      <c r="RBX55" s="557"/>
      <c r="RBY55" s="557"/>
      <c r="RBZ55" s="557"/>
      <c r="RCA55" s="557"/>
      <c r="RCB55" s="557"/>
      <c r="RCC55" s="557"/>
      <c r="RCD55" s="557"/>
      <c r="RCE55" s="557"/>
      <c r="RCF55" s="557"/>
      <c r="RCG55" s="557"/>
      <c r="RCH55" s="557"/>
      <c r="RCI55" s="557"/>
      <c r="RCJ55" s="557"/>
      <c r="RCK55" s="557"/>
      <c r="RCL55" s="557"/>
      <c r="RCM55" s="661"/>
      <c r="RCN55" s="556"/>
      <c r="RCO55" s="557"/>
      <c r="RCP55" s="557"/>
      <c r="RCQ55" s="557"/>
      <c r="RCR55" s="557"/>
      <c r="RCS55" s="557"/>
      <c r="RCT55" s="557"/>
      <c r="RCU55" s="557"/>
      <c r="RCV55" s="557"/>
      <c r="RCW55" s="557"/>
      <c r="RCX55" s="557"/>
      <c r="RCY55" s="557"/>
      <c r="RCZ55" s="557"/>
      <c r="RDA55" s="557"/>
      <c r="RDB55" s="557"/>
      <c r="RDC55" s="557"/>
      <c r="RDD55" s="557"/>
      <c r="RDE55" s="557"/>
      <c r="RDF55" s="557"/>
      <c r="RDG55" s="661"/>
      <c r="RDH55" s="556"/>
      <c r="RDI55" s="557"/>
      <c r="RDJ55" s="557"/>
      <c r="RDK55" s="557"/>
      <c r="RDL55" s="557"/>
      <c r="RDM55" s="557"/>
      <c r="RDN55" s="557"/>
      <c r="RDO55" s="557"/>
      <c r="RDP55" s="557"/>
      <c r="RDQ55" s="557"/>
      <c r="RDR55" s="557"/>
      <c r="RDS55" s="557"/>
      <c r="RDT55" s="557"/>
      <c r="RDU55" s="557"/>
      <c r="RDV55" s="557"/>
      <c r="RDW55" s="557"/>
      <c r="RDX55" s="557"/>
      <c r="RDY55" s="557"/>
      <c r="RDZ55" s="557"/>
      <c r="REA55" s="661"/>
      <c r="REB55" s="556"/>
      <c r="REC55" s="557"/>
      <c r="RED55" s="557"/>
      <c r="REE55" s="557"/>
      <c r="REF55" s="557"/>
      <c r="REG55" s="557"/>
      <c r="REH55" s="557"/>
      <c r="REI55" s="557"/>
      <c r="REJ55" s="557"/>
      <c r="REK55" s="557"/>
      <c r="REL55" s="557"/>
      <c r="REM55" s="557"/>
      <c r="REN55" s="557"/>
      <c r="REO55" s="557"/>
      <c r="REP55" s="557"/>
      <c r="REQ55" s="557"/>
      <c r="RER55" s="557"/>
      <c r="RES55" s="557"/>
      <c r="RET55" s="557"/>
      <c r="REU55" s="661"/>
      <c r="REV55" s="556"/>
      <c r="REW55" s="557"/>
      <c r="REX55" s="557"/>
      <c r="REY55" s="557"/>
      <c r="REZ55" s="557"/>
      <c r="RFA55" s="557"/>
      <c r="RFB55" s="557"/>
      <c r="RFC55" s="557"/>
      <c r="RFD55" s="557"/>
      <c r="RFE55" s="557"/>
      <c r="RFF55" s="557"/>
      <c r="RFG55" s="557"/>
      <c r="RFH55" s="557"/>
      <c r="RFI55" s="557"/>
      <c r="RFJ55" s="557"/>
      <c r="RFK55" s="557"/>
      <c r="RFL55" s="557"/>
      <c r="RFM55" s="557"/>
      <c r="RFN55" s="557"/>
      <c r="RFO55" s="661"/>
      <c r="RFP55" s="556"/>
      <c r="RFQ55" s="557"/>
      <c r="RFR55" s="557"/>
      <c r="RFS55" s="557"/>
      <c r="RFT55" s="557"/>
      <c r="RFU55" s="557"/>
      <c r="RFV55" s="557"/>
      <c r="RFW55" s="557"/>
      <c r="RFX55" s="557"/>
      <c r="RFY55" s="557"/>
      <c r="RFZ55" s="557"/>
      <c r="RGA55" s="557"/>
      <c r="RGB55" s="557"/>
      <c r="RGC55" s="557"/>
      <c r="RGD55" s="557"/>
      <c r="RGE55" s="557"/>
      <c r="RGF55" s="557"/>
      <c r="RGG55" s="557"/>
      <c r="RGH55" s="557"/>
      <c r="RGI55" s="661"/>
      <c r="RGJ55" s="556"/>
      <c r="RGK55" s="557"/>
      <c r="RGL55" s="557"/>
      <c r="RGM55" s="557"/>
      <c r="RGN55" s="557"/>
      <c r="RGO55" s="557"/>
      <c r="RGP55" s="557"/>
      <c r="RGQ55" s="557"/>
      <c r="RGR55" s="557"/>
      <c r="RGS55" s="557"/>
      <c r="RGT55" s="557"/>
      <c r="RGU55" s="557"/>
      <c r="RGV55" s="557"/>
      <c r="RGW55" s="557"/>
      <c r="RGX55" s="557"/>
      <c r="RGY55" s="557"/>
      <c r="RGZ55" s="557"/>
      <c r="RHA55" s="557"/>
      <c r="RHB55" s="557"/>
      <c r="RHC55" s="661"/>
      <c r="RHD55" s="556"/>
      <c r="RHE55" s="557"/>
      <c r="RHF55" s="557"/>
      <c r="RHG55" s="557"/>
      <c r="RHH55" s="557"/>
      <c r="RHI55" s="557"/>
      <c r="RHJ55" s="557"/>
      <c r="RHK55" s="557"/>
      <c r="RHL55" s="557"/>
      <c r="RHM55" s="557"/>
      <c r="RHN55" s="557"/>
      <c r="RHO55" s="557"/>
      <c r="RHP55" s="557"/>
      <c r="RHQ55" s="557"/>
      <c r="RHR55" s="557"/>
      <c r="RHS55" s="557"/>
      <c r="RHT55" s="557"/>
      <c r="RHU55" s="557"/>
      <c r="RHV55" s="557"/>
      <c r="RHW55" s="661"/>
      <c r="RHX55" s="556"/>
      <c r="RHY55" s="557"/>
      <c r="RHZ55" s="557"/>
      <c r="RIA55" s="557"/>
      <c r="RIB55" s="557"/>
      <c r="RIC55" s="557"/>
      <c r="RID55" s="557"/>
      <c r="RIE55" s="557"/>
      <c r="RIF55" s="557"/>
      <c r="RIG55" s="557"/>
      <c r="RIH55" s="557"/>
      <c r="RII55" s="557"/>
      <c r="RIJ55" s="557"/>
      <c r="RIK55" s="557"/>
      <c r="RIL55" s="557"/>
      <c r="RIM55" s="557"/>
      <c r="RIN55" s="557"/>
      <c r="RIO55" s="557"/>
      <c r="RIP55" s="557"/>
      <c r="RIQ55" s="661"/>
      <c r="RIR55" s="556"/>
      <c r="RIS55" s="557"/>
      <c r="RIT55" s="557"/>
      <c r="RIU55" s="557"/>
      <c r="RIV55" s="557"/>
      <c r="RIW55" s="557"/>
      <c r="RIX55" s="557"/>
      <c r="RIY55" s="557"/>
      <c r="RIZ55" s="557"/>
      <c r="RJA55" s="557"/>
      <c r="RJB55" s="557"/>
      <c r="RJC55" s="557"/>
      <c r="RJD55" s="557"/>
      <c r="RJE55" s="557"/>
      <c r="RJF55" s="557"/>
      <c r="RJG55" s="557"/>
      <c r="RJH55" s="557"/>
      <c r="RJI55" s="557"/>
      <c r="RJJ55" s="557"/>
      <c r="RJK55" s="661"/>
      <c r="RJL55" s="556"/>
      <c r="RJM55" s="557"/>
      <c r="RJN55" s="557"/>
      <c r="RJO55" s="557"/>
      <c r="RJP55" s="557"/>
      <c r="RJQ55" s="557"/>
      <c r="RJR55" s="557"/>
      <c r="RJS55" s="557"/>
      <c r="RJT55" s="557"/>
      <c r="RJU55" s="557"/>
      <c r="RJV55" s="557"/>
      <c r="RJW55" s="557"/>
      <c r="RJX55" s="557"/>
      <c r="RJY55" s="557"/>
      <c r="RJZ55" s="557"/>
      <c r="RKA55" s="557"/>
      <c r="RKB55" s="557"/>
      <c r="RKC55" s="557"/>
      <c r="RKD55" s="557"/>
      <c r="RKE55" s="661"/>
      <c r="RKF55" s="556"/>
      <c r="RKG55" s="557"/>
      <c r="RKH55" s="557"/>
      <c r="RKI55" s="557"/>
      <c r="RKJ55" s="557"/>
      <c r="RKK55" s="557"/>
      <c r="RKL55" s="557"/>
      <c r="RKM55" s="557"/>
      <c r="RKN55" s="557"/>
      <c r="RKO55" s="557"/>
      <c r="RKP55" s="557"/>
      <c r="RKQ55" s="557"/>
      <c r="RKR55" s="557"/>
      <c r="RKS55" s="557"/>
      <c r="RKT55" s="557"/>
      <c r="RKU55" s="557"/>
      <c r="RKV55" s="557"/>
      <c r="RKW55" s="557"/>
      <c r="RKX55" s="557"/>
      <c r="RKY55" s="661"/>
      <c r="RKZ55" s="556"/>
      <c r="RLA55" s="557"/>
      <c r="RLB55" s="557"/>
      <c r="RLC55" s="557"/>
      <c r="RLD55" s="557"/>
      <c r="RLE55" s="557"/>
      <c r="RLF55" s="557"/>
      <c r="RLG55" s="557"/>
      <c r="RLH55" s="557"/>
      <c r="RLI55" s="557"/>
      <c r="RLJ55" s="557"/>
      <c r="RLK55" s="557"/>
      <c r="RLL55" s="557"/>
      <c r="RLM55" s="557"/>
      <c r="RLN55" s="557"/>
      <c r="RLO55" s="557"/>
      <c r="RLP55" s="557"/>
      <c r="RLQ55" s="557"/>
      <c r="RLR55" s="557"/>
      <c r="RLS55" s="661"/>
      <c r="RLT55" s="556"/>
      <c r="RLU55" s="557"/>
      <c r="RLV55" s="557"/>
      <c r="RLW55" s="557"/>
      <c r="RLX55" s="557"/>
      <c r="RLY55" s="557"/>
      <c r="RLZ55" s="557"/>
      <c r="RMA55" s="557"/>
      <c r="RMB55" s="557"/>
      <c r="RMC55" s="557"/>
      <c r="RMD55" s="557"/>
      <c r="RME55" s="557"/>
      <c r="RMF55" s="557"/>
      <c r="RMG55" s="557"/>
      <c r="RMH55" s="557"/>
      <c r="RMI55" s="557"/>
      <c r="RMJ55" s="557"/>
      <c r="RMK55" s="557"/>
      <c r="RML55" s="557"/>
      <c r="RMM55" s="661"/>
      <c r="RMN55" s="556"/>
      <c r="RMO55" s="557"/>
      <c r="RMP55" s="557"/>
      <c r="RMQ55" s="557"/>
      <c r="RMR55" s="557"/>
      <c r="RMS55" s="557"/>
      <c r="RMT55" s="557"/>
      <c r="RMU55" s="557"/>
      <c r="RMV55" s="557"/>
      <c r="RMW55" s="557"/>
      <c r="RMX55" s="557"/>
      <c r="RMY55" s="557"/>
      <c r="RMZ55" s="557"/>
      <c r="RNA55" s="557"/>
      <c r="RNB55" s="557"/>
      <c r="RNC55" s="557"/>
      <c r="RND55" s="557"/>
      <c r="RNE55" s="557"/>
      <c r="RNF55" s="557"/>
      <c r="RNG55" s="661"/>
      <c r="RNH55" s="556"/>
      <c r="RNI55" s="557"/>
      <c r="RNJ55" s="557"/>
      <c r="RNK55" s="557"/>
      <c r="RNL55" s="557"/>
      <c r="RNM55" s="557"/>
      <c r="RNN55" s="557"/>
      <c r="RNO55" s="557"/>
      <c r="RNP55" s="557"/>
      <c r="RNQ55" s="557"/>
      <c r="RNR55" s="557"/>
      <c r="RNS55" s="557"/>
      <c r="RNT55" s="557"/>
      <c r="RNU55" s="557"/>
      <c r="RNV55" s="557"/>
      <c r="RNW55" s="557"/>
      <c r="RNX55" s="557"/>
      <c r="RNY55" s="557"/>
      <c r="RNZ55" s="557"/>
      <c r="ROA55" s="661"/>
      <c r="ROB55" s="556"/>
      <c r="ROC55" s="557"/>
      <c r="ROD55" s="557"/>
      <c r="ROE55" s="557"/>
      <c r="ROF55" s="557"/>
      <c r="ROG55" s="557"/>
      <c r="ROH55" s="557"/>
      <c r="ROI55" s="557"/>
      <c r="ROJ55" s="557"/>
      <c r="ROK55" s="557"/>
      <c r="ROL55" s="557"/>
      <c r="ROM55" s="557"/>
      <c r="RON55" s="557"/>
      <c r="ROO55" s="557"/>
      <c r="ROP55" s="557"/>
      <c r="ROQ55" s="557"/>
      <c r="ROR55" s="557"/>
      <c r="ROS55" s="557"/>
      <c r="ROT55" s="557"/>
      <c r="ROU55" s="661"/>
      <c r="ROV55" s="556"/>
      <c r="ROW55" s="557"/>
      <c r="ROX55" s="557"/>
      <c r="ROY55" s="557"/>
      <c r="ROZ55" s="557"/>
      <c r="RPA55" s="557"/>
      <c r="RPB55" s="557"/>
      <c r="RPC55" s="557"/>
      <c r="RPD55" s="557"/>
      <c r="RPE55" s="557"/>
      <c r="RPF55" s="557"/>
      <c r="RPG55" s="557"/>
      <c r="RPH55" s="557"/>
      <c r="RPI55" s="557"/>
      <c r="RPJ55" s="557"/>
      <c r="RPK55" s="557"/>
      <c r="RPL55" s="557"/>
      <c r="RPM55" s="557"/>
      <c r="RPN55" s="557"/>
      <c r="RPO55" s="661"/>
      <c r="RPP55" s="556"/>
      <c r="RPQ55" s="557"/>
      <c r="RPR55" s="557"/>
      <c r="RPS55" s="557"/>
      <c r="RPT55" s="557"/>
      <c r="RPU55" s="557"/>
      <c r="RPV55" s="557"/>
      <c r="RPW55" s="557"/>
      <c r="RPX55" s="557"/>
      <c r="RPY55" s="557"/>
      <c r="RPZ55" s="557"/>
      <c r="RQA55" s="557"/>
      <c r="RQB55" s="557"/>
      <c r="RQC55" s="557"/>
      <c r="RQD55" s="557"/>
      <c r="RQE55" s="557"/>
      <c r="RQF55" s="557"/>
      <c r="RQG55" s="557"/>
      <c r="RQH55" s="557"/>
      <c r="RQI55" s="661"/>
      <c r="RQJ55" s="556"/>
      <c r="RQK55" s="557"/>
      <c r="RQL55" s="557"/>
      <c r="RQM55" s="557"/>
      <c r="RQN55" s="557"/>
      <c r="RQO55" s="557"/>
      <c r="RQP55" s="557"/>
      <c r="RQQ55" s="557"/>
      <c r="RQR55" s="557"/>
      <c r="RQS55" s="557"/>
      <c r="RQT55" s="557"/>
      <c r="RQU55" s="557"/>
      <c r="RQV55" s="557"/>
      <c r="RQW55" s="557"/>
      <c r="RQX55" s="557"/>
      <c r="RQY55" s="557"/>
      <c r="RQZ55" s="557"/>
      <c r="RRA55" s="557"/>
      <c r="RRB55" s="557"/>
      <c r="RRC55" s="661"/>
      <c r="RRD55" s="556"/>
      <c r="RRE55" s="557"/>
      <c r="RRF55" s="557"/>
      <c r="RRG55" s="557"/>
      <c r="RRH55" s="557"/>
      <c r="RRI55" s="557"/>
      <c r="RRJ55" s="557"/>
      <c r="RRK55" s="557"/>
      <c r="RRL55" s="557"/>
      <c r="RRM55" s="557"/>
      <c r="RRN55" s="557"/>
      <c r="RRO55" s="557"/>
      <c r="RRP55" s="557"/>
      <c r="RRQ55" s="557"/>
      <c r="RRR55" s="557"/>
      <c r="RRS55" s="557"/>
      <c r="RRT55" s="557"/>
      <c r="RRU55" s="557"/>
      <c r="RRV55" s="557"/>
      <c r="RRW55" s="661"/>
      <c r="RRX55" s="556"/>
      <c r="RRY55" s="557"/>
      <c r="RRZ55" s="557"/>
      <c r="RSA55" s="557"/>
      <c r="RSB55" s="557"/>
      <c r="RSC55" s="557"/>
      <c r="RSD55" s="557"/>
      <c r="RSE55" s="557"/>
      <c r="RSF55" s="557"/>
      <c r="RSG55" s="557"/>
      <c r="RSH55" s="557"/>
      <c r="RSI55" s="557"/>
      <c r="RSJ55" s="557"/>
      <c r="RSK55" s="557"/>
      <c r="RSL55" s="557"/>
      <c r="RSM55" s="557"/>
      <c r="RSN55" s="557"/>
      <c r="RSO55" s="557"/>
      <c r="RSP55" s="557"/>
      <c r="RSQ55" s="661"/>
      <c r="RSR55" s="556"/>
      <c r="RSS55" s="557"/>
      <c r="RST55" s="557"/>
      <c r="RSU55" s="557"/>
      <c r="RSV55" s="557"/>
      <c r="RSW55" s="557"/>
      <c r="RSX55" s="557"/>
      <c r="RSY55" s="557"/>
      <c r="RSZ55" s="557"/>
      <c r="RTA55" s="557"/>
      <c r="RTB55" s="557"/>
      <c r="RTC55" s="557"/>
      <c r="RTD55" s="557"/>
      <c r="RTE55" s="557"/>
      <c r="RTF55" s="557"/>
      <c r="RTG55" s="557"/>
      <c r="RTH55" s="557"/>
      <c r="RTI55" s="557"/>
      <c r="RTJ55" s="557"/>
      <c r="RTK55" s="661"/>
      <c r="RTL55" s="556"/>
      <c r="RTM55" s="557"/>
      <c r="RTN55" s="557"/>
      <c r="RTO55" s="557"/>
      <c r="RTP55" s="557"/>
      <c r="RTQ55" s="557"/>
      <c r="RTR55" s="557"/>
      <c r="RTS55" s="557"/>
      <c r="RTT55" s="557"/>
      <c r="RTU55" s="557"/>
      <c r="RTV55" s="557"/>
      <c r="RTW55" s="557"/>
      <c r="RTX55" s="557"/>
      <c r="RTY55" s="557"/>
      <c r="RTZ55" s="557"/>
      <c r="RUA55" s="557"/>
      <c r="RUB55" s="557"/>
      <c r="RUC55" s="557"/>
      <c r="RUD55" s="557"/>
      <c r="RUE55" s="661"/>
      <c r="RUF55" s="556"/>
      <c r="RUG55" s="557"/>
      <c r="RUH55" s="557"/>
      <c r="RUI55" s="557"/>
      <c r="RUJ55" s="557"/>
      <c r="RUK55" s="557"/>
      <c r="RUL55" s="557"/>
      <c r="RUM55" s="557"/>
      <c r="RUN55" s="557"/>
      <c r="RUO55" s="557"/>
      <c r="RUP55" s="557"/>
      <c r="RUQ55" s="557"/>
      <c r="RUR55" s="557"/>
      <c r="RUS55" s="557"/>
      <c r="RUT55" s="557"/>
      <c r="RUU55" s="557"/>
      <c r="RUV55" s="557"/>
      <c r="RUW55" s="557"/>
      <c r="RUX55" s="557"/>
      <c r="RUY55" s="661"/>
      <c r="RUZ55" s="556"/>
      <c r="RVA55" s="557"/>
      <c r="RVB55" s="557"/>
      <c r="RVC55" s="557"/>
      <c r="RVD55" s="557"/>
      <c r="RVE55" s="557"/>
      <c r="RVF55" s="557"/>
      <c r="RVG55" s="557"/>
      <c r="RVH55" s="557"/>
      <c r="RVI55" s="557"/>
      <c r="RVJ55" s="557"/>
      <c r="RVK55" s="557"/>
      <c r="RVL55" s="557"/>
      <c r="RVM55" s="557"/>
      <c r="RVN55" s="557"/>
      <c r="RVO55" s="557"/>
      <c r="RVP55" s="557"/>
      <c r="RVQ55" s="557"/>
      <c r="RVR55" s="557"/>
      <c r="RVS55" s="661"/>
      <c r="RVT55" s="556"/>
      <c r="RVU55" s="557"/>
      <c r="RVV55" s="557"/>
      <c r="RVW55" s="557"/>
      <c r="RVX55" s="557"/>
      <c r="RVY55" s="557"/>
      <c r="RVZ55" s="557"/>
      <c r="RWA55" s="557"/>
      <c r="RWB55" s="557"/>
      <c r="RWC55" s="557"/>
      <c r="RWD55" s="557"/>
      <c r="RWE55" s="557"/>
      <c r="RWF55" s="557"/>
      <c r="RWG55" s="557"/>
      <c r="RWH55" s="557"/>
      <c r="RWI55" s="557"/>
      <c r="RWJ55" s="557"/>
      <c r="RWK55" s="557"/>
      <c r="RWL55" s="557"/>
      <c r="RWM55" s="661"/>
      <c r="RWN55" s="556"/>
      <c r="RWO55" s="557"/>
      <c r="RWP55" s="557"/>
      <c r="RWQ55" s="557"/>
      <c r="RWR55" s="557"/>
      <c r="RWS55" s="557"/>
      <c r="RWT55" s="557"/>
      <c r="RWU55" s="557"/>
      <c r="RWV55" s="557"/>
      <c r="RWW55" s="557"/>
      <c r="RWX55" s="557"/>
      <c r="RWY55" s="557"/>
      <c r="RWZ55" s="557"/>
      <c r="RXA55" s="557"/>
      <c r="RXB55" s="557"/>
      <c r="RXC55" s="557"/>
      <c r="RXD55" s="557"/>
      <c r="RXE55" s="557"/>
      <c r="RXF55" s="557"/>
      <c r="RXG55" s="661"/>
      <c r="RXH55" s="556"/>
      <c r="RXI55" s="557"/>
      <c r="RXJ55" s="557"/>
      <c r="RXK55" s="557"/>
      <c r="RXL55" s="557"/>
      <c r="RXM55" s="557"/>
      <c r="RXN55" s="557"/>
      <c r="RXO55" s="557"/>
      <c r="RXP55" s="557"/>
      <c r="RXQ55" s="557"/>
      <c r="RXR55" s="557"/>
      <c r="RXS55" s="557"/>
      <c r="RXT55" s="557"/>
      <c r="RXU55" s="557"/>
      <c r="RXV55" s="557"/>
      <c r="RXW55" s="557"/>
      <c r="RXX55" s="557"/>
      <c r="RXY55" s="557"/>
      <c r="RXZ55" s="557"/>
      <c r="RYA55" s="661"/>
      <c r="RYB55" s="556"/>
      <c r="RYC55" s="557"/>
      <c r="RYD55" s="557"/>
      <c r="RYE55" s="557"/>
      <c r="RYF55" s="557"/>
      <c r="RYG55" s="557"/>
      <c r="RYH55" s="557"/>
      <c r="RYI55" s="557"/>
      <c r="RYJ55" s="557"/>
      <c r="RYK55" s="557"/>
      <c r="RYL55" s="557"/>
      <c r="RYM55" s="557"/>
      <c r="RYN55" s="557"/>
      <c r="RYO55" s="557"/>
      <c r="RYP55" s="557"/>
      <c r="RYQ55" s="557"/>
      <c r="RYR55" s="557"/>
      <c r="RYS55" s="557"/>
      <c r="RYT55" s="557"/>
      <c r="RYU55" s="661"/>
      <c r="RYV55" s="556"/>
      <c r="RYW55" s="557"/>
      <c r="RYX55" s="557"/>
      <c r="RYY55" s="557"/>
      <c r="RYZ55" s="557"/>
      <c r="RZA55" s="557"/>
      <c r="RZB55" s="557"/>
      <c r="RZC55" s="557"/>
      <c r="RZD55" s="557"/>
      <c r="RZE55" s="557"/>
      <c r="RZF55" s="557"/>
      <c r="RZG55" s="557"/>
      <c r="RZH55" s="557"/>
      <c r="RZI55" s="557"/>
      <c r="RZJ55" s="557"/>
      <c r="RZK55" s="557"/>
      <c r="RZL55" s="557"/>
      <c r="RZM55" s="557"/>
      <c r="RZN55" s="557"/>
      <c r="RZO55" s="661"/>
      <c r="RZP55" s="556"/>
      <c r="RZQ55" s="557"/>
      <c r="RZR55" s="557"/>
      <c r="RZS55" s="557"/>
      <c r="RZT55" s="557"/>
      <c r="RZU55" s="557"/>
      <c r="RZV55" s="557"/>
      <c r="RZW55" s="557"/>
      <c r="RZX55" s="557"/>
      <c r="RZY55" s="557"/>
      <c r="RZZ55" s="557"/>
      <c r="SAA55" s="557"/>
      <c r="SAB55" s="557"/>
      <c r="SAC55" s="557"/>
      <c r="SAD55" s="557"/>
      <c r="SAE55" s="557"/>
      <c r="SAF55" s="557"/>
      <c r="SAG55" s="557"/>
      <c r="SAH55" s="557"/>
      <c r="SAI55" s="661"/>
      <c r="SAJ55" s="556"/>
      <c r="SAK55" s="557"/>
      <c r="SAL55" s="557"/>
      <c r="SAM55" s="557"/>
      <c r="SAN55" s="557"/>
      <c r="SAO55" s="557"/>
      <c r="SAP55" s="557"/>
      <c r="SAQ55" s="557"/>
      <c r="SAR55" s="557"/>
      <c r="SAS55" s="557"/>
      <c r="SAT55" s="557"/>
      <c r="SAU55" s="557"/>
      <c r="SAV55" s="557"/>
      <c r="SAW55" s="557"/>
      <c r="SAX55" s="557"/>
      <c r="SAY55" s="557"/>
      <c r="SAZ55" s="557"/>
      <c r="SBA55" s="557"/>
      <c r="SBB55" s="557"/>
      <c r="SBC55" s="661"/>
      <c r="SBD55" s="556"/>
      <c r="SBE55" s="557"/>
      <c r="SBF55" s="557"/>
      <c r="SBG55" s="557"/>
      <c r="SBH55" s="557"/>
      <c r="SBI55" s="557"/>
      <c r="SBJ55" s="557"/>
      <c r="SBK55" s="557"/>
      <c r="SBL55" s="557"/>
      <c r="SBM55" s="557"/>
      <c r="SBN55" s="557"/>
      <c r="SBO55" s="557"/>
      <c r="SBP55" s="557"/>
      <c r="SBQ55" s="557"/>
      <c r="SBR55" s="557"/>
      <c r="SBS55" s="557"/>
      <c r="SBT55" s="557"/>
      <c r="SBU55" s="557"/>
      <c r="SBV55" s="557"/>
      <c r="SBW55" s="661"/>
      <c r="SBX55" s="556"/>
      <c r="SBY55" s="557"/>
      <c r="SBZ55" s="557"/>
      <c r="SCA55" s="557"/>
      <c r="SCB55" s="557"/>
      <c r="SCC55" s="557"/>
      <c r="SCD55" s="557"/>
      <c r="SCE55" s="557"/>
      <c r="SCF55" s="557"/>
      <c r="SCG55" s="557"/>
      <c r="SCH55" s="557"/>
      <c r="SCI55" s="557"/>
      <c r="SCJ55" s="557"/>
      <c r="SCK55" s="557"/>
      <c r="SCL55" s="557"/>
      <c r="SCM55" s="557"/>
      <c r="SCN55" s="557"/>
      <c r="SCO55" s="557"/>
      <c r="SCP55" s="557"/>
      <c r="SCQ55" s="661"/>
      <c r="SCR55" s="556"/>
      <c r="SCS55" s="557"/>
      <c r="SCT55" s="557"/>
      <c r="SCU55" s="557"/>
      <c r="SCV55" s="557"/>
      <c r="SCW55" s="557"/>
      <c r="SCX55" s="557"/>
      <c r="SCY55" s="557"/>
      <c r="SCZ55" s="557"/>
      <c r="SDA55" s="557"/>
      <c r="SDB55" s="557"/>
      <c r="SDC55" s="557"/>
      <c r="SDD55" s="557"/>
      <c r="SDE55" s="557"/>
      <c r="SDF55" s="557"/>
      <c r="SDG55" s="557"/>
      <c r="SDH55" s="557"/>
      <c r="SDI55" s="557"/>
      <c r="SDJ55" s="557"/>
      <c r="SDK55" s="661"/>
      <c r="SDL55" s="556"/>
      <c r="SDM55" s="557"/>
      <c r="SDN55" s="557"/>
      <c r="SDO55" s="557"/>
      <c r="SDP55" s="557"/>
      <c r="SDQ55" s="557"/>
      <c r="SDR55" s="557"/>
      <c r="SDS55" s="557"/>
      <c r="SDT55" s="557"/>
      <c r="SDU55" s="557"/>
      <c r="SDV55" s="557"/>
      <c r="SDW55" s="557"/>
      <c r="SDX55" s="557"/>
      <c r="SDY55" s="557"/>
      <c r="SDZ55" s="557"/>
      <c r="SEA55" s="557"/>
      <c r="SEB55" s="557"/>
      <c r="SEC55" s="557"/>
      <c r="SED55" s="557"/>
      <c r="SEE55" s="661"/>
      <c r="SEF55" s="556"/>
      <c r="SEG55" s="557"/>
      <c r="SEH55" s="557"/>
      <c r="SEI55" s="557"/>
      <c r="SEJ55" s="557"/>
      <c r="SEK55" s="557"/>
      <c r="SEL55" s="557"/>
      <c r="SEM55" s="557"/>
      <c r="SEN55" s="557"/>
      <c r="SEO55" s="557"/>
      <c r="SEP55" s="557"/>
      <c r="SEQ55" s="557"/>
      <c r="SER55" s="557"/>
      <c r="SES55" s="557"/>
      <c r="SET55" s="557"/>
      <c r="SEU55" s="557"/>
      <c r="SEV55" s="557"/>
      <c r="SEW55" s="557"/>
      <c r="SEX55" s="557"/>
      <c r="SEY55" s="661"/>
      <c r="SEZ55" s="556"/>
      <c r="SFA55" s="557"/>
      <c r="SFB55" s="557"/>
      <c r="SFC55" s="557"/>
      <c r="SFD55" s="557"/>
      <c r="SFE55" s="557"/>
      <c r="SFF55" s="557"/>
      <c r="SFG55" s="557"/>
      <c r="SFH55" s="557"/>
      <c r="SFI55" s="557"/>
      <c r="SFJ55" s="557"/>
      <c r="SFK55" s="557"/>
      <c r="SFL55" s="557"/>
      <c r="SFM55" s="557"/>
      <c r="SFN55" s="557"/>
      <c r="SFO55" s="557"/>
      <c r="SFP55" s="557"/>
      <c r="SFQ55" s="557"/>
      <c r="SFR55" s="557"/>
      <c r="SFS55" s="661"/>
      <c r="SFT55" s="556"/>
      <c r="SFU55" s="557"/>
      <c r="SFV55" s="557"/>
      <c r="SFW55" s="557"/>
      <c r="SFX55" s="557"/>
      <c r="SFY55" s="557"/>
      <c r="SFZ55" s="557"/>
      <c r="SGA55" s="557"/>
      <c r="SGB55" s="557"/>
      <c r="SGC55" s="557"/>
      <c r="SGD55" s="557"/>
      <c r="SGE55" s="557"/>
      <c r="SGF55" s="557"/>
      <c r="SGG55" s="557"/>
      <c r="SGH55" s="557"/>
      <c r="SGI55" s="557"/>
      <c r="SGJ55" s="557"/>
      <c r="SGK55" s="557"/>
      <c r="SGL55" s="557"/>
      <c r="SGM55" s="661"/>
      <c r="SGN55" s="556"/>
      <c r="SGO55" s="557"/>
      <c r="SGP55" s="557"/>
      <c r="SGQ55" s="557"/>
      <c r="SGR55" s="557"/>
      <c r="SGS55" s="557"/>
      <c r="SGT55" s="557"/>
      <c r="SGU55" s="557"/>
      <c r="SGV55" s="557"/>
      <c r="SGW55" s="557"/>
      <c r="SGX55" s="557"/>
      <c r="SGY55" s="557"/>
      <c r="SGZ55" s="557"/>
      <c r="SHA55" s="557"/>
      <c r="SHB55" s="557"/>
      <c r="SHC55" s="557"/>
      <c r="SHD55" s="557"/>
      <c r="SHE55" s="557"/>
      <c r="SHF55" s="557"/>
      <c r="SHG55" s="661"/>
      <c r="SHH55" s="556"/>
      <c r="SHI55" s="557"/>
      <c r="SHJ55" s="557"/>
      <c r="SHK55" s="557"/>
      <c r="SHL55" s="557"/>
      <c r="SHM55" s="557"/>
      <c r="SHN55" s="557"/>
      <c r="SHO55" s="557"/>
      <c r="SHP55" s="557"/>
      <c r="SHQ55" s="557"/>
      <c r="SHR55" s="557"/>
      <c r="SHS55" s="557"/>
      <c r="SHT55" s="557"/>
      <c r="SHU55" s="557"/>
      <c r="SHV55" s="557"/>
      <c r="SHW55" s="557"/>
      <c r="SHX55" s="557"/>
      <c r="SHY55" s="557"/>
      <c r="SHZ55" s="557"/>
      <c r="SIA55" s="661"/>
      <c r="SIB55" s="556"/>
      <c r="SIC55" s="557"/>
      <c r="SID55" s="557"/>
      <c r="SIE55" s="557"/>
      <c r="SIF55" s="557"/>
      <c r="SIG55" s="557"/>
      <c r="SIH55" s="557"/>
      <c r="SII55" s="557"/>
      <c r="SIJ55" s="557"/>
      <c r="SIK55" s="557"/>
      <c r="SIL55" s="557"/>
      <c r="SIM55" s="557"/>
      <c r="SIN55" s="557"/>
      <c r="SIO55" s="557"/>
      <c r="SIP55" s="557"/>
      <c r="SIQ55" s="557"/>
      <c r="SIR55" s="557"/>
      <c r="SIS55" s="557"/>
      <c r="SIT55" s="557"/>
      <c r="SIU55" s="661"/>
      <c r="SIV55" s="556"/>
      <c r="SIW55" s="557"/>
      <c r="SIX55" s="557"/>
      <c r="SIY55" s="557"/>
      <c r="SIZ55" s="557"/>
      <c r="SJA55" s="557"/>
      <c r="SJB55" s="557"/>
      <c r="SJC55" s="557"/>
      <c r="SJD55" s="557"/>
      <c r="SJE55" s="557"/>
      <c r="SJF55" s="557"/>
      <c r="SJG55" s="557"/>
      <c r="SJH55" s="557"/>
      <c r="SJI55" s="557"/>
      <c r="SJJ55" s="557"/>
      <c r="SJK55" s="557"/>
      <c r="SJL55" s="557"/>
      <c r="SJM55" s="557"/>
      <c r="SJN55" s="557"/>
      <c r="SJO55" s="661"/>
      <c r="SJP55" s="556"/>
      <c r="SJQ55" s="557"/>
      <c r="SJR55" s="557"/>
      <c r="SJS55" s="557"/>
      <c r="SJT55" s="557"/>
      <c r="SJU55" s="557"/>
      <c r="SJV55" s="557"/>
      <c r="SJW55" s="557"/>
      <c r="SJX55" s="557"/>
      <c r="SJY55" s="557"/>
      <c r="SJZ55" s="557"/>
      <c r="SKA55" s="557"/>
      <c r="SKB55" s="557"/>
      <c r="SKC55" s="557"/>
      <c r="SKD55" s="557"/>
      <c r="SKE55" s="557"/>
      <c r="SKF55" s="557"/>
      <c r="SKG55" s="557"/>
      <c r="SKH55" s="557"/>
      <c r="SKI55" s="661"/>
      <c r="SKJ55" s="556"/>
      <c r="SKK55" s="557"/>
      <c r="SKL55" s="557"/>
      <c r="SKM55" s="557"/>
      <c r="SKN55" s="557"/>
      <c r="SKO55" s="557"/>
      <c r="SKP55" s="557"/>
      <c r="SKQ55" s="557"/>
      <c r="SKR55" s="557"/>
      <c r="SKS55" s="557"/>
      <c r="SKT55" s="557"/>
      <c r="SKU55" s="557"/>
      <c r="SKV55" s="557"/>
      <c r="SKW55" s="557"/>
      <c r="SKX55" s="557"/>
      <c r="SKY55" s="557"/>
      <c r="SKZ55" s="557"/>
      <c r="SLA55" s="557"/>
      <c r="SLB55" s="557"/>
      <c r="SLC55" s="661"/>
      <c r="SLD55" s="556"/>
      <c r="SLE55" s="557"/>
      <c r="SLF55" s="557"/>
      <c r="SLG55" s="557"/>
      <c r="SLH55" s="557"/>
      <c r="SLI55" s="557"/>
      <c r="SLJ55" s="557"/>
      <c r="SLK55" s="557"/>
      <c r="SLL55" s="557"/>
      <c r="SLM55" s="557"/>
      <c r="SLN55" s="557"/>
      <c r="SLO55" s="557"/>
      <c r="SLP55" s="557"/>
      <c r="SLQ55" s="557"/>
      <c r="SLR55" s="557"/>
      <c r="SLS55" s="557"/>
      <c r="SLT55" s="557"/>
      <c r="SLU55" s="557"/>
      <c r="SLV55" s="557"/>
      <c r="SLW55" s="661"/>
      <c r="SLX55" s="556"/>
      <c r="SLY55" s="557"/>
      <c r="SLZ55" s="557"/>
      <c r="SMA55" s="557"/>
      <c r="SMB55" s="557"/>
      <c r="SMC55" s="557"/>
      <c r="SMD55" s="557"/>
      <c r="SME55" s="557"/>
      <c r="SMF55" s="557"/>
      <c r="SMG55" s="557"/>
      <c r="SMH55" s="557"/>
      <c r="SMI55" s="557"/>
      <c r="SMJ55" s="557"/>
      <c r="SMK55" s="557"/>
      <c r="SML55" s="557"/>
      <c r="SMM55" s="557"/>
      <c r="SMN55" s="557"/>
      <c r="SMO55" s="557"/>
      <c r="SMP55" s="557"/>
      <c r="SMQ55" s="661"/>
      <c r="SMR55" s="556"/>
      <c r="SMS55" s="557"/>
      <c r="SMT55" s="557"/>
      <c r="SMU55" s="557"/>
      <c r="SMV55" s="557"/>
      <c r="SMW55" s="557"/>
      <c r="SMX55" s="557"/>
      <c r="SMY55" s="557"/>
      <c r="SMZ55" s="557"/>
      <c r="SNA55" s="557"/>
      <c r="SNB55" s="557"/>
      <c r="SNC55" s="557"/>
      <c r="SND55" s="557"/>
      <c r="SNE55" s="557"/>
      <c r="SNF55" s="557"/>
      <c r="SNG55" s="557"/>
      <c r="SNH55" s="557"/>
      <c r="SNI55" s="557"/>
      <c r="SNJ55" s="557"/>
      <c r="SNK55" s="661"/>
      <c r="SNL55" s="556"/>
      <c r="SNM55" s="557"/>
      <c r="SNN55" s="557"/>
      <c r="SNO55" s="557"/>
      <c r="SNP55" s="557"/>
      <c r="SNQ55" s="557"/>
      <c r="SNR55" s="557"/>
      <c r="SNS55" s="557"/>
      <c r="SNT55" s="557"/>
      <c r="SNU55" s="557"/>
      <c r="SNV55" s="557"/>
      <c r="SNW55" s="557"/>
      <c r="SNX55" s="557"/>
      <c r="SNY55" s="557"/>
      <c r="SNZ55" s="557"/>
      <c r="SOA55" s="557"/>
      <c r="SOB55" s="557"/>
      <c r="SOC55" s="557"/>
      <c r="SOD55" s="557"/>
      <c r="SOE55" s="661"/>
      <c r="SOF55" s="556"/>
      <c r="SOG55" s="557"/>
      <c r="SOH55" s="557"/>
      <c r="SOI55" s="557"/>
      <c r="SOJ55" s="557"/>
      <c r="SOK55" s="557"/>
      <c r="SOL55" s="557"/>
      <c r="SOM55" s="557"/>
      <c r="SON55" s="557"/>
      <c r="SOO55" s="557"/>
      <c r="SOP55" s="557"/>
      <c r="SOQ55" s="557"/>
      <c r="SOR55" s="557"/>
      <c r="SOS55" s="557"/>
      <c r="SOT55" s="557"/>
      <c r="SOU55" s="557"/>
      <c r="SOV55" s="557"/>
      <c r="SOW55" s="557"/>
      <c r="SOX55" s="557"/>
      <c r="SOY55" s="661"/>
      <c r="SOZ55" s="556"/>
      <c r="SPA55" s="557"/>
      <c r="SPB55" s="557"/>
      <c r="SPC55" s="557"/>
      <c r="SPD55" s="557"/>
      <c r="SPE55" s="557"/>
      <c r="SPF55" s="557"/>
      <c r="SPG55" s="557"/>
      <c r="SPH55" s="557"/>
      <c r="SPI55" s="557"/>
      <c r="SPJ55" s="557"/>
      <c r="SPK55" s="557"/>
      <c r="SPL55" s="557"/>
      <c r="SPM55" s="557"/>
      <c r="SPN55" s="557"/>
      <c r="SPO55" s="557"/>
      <c r="SPP55" s="557"/>
      <c r="SPQ55" s="557"/>
      <c r="SPR55" s="557"/>
      <c r="SPS55" s="661"/>
      <c r="SPT55" s="556"/>
      <c r="SPU55" s="557"/>
      <c r="SPV55" s="557"/>
      <c r="SPW55" s="557"/>
      <c r="SPX55" s="557"/>
      <c r="SPY55" s="557"/>
      <c r="SPZ55" s="557"/>
      <c r="SQA55" s="557"/>
      <c r="SQB55" s="557"/>
      <c r="SQC55" s="557"/>
      <c r="SQD55" s="557"/>
      <c r="SQE55" s="557"/>
      <c r="SQF55" s="557"/>
      <c r="SQG55" s="557"/>
      <c r="SQH55" s="557"/>
      <c r="SQI55" s="557"/>
      <c r="SQJ55" s="557"/>
      <c r="SQK55" s="557"/>
      <c r="SQL55" s="557"/>
      <c r="SQM55" s="661"/>
      <c r="SQN55" s="556"/>
      <c r="SQO55" s="557"/>
      <c r="SQP55" s="557"/>
      <c r="SQQ55" s="557"/>
      <c r="SQR55" s="557"/>
      <c r="SQS55" s="557"/>
      <c r="SQT55" s="557"/>
      <c r="SQU55" s="557"/>
      <c r="SQV55" s="557"/>
      <c r="SQW55" s="557"/>
      <c r="SQX55" s="557"/>
      <c r="SQY55" s="557"/>
      <c r="SQZ55" s="557"/>
      <c r="SRA55" s="557"/>
      <c r="SRB55" s="557"/>
      <c r="SRC55" s="557"/>
      <c r="SRD55" s="557"/>
      <c r="SRE55" s="557"/>
      <c r="SRF55" s="557"/>
      <c r="SRG55" s="661"/>
      <c r="SRH55" s="556"/>
      <c r="SRI55" s="557"/>
      <c r="SRJ55" s="557"/>
      <c r="SRK55" s="557"/>
      <c r="SRL55" s="557"/>
      <c r="SRM55" s="557"/>
      <c r="SRN55" s="557"/>
      <c r="SRO55" s="557"/>
      <c r="SRP55" s="557"/>
      <c r="SRQ55" s="557"/>
      <c r="SRR55" s="557"/>
      <c r="SRS55" s="557"/>
      <c r="SRT55" s="557"/>
      <c r="SRU55" s="557"/>
      <c r="SRV55" s="557"/>
      <c r="SRW55" s="557"/>
      <c r="SRX55" s="557"/>
      <c r="SRY55" s="557"/>
      <c r="SRZ55" s="557"/>
      <c r="SSA55" s="661"/>
      <c r="SSB55" s="556"/>
      <c r="SSC55" s="557"/>
      <c r="SSD55" s="557"/>
      <c r="SSE55" s="557"/>
      <c r="SSF55" s="557"/>
      <c r="SSG55" s="557"/>
      <c r="SSH55" s="557"/>
      <c r="SSI55" s="557"/>
      <c r="SSJ55" s="557"/>
      <c r="SSK55" s="557"/>
      <c r="SSL55" s="557"/>
      <c r="SSM55" s="557"/>
      <c r="SSN55" s="557"/>
      <c r="SSO55" s="557"/>
      <c r="SSP55" s="557"/>
      <c r="SSQ55" s="557"/>
      <c r="SSR55" s="557"/>
      <c r="SSS55" s="557"/>
      <c r="SST55" s="557"/>
      <c r="SSU55" s="661"/>
      <c r="SSV55" s="556"/>
      <c r="SSW55" s="557"/>
      <c r="SSX55" s="557"/>
      <c r="SSY55" s="557"/>
      <c r="SSZ55" s="557"/>
      <c r="STA55" s="557"/>
      <c r="STB55" s="557"/>
      <c r="STC55" s="557"/>
      <c r="STD55" s="557"/>
      <c r="STE55" s="557"/>
      <c r="STF55" s="557"/>
      <c r="STG55" s="557"/>
      <c r="STH55" s="557"/>
      <c r="STI55" s="557"/>
      <c r="STJ55" s="557"/>
      <c r="STK55" s="557"/>
      <c r="STL55" s="557"/>
      <c r="STM55" s="557"/>
      <c r="STN55" s="557"/>
      <c r="STO55" s="661"/>
      <c r="STP55" s="556"/>
      <c r="STQ55" s="557"/>
      <c r="STR55" s="557"/>
      <c r="STS55" s="557"/>
      <c r="STT55" s="557"/>
      <c r="STU55" s="557"/>
      <c r="STV55" s="557"/>
      <c r="STW55" s="557"/>
      <c r="STX55" s="557"/>
      <c r="STY55" s="557"/>
      <c r="STZ55" s="557"/>
      <c r="SUA55" s="557"/>
      <c r="SUB55" s="557"/>
      <c r="SUC55" s="557"/>
      <c r="SUD55" s="557"/>
      <c r="SUE55" s="557"/>
      <c r="SUF55" s="557"/>
      <c r="SUG55" s="557"/>
      <c r="SUH55" s="557"/>
      <c r="SUI55" s="661"/>
      <c r="SUJ55" s="556"/>
      <c r="SUK55" s="557"/>
      <c r="SUL55" s="557"/>
      <c r="SUM55" s="557"/>
      <c r="SUN55" s="557"/>
      <c r="SUO55" s="557"/>
      <c r="SUP55" s="557"/>
      <c r="SUQ55" s="557"/>
      <c r="SUR55" s="557"/>
      <c r="SUS55" s="557"/>
      <c r="SUT55" s="557"/>
      <c r="SUU55" s="557"/>
      <c r="SUV55" s="557"/>
      <c r="SUW55" s="557"/>
      <c r="SUX55" s="557"/>
      <c r="SUY55" s="557"/>
      <c r="SUZ55" s="557"/>
      <c r="SVA55" s="557"/>
      <c r="SVB55" s="557"/>
      <c r="SVC55" s="661"/>
      <c r="SVD55" s="556"/>
      <c r="SVE55" s="557"/>
      <c r="SVF55" s="557"/>
      <c r="SVG55" s="557"/>
      <c r="SVH55" s="557"/>
      <c r="SVI55" s="557"/>
      <c r="SVJ55" s="557"/>
      <c r="SVK55" s="557"/>
      <c r="SVL55" s="557"/>
      <c r="SVM55" s="557"/>
      <c r="SVN55" s="557"/>
      <c r="SVO55" s="557"/>
      <c r="SVP55" s="557"/>
      <c r="SVQ55" s="557"/>
      <c r="SVR55" s="557"/>
      <c r="SVS55" s="557"/>
      <c r="SVT55" s="557"/>
      <c r="SVU55" s="557"/>
      <c r="SVV55" s="557"/>
      <c r="SVW55" s="661"/>
      <c r="SVX55" s="556"/>
      <c r="SVY55" s="557"/>
      <c r="SVZ55" s="557"/>
      <c r="SWA55" s="557"/>
      <c r="SWB55" s="557"/>
      <c r="SWC55" s="557"/>
      <c r="SWD55" s="557"/>
      <c r="SWE55" s="557"/>
      <c r="SWF55" s="557"/>
      <c r="SWG55" s="557"/>
      <c r="SWH55" s="557"/>
      <c r="SWI55" s="557"/>
      <c r="SWJ55" s="557"/>
      <c r="SWK55" s="557"/>
      <c r="SWL55" s="557"/>
      <c r="SWM55" s="557"/>
      <c r="SWN55" s="557"/>
      <c r="SWO55" s="557"/>
      <c r="SWP55" s="557"/>
      <c r="SWQ55" s="661"/>
      <c r="SWR55" s="556"/>
      <c r="SWS55" s="557"/>
      <c r="SWT55" s="557"/>
      <c r="SWU55" s="557"/>
      <c r="SWV55" s="557"/>
      <c r="SWW55" s="557"/>
      <c r="SWX55" s="557"/>
      <c r="SWY55" s="557"/>
      <c r="SWZ55" s="557"/>
      <c r="SXA55" s="557"/>
      <c r="SXB55" s="557"/>
      <c r="SXC55" s="557"/>
      <c r="SXD55" s="557"/>
      <c r="SXE55" s="557"/>
      <c r="SXF55" s="557"/>
      <c r="SXG55" s="557"/>
      <c r="SXH55" s="557"/>
      <c r="SXI55" s="557"/>
      <c r="SXJ55" s="557"/>
      <c r="SXK55" s="661"/>
      <c r="SXL55" s="556"/>
      <c r="SXM55" s="557"/>
      <c r="SXN55" s="557"/>
      <c r="SXO55" s="557"/>
      <c r="SXP55" s="557"/>
      <c r="SXQ55" s="557"/>
      <c r="SXR55" s="557"/>
      <c r="SXS55" s="557"/>
      <c r="SXT55" s="557"/>
      <c r="SXU55" s="557"/>
      <c r="SXV55" s="557"/>
      <c r="SXW55" s="557"/>
      <c r="SXX55" s="557"/>
      <c r="SXY55" s="557"/>
      <c r="SXZ55" s="557"/>
      <c r="SYA55" s="557"/>
      <c r="SYB55" s="557"/>
      <c r="SYC55" s="557"/>
      <c r="SYD55" s="557"/>
      <c r="SYE55" s="661"/>
      <c r="SYF55" s="556"/>
      <c r="SYG55" s="557"/>
      <c r="SYH55" s="557"/>
      <c r="SYI55" s="557"/>
      <c r="SYJ55" s="557"/>
      <c r="SYK55" s="557"/>
      <c r="SYL55" s="557"/>
      <c r="SYM55" s="557"/>
      <c r="SYN55" s="557"/>
      <c r="SYO55" s="557"/>
      <c r="SYP55" s="557"/>
      <c r="SYQ55" s="557"/>
      <c r="SYR55" s="557"/>
      <c r="SYS55" s="557"/>
      <c r="SYT55" s="557"/>
      <c r="SYU55" s="557"/>
      <c r="SYV55" s="557"/>
      <c r="SYW55" s="557"/>
      <c r="SYX55" s="557"/>
      <c r="SYY55" s="661"/>
      <c r="SYZ55" s="556"/>
      <c r="SZA55" s="557"/>
      <c r="SZB55" s="557"/>
      <c r="SZC55" s="557"/>
      <c r="SZD55" s="557"/>
      <c r="SZE55" s="557"/>
      <c r="SZF55" s="557"/>
      <c r="SZG55" s="557"/>
      <c r="SZH55" s="557"/>
      <c r="SZI55" s="557"/>
      <c r="SZJ55" s="557"/>
      <c r="SZK55" s="557"/>
      <c r="SZL55" s="557"/>
      <c r="SZM55" s="557"/>
      <c r="SZN55" s="557"/>
      <c r="SZO55" s="557"/>
      <c r="SZP55" s="557"/>
      <c r="SZQ55" s="557"/>
      <c r="SZR55" s="557"/>
      <c r="SZS55" s="661"/>
      <c r="SZT55" s="556"/>
      <c r="SZU55" s="557"/>
      <c r="SZV55" s="557"/>
      <c r="SZW55" s="557"/>
      <c r="SZX55" s="557"/>
      <c r="SZY55" s="557"/>
      <c r="SZZ55" s="557"/>
      <c r="TAA55" s="557"/>
      <c r="TAB55" s="557"/>
      <c r="TAC55" s="557"/>
      <c r="TAD55" s="557"/>
      <c r="TAE55" s="557"/>
      <c r="TAF55" s="557"/>
      <c r="TAG55" s="557"/>
      <c r="TAH55" s="557"/>
      <c r="TAI55" s="557"/>
      <c r="TAJ55" s="557"/>
      <c r="TAK55" s="557"/>
      <c r="TAL55" s="557"/>
      <c r="TAM55" s="661"/>
      <c r="TAN55" s="556"/>
      <c r="TAO55" s="557"/>
      <c r="TAP55" s="557"/>
      <c r="TAQ55" s="557"/>
      <c r="TAR55" s="557"/>
      <c r="TAS55" s="557"/>
      <c r="TAT55" s="557"/>
      <c r="TAU55" s="557"/>
      <c r="TAV55" s="557"/>
      <c r="TAW55" s="557"/>
      <c r="TAX55" s="557"/>
      <c r="TAY55" s="557"/>
      <c r="TAZ55" s="557"/>
      <c r="TBA55" s="557"/>
      <c r="TBB55" s="557"/>
      <c r="TBC55" s="557"/>
      <c r="TBD55" s="557"/>
      <c r="TBE55" s="557"/>
      <c r="TBF55" s="557"/>
      <c r="TBG55" s="661"/>
      <c r="TBH55" s="556"/>
      <c r="TBI55" s="557"/>
      <c r="TBJ55" s="557"/>
      <c r="TBK55" s="557"/>
      <c r="TBL55" s="557"/>
      <c r="TBM55" s="557"/>
      <c r="TBN55" s="557"/>
      <c r="TBO55" s="557"/>
      <c r="TBP55" s="557"/>
      <c r="TBQ55" s="557"/>
      <c r="TBR55" s="557"/>
      <c r="TBS55" s="557"/>
      <c r="TBT55" s="557"/>
      <c r="TBU55" s="557"/>
      <c r="TBV55" s="557"/>
      <c r="TBW55" s="557"/>
      <c r="TBX55" s="557"/>
      <c r="TBY55" s="557"/>
      <c r="TBZ55" s="557"/>
      <c r="TCA55" s="661"/>
      <c r="TCB55" s="556"/>
      <c r="TCC55" s="557"/>
      <c r="TCD55" s="557"/>
      <c r="TCE55" s="557"/>
      <c r="TCF55" s="557"/>
      <c r="TCG55" s="557"/>
      <c r="TCH55" s="557"/>
      <c r="TCI55" s="557"/>
      <c r="TCJ55" s="557"/>
      <c r="TCK55" s="557"/>
      <c r="TCL55" s="557"/>
      <c r="TCM55" s="557"/>
      <c r="TCN55" s="557"/>
      <c r="TCO55" s="557"/>
      <c r="TCP55" s="557"/>
      <c r="TCQ55" s="557"/>
      <c r="TCR55" s="557"/>
      <c r="TCS55" s="557"/>
      <c r="TCT55" s="557"/>
      <c r="TCU55" s="661"/>
      <c r="TCV55" s="556"/>
      <c r="TCW55" s="557"/>
      <c r="TCX55" s="557"/>
      <c r="TCY55" s="557"/>
      <c r="TCZ55" s="557"/>
      <c r="TDA55" s="557"/>
      <c r="TDB55" s="557"/>
      <c r="TDC55" s="557"/>
      <c r="TDD55" s="557"/>
      <c r="TDE55" s="557"/>
      <c r="TDF55" s="557"/>
      <c r="TDG55" s="557"/>
      <c r="TDH55" s="557"/>
      <c r="TDI55" s="557"/>
      <c r="TDJ55" s="557"/>
      <c r="TDK55" s="557"/>
      <c r="TDL55" s="557"/>
      <c r="TDM55" s="557"/>
      <c r="TDN55" s="557"/>
      <c r="TDO55" s="661"/>
      <c r="TDP55" s="556"/>
      <c r="TDQ55" s="557"/>
      <c r="TDR55" s="557"/>
      <c r="TDS55" s="557"/>
      <c r="TDT55" s="557"/>
      <c r="TDU55" s="557"/>
      <c r="TDV55" s="557"/>
      <c r="TDW55" s="557"/>
      <c r="TDX55" s="557"/>
      <c r="TDY55" s="557"/>
      <c r="TDZ55" s="557"/>
      <c r="TEA55" s="557"/>
      <c r="TEB55" s="557"/>
      <c r="TEC55" s="557"/>
      <c r="TED55" s="557"/>
      <c r="TEE55" s="557"/>
      <c r="TEF55" s="557"/>
      <c r="TEG55" s="557"/>
      <c r="TEH55" s="557"/>
      <c r="TEI55" s="661"/>
      <c r="TEJ55" s="556"/>
      <c r="TEK55" s="557"/>
      <c r="TEL55" s="557"/>
      <c r="TEM55" s="557"/>
      <c r="TEN55" s="557"/>
      <c r="TEO55" s="557"/>
      <c r="TEP55" s="557"/>
      <c r="TEQ55" s="557"/>
      <c r="TER55" s="557"/>
      <c r="TES55" s="557"/>
      <c r="TET55" s="557"/>
      <c r="TEU55" s="557"/>
      <c r="TEV55" s="557"/>
      <c r="TEW55" s="557"/>
      <c r="TEX55" s="557"/>
      <c r="TEY55" s="557"/>
      <c r="TEZ55" s="557"/>
      <c r="TFA55" s="557"/>
      <c r="TFB55" s="557"/>
      <c r="TFC55" s="661"/>
      <c r="TFD55" s="556"/>
      <c r="TFE55" s="557"/>
      <c r="TFF55" s="557"/>
      <c r="TFG55" s="557"/>
      <c r="TFH55" s="557"/>
      <c r="TFI55" s="557"/>
      <c r="TFJ55" s="557"/>
      <c r="TFK55" s="557"/>
      <c r="TFL55" s="557"/>
      <c r="TFM55" s="557"/>
      <c r="TFN55" s="557"/>
      <c r="TFO55" s="557"/>
      <c r="TFP55" s="557"/>
      <c r="TFQ55" s="557"/>
      <c r="TFR55" s="557"/>
      <c r="TFS55" s="557"/>
      <c r="TFT55" s="557"/>
      <c r="TFU55" s="557"/>
      <c r="TFV55" s="557"/>
      <c r="TFW55" s="661"/>
      <c r="TFX55" s="556"/>
      <c r="TFY55" s="557"/>
      <c r="TFZ55" s="557"/>
      <c r="TGA55" s="557"/>
      <c r="TGB55" s="557"/>
      <c r="TGC55" s="557"/>
      <c r="TGD55" s="557"/>
      <c r="TGE55" s="557"/>
      <c r="TGF55" s="557"/>
      <c r="TGG55" s="557"/>
      <c r="TGH55" s="557"/>
      <c r="TGI55" s="557"/>
      <c r="TGJ55" s="557"/>
      <c r="TGK55" s="557"/>
      <c r="TGL55" s="557"/>
      <c r="TGM55" s="557"/>
      <c r="TGN55" s="557"/>
      <c r="TGO55" s="557"/>
      <c r="TGP55" s="557"/>
      <c r="TGQ55" s="661"/>
      <c r="TGR55" s="556"/>
      <c r="TGS55" s="557"/>
      <c r="TGT55" s="557"/>
      <c r="TGU55" s="557"/>
      <c r="TGV55" s="557"/>
      <c r="TGW55" s="557"/>
      <c r="TGX55" s="557"/>
      <c r="TGY55" s="557"/>
      <c r="TGZ55" s="557"/>
      <c r="THA55" s="557"/>
      <c r="THB55" s="557"/>
      <c r="THC55" s="557"/>
      <c r="THD55" s="557"/>
      <c r="THE55" s="557"/>
      <c r="THF55" s="557"/>
      <c r="THG55" s="557"/>
      <c r="THH55" s="557"/>
      <c r="THI55" s="557"/>
      <c r="THJ55" s="557"/>
      <c r="THK55" s="661"/>
      <c r="THL55" s="556"/>
      <c r="THM55" s="557"/>
      <c r="THN55" s="557"/>
      <c r="THO55" s="557"/>
      <c r="THP55" s="557"/>
      <c r="THQ55" s="557"/>
      <c r="THR55" s="557"/>
      <c r="THS55" s="557"/>
      <c r="THT55" s="557"/>
      <c r="THU55" s="557"/>
      <c r="THV55" s="557"/>
      <c r="THW55" s="557"/>
      <c r="THX55" s="557"/>
      <c r="THY55" s="557"/>
      <c r="THZ55" s="557"/>
      <c r="TIA55" s="557"/>
      <c r="TIB55" s="557"/>
      <c r="TIC55" s="557"/>
      <c r="TID55" s="557"/>
      <c r="TIE55" s="661"/>
      <c r="TIF55" s="556"/>
      <c r="TIG55" s="557"/>
      <c r="TIH55" s="557"/>
      <c r="TII55" s="557"/>
      <c r="TIJ55" s="557"/>
      <c r="TIK55" s="557"/>
      <c r="TIL55" s="557"/>
      <c r="TIM55" s="557"/>
      <c r="TIN55" s="557"/>
      <c r="TIO55" s="557"/>
      <c r="TIP55" s="557"/>
      <c r="TIQ55" s="557"/>
      <c r="TIR55" s="557"/>
      <c r="TIS55" s="557"/>
      <c r="TIT55" s="557"/>
      <c r="TIU55" s="557"/>
      <c r="TIV55" s="557"/>
      <c r="TIW55" s="557"/>
      <c r="TIX55" s="557"/>
      <c r="TIY55" s="661"/>
      <c r="TIZ55" s="556"/>
      <c r="TJA55" s="557"/>
      <c r="TJB55" s="557"/>
      <c r="TJC55" s="557"/>
      <c r="TJD55" s="557"/>
      <c r="TJE55" s="557"/>
      <c r="TJF55" s="557"/>
      <c r="TJG55" s="557"/>
      <c r="TJH55" s="557"/>
      <c r="TJI55" s="557"/>
      <c r="TJJ55" s="557"/>
      <c r="TJK55" s="557"/>
      <c r="TJL55" s="557"/>
      <c r="TJM55" s="557"/>
      <c r="TJN55" s="557"/>
      <c r="TJO55" s="557"/>
      <c r="TJP55" s="557"/>
      <c r="TJQ55" s="557"/>
      <c r="TJR55" s="557"/>
      <c r="TJS55" s="661"/>
      <c r="TJT55" s="556"/>
      <c r="TJU55" s="557"/>
      <c r="TJV55" s="557"/>
      <c r="TJW55" s="557"/>
      <c r="TJX55" s="557"/>
      <c r="TJY55" s="557"/>
      <c r="TJZ55" s="557"/>
      <c r="TKA55" s="557"/>
      <c r="TKB55" s="557"/>
      <c r="TKC55" s="557"/>
      <c r="TKD55" s="557"/>
      <c r="TKE55" s="557"/>
      <c r="TKF55" s="557"/>
      <c r="TKG55" s="557"/>
      <c r="TKH55" s="557"/>
      <c r="TKI55" s="557"/>
      <c r="TKJ55" s="557"/>
      <c r="TKK55" s="557"/>
      <c r="TKL55" s="557"/>
      <c r="TKM55" s="661"/>
      <c r="TKN55" s="556"/>
      <c r="TKO55" s="557"/>
      <c r="TKP55" s="557"/>
      <c r="TKQ55" s="557"/>
      <c r="TKR55" s="557"/>
      <c r="TKS55" s="557"/>
      <c r="TKT55" s="557"/>
      <c r="TKU55" s="557"/>
      <c r="TKV55" s="557"/>
      <c r="TKW55" s="557"/>
      <c r="TKX55" s="557"/>
      <c r="TKY55" s="557"/>
      <c r="TKZ55" s="557"/>
      <c r="TLA55" s="557"/>
      <c r="TLB55" s="557"/>
      <c r="TLC55" s="557"/>
      <c r="TLD55" s="557"/>
      <c r="TLE55" s="557"/>
      <c r="TLF55" s="557"/>
      <c r="TLG55" s="661"/>
      <c r="TLH55" s="556"/>
      <c r="TLI55" s="557"/>
      <c r="TLJ55" s="557"/>
      <c r="TLK55" s="557"/>
      <c r="TLL55" s="557"/>
      <c r="TLM55" s="557"/>
      <c r="TLN55" s="557"/>
      <c r="TLO55" s="557"/>
      <c r="TLP55" s="557"/>
      <c r="TLQ55" s="557"/>
      <c r="TLR55" s="557"/>
      <c r="TLS55" s="557"/>
      <c r="TLT55" s="557"/>
      <c r="TLU55" s="557"/>
      <c r="TLV55" s="557"/>
      <c r="TLW55" s="557"/>
      <c r="TLX55" s="557"/>
      <c r="TLY55" s="557"/>
      <c r="TLZ55" s="557"/>
      <c r="TMA55" s="661"/>
      <c r="TMB55" s="556"/>
      <c r="TMC55" s="557"/>
      <c r="TMD55" s="557"/>
      <c r="TME55" s="557"/>
      <c r="TMF55" s="557"/>
      <c r="TMG55" s="557"/>
      <c r="TMH55" s="557"/>
      <c r="TMI55" s="557"/>
      <c r="TMJ55" s="557"/>
      <c r="TMK55" s="557"/>
      <c r="TML55" s="557"/>
      <c r="TMM55" s="557"/>
      <c r="TMN55" s="557"/>
      <c r="TMO55" s="557"/>
      <c r="TMP55" s="557"/>
      <c r="TMQ55" s="557"/>
      <c r="TMR55" s="557"/>
      <c r="TMS55" s="557"/>
      <c r="TMT55" s="557"/>
      <c r="TMU55" s="661"/>
      <c r="TMV55" s="556"/>
      <c r="TMW55" s="557"/>
      <c r="TMX55" s="557"/>
      <c r="TMY55" s="557"/>
      <c r="TMZ55" s="557"/>
      <c r="TNA55" s="557"/>
      <c r="TNB55" s="557"/>
      <c r="TNC55" s="557"/>
      <c r="TND55" s="557"/>
      <c r="TNE55" s="557"/>
      <c r="TNF55" s="557"/>
      <c r="TNG55" s="557"/>
      <c r="TNH55" s="557"/>
      <c r="TNI55" s="557"/>
      <c r="TNJ55" s="557"/>
      <c r="TNK55" s="557"/>
      <c r="TNL55" s="557"/>
      <c r="TNM55" s="557"/>
      <c r="TNN55" s="557"/>
      <c r="TNO55" s="661"/>
      <c r="TNP55" s="556"/>
      <c r="TNQ55" s="557"/>
      <c r="TNR55" s="557"/>
      <c r="TNS55" s="557"/>
      <c r="TNT55" s="557"/>
      <c r="TNU55" s="557"/>
      <c r="TNV55" s="557"/>
      <c r="TNW55" s="557"/>
      <c r="TNX55" s="557"/>
      <c r="TNY55" s="557"/>
      <c r="TNZ55" s="557"/>
      <c r="TOA55" s="557"/>
      <c r="TOB55" s="557"/>
      <c r="TOC55" s="557"/>
      <c r="TOD55" s="557"/>
      <c r="TOE55" s="557"/>
      <c r="TOF55" s="557"/>
      <c r="TOG55" s="557"/>
      <c r="TOH55" s="557"/>
      <c r="TOI55" s="661"/>
      <c r="TOJ55" s="556"/>
      <c r="TOK55" s="557"/>
      <c r="TOL55" s="557"/>
      <c r="TOM55" s="557"/>
      <c r="TON55" s="557"/>
      <c r="TOO55" s="557"/>
      <c r="TOP55" s="557"/>
      <c r="TOQ55" s="557"/>
      <c r="TOR55" s="557"/>
      <c r="TOS55" s="557"/>
      <c r="TOT55" s="557"/>
      <c r="TOU55" s="557"/>
      <c r="TOV55" s="557"/>
      <c r="TOW55" s="557"/>
      <c r="TOX55" s="557"/>
      <c r="TOY55" s="557"/>
      <c r="TOZ55" s="557"/>
      <c r="TPA55" s="557"/>
      <c r="TPB55" s="557"/>
      <c r="TPC55" s="661"/>
      <c r="TPD55" s="556"/>
      <c r="TPE55" s="557"/>
      <c r="TPF55" s="557"/>
      <c r="TPG55" s="557"/>
      <c r="TPH55" s="557"/>
      <c r="TPI55" s="557"/>
      <c r="TPJ55" s="557"/>
      <c r="TPK55" s="557"/>
      <c r="TPL55" s="557"/>
      <c r="TPM55" s="557"/>
      <c r="TPN55" s="557"/>
      <c r="TPO55" s="557"/>
      <c r="TPP55" s="557"/>
      <c r="TPQ55" s="557"/>
      <c r="TPR55" s="557"/>
      <c r="TPS55" s="557"/>
      <c r="TPT55" s="557"/>
      <c r="TPU55" s="557"/>
      <c r="TPV55" s="557"/>
      <c r="TPW55" s="661"/>
      <c r="TPX55" s="556"/>
      <c r="TPY55" s="557"/>
      <c r="TPZ55" s="557"/>
      <c r="TQA55" s="557"/>
      <c r="TQB55" s="557"/>
      <c r="TQC55" s="557"/>
      <c r="TQD55" s="557"/>
      <c r="TQE55" s="557"/>
      <c r="TQF55" s="557"/>
      <c r="TQG55" s="557"/>
      <c r="TQH55" s="557"/>
      <c r="TQI55" s="557"/>
      <c r="TQJ55" s="557"/>
      <c r="TQK55" s="557"/>
      <c r="TQL55" s="557"/>
      <c r="TQM55" s="557"/>
      <c r="TQN55" s="557"/>
      <c r="TQO55" s="557"/>
      <c r="TQP55" s="557"/>
      <c r="TQQ55" s="661"/>
      <c r="TQR55" s="556"/>
      <c r="TQS55" s="557"/>
      <c r="TQT55" s="557"/>
      <c r="TQU55" s="557"/>
      <c r="TQV55" s="557"/>
      <c r="TQW55" s="557"/>
      <c r="TQX55" s="557"/>
      <c r="TQY55" s="557"/>
      <c r="TQZ55" s="557"/>
      <c r="TRA55" s="557"/>
      <c r="TRB55" s="557"/>
      <c r="TRC55" s="557"/>
      <c r="TRD55" s="557"/>
      <c r="TRE55" s="557"/>
      <c r="TRF55" s="557"/>
      <c r="TRG55" s="557"/>
      <c r="TRH55" s="557"/>
      <c r="TRI55" s="557"/>
      <c r="TRJ55" s="557"/>
      <c r="TRK55" s="661"/>
      <c r="TRL55" s="556"/>
      <c r="TRM55" s="557"/>
      <c r="TRN55" s="557"/>
      <c r="TRO55" s="557"/>
      <c r="TRP55" s="557"/>
      <c r="TRQ55" s="557"/>
      <c r="TRR55" s="557"/>
      <c r="TRS55" s="557"/>
      <c r="TRT55" s="557"/>
      <c r="TRU55" s="557"/>
      <c r="TRV55" s="557"/>
      <c r="TRW55" s="557"/>
      <c r="TRX55" s="557"/>
      <c r="TRY55" s="557"/>
      <c r="TRZ55" s="557"/>
      <c r="TSA55" s="557"/>
      <c r="TSB55" s="557"/>
      <c r="TSC55" s="557"/>
      <c r="TSD55" s="557"/>
      <c r="TSE55" s="661"/>
      <c r="TSF55" s="556"/>
      <c r="TSG55" s="557"/>
      <c r="TSH55" s="557"/>
      <c r="TSI55" s="557"/>
      <c r="TSJ55" s="557"/>
      <c r="TSK55" s="557"/>
      <c r="TSL55" s="557"/>
      <c r="TSM55" s="557"/>
      <c r="TSN55" s="557"/>
      <c r="TSO55" s="557"/>
      <c r="TSP55" s="557"/>
      <c r="TSQ55" s="557"/>
      <c r="TSR55" s="557"/>
      <c r="TSS55" s="557"/>
      <c r="TST55" s="557"/>
      <c r="TSU55" s="557"/>
      <c r="TSV55" s="557"/>
      <c r="TSW55" s="557"/>
      <c r="TSX55" s="557"/>
      <c r="TSY55" s="661"/>
      <c r="TSZ55" s="556"/>
      <c r="TTA55" s="557"/>
      <c r="TTB55" s="557"/>
      <c r="TTC55" s="557"/>
      <c r="TTD55" s="557"/>
      <c r="TTE55" s="557"/>
      <c r="TTF55" s="557"/>
      <c r="TTG55" s="557"/>
      <c r="TTH55" s="557"/>
      <c r="TTI55" s="557"/>
      <c r="TTJ55" s="557"/>
      <c r="TTK55" s="557"/>
      <c r="TTL55" s="557"/>
      <c r="TTM55" s="557"/>
      <c r="TTN55" s="557"/>
      <c r="TTO55" s="557"/>
      <c r="TTP55" s="557"/>
      <c r="TTQ55" s="557"/>
      <c r="TTR55" s="557"/>
      <c r="TTS55" s="661"/>
      <c r="TTT55" s="556"/>
      <c r="TTU55" s="557"/>
      <c r="TTV55" s="557"/>
      <c r="TTW55" s="557"/>
      <c r="TTX55" s="557"/>
      <c r="TTY55" s="557"/>
      <c r="TTZ55" s="557"/>
      <c r="TUA55" s="557"/>
      <c r="TUB55" s="557"/>
      <c r="TUC55" s="557"/>
      <c r="TUD55" s="557"/>
      <c r="TUE55" s="557"/>
      <c r="TUF55" s="557"/>
      <c r="TUG55" s="557"/>
      <c r="TUH55" s="557"/>
      <c r="TUI55" s="557"/>
      <c r="TUJ55" s="557"/>
      <c r="TUK55" s="557"/>
      <c r="TUL55" s="557"/>
      <c r="TUM55" s="661"/>
      <c r="TUN55" s="556"/>
      <c r="TUO55" s="557"/>
      <c r="TUP55" s="557"/>
      <c r="TUQ55" s="557"/>
      <c r="TUR55" s="557"/>
      <c r="TUS55" s="557"/>
      <c r="TUT55" s="557"/>
      <c r="TUU55" s="557"/>
      <c r="TUV55" s="557"/>
      <c r="TUW55" s="557"/>
      <c r="TUX55" s="557"/>
      <c r="TUY55" s="557"/>
      <c r="TUZ55" s="557"/>
      <c r="TVA55" s="557"/>
      <c r="TVB55" s="557"/>
      <c r="TVC55" s="557"/>
      <c r="TVD55" s="557"/>
      <c r="TVE55" s="557"/>
      <c r="TVF55" s="557"/>
      <c r="TVG55" s="661"/>
      <c r="TVH55" s="556"/>
      <c r="TVI55" s="557"/>
      <c r="TVJ55" s="557"/>
      <c r="TVK55" s="557"/>
      <c r="TVL55" s="557"/>
      <c r="TVM55" s="557"/>
      <c r="TVN55" s="557"/>
      <c r="TVO55" s="557"/>
      <c r="TVP55" s="557"/>
      <c r="TVQ55" s="557"/>
      <c r="TVR55" s="557"/>
      <c r="TVS55" s="557"/>
      <c r="TVT55" s="557"/>
      <c r="TVU55" s="557"/>
      <c r="TVV55" s="557"/>
      <c r="TVW55" s="557"/>
      <c r="TVX55" s="557"/>
      <c r="TVY55" s="557"/>
      <c r="TVZ55" s="557"/>
      <c r="TWA55" s="661"/>
      <c r="TWB55" s="556"/>
      <c r="TWC55" s="557"/>
      <c r="TWD55" s="557"/>
      <c r="TWE55" s="557"/>
      <c r="TWF55" s="557"/>
      <c r="TWG55" s="557"/>
      <c r="TWH55" s="557"/>
      <c r="TWI55" s="557"/>
      <c r="TWJ55" s="557"/>
      <c r="TWK55" s="557"/>
      <c r="TWL55" s="557"/>
      <c r="TWM55" s="557"/>
      <c r="TWN55" s="557"/>
      <c r="TWO55" s="557"/>
      <c r="TWP55" s="557"/>
      <c r="TWQ55" s="557"/>
      <c r="TWR55" s="557"/>
      <c r="TWS55" s="557"/>
      <c r="TWT55" s="557"/>
      <c r="TWU55" s="661"/>
      <c r="TWV55" s="556"/>
      <c r="TWW55" s="557"/>
      <c r="TWX55" s="557"/>
      <c r="TWY55" s="557"/>
      <c r="TWZ55" s="557"/>
      <c r="TXA55" s="557"/>
      <c r="TXB55" s="557"/>
      <c r="TXC55" s="557"/>
      <c r="TXD55" s="557"/>
      <c r="TXE55" s="557"/>
      <c r="TXF55" s="557"/>
      <c r="TXG55" s="557"/>
      <c r="TXH55" s="557"/>
      <c r="TXI55" s="557"/>
      <c r="TXJ55" s="557"/>
      <c r="TXK55" s="557"/>
      <c r="TXL55" s="557"/>
      <c r="TXM55" s="557"/>
      <c r="TXN55" s="557"/>
      <c r="TXO55" s="661"/>
      <c r="TXP55" s="556"/>
      <c r="TXQ55" s="557"/>
      <c r="TXR55" s="557"/>
      <c r="TXS55" s="557"/>
      <c r="TXT55" s="557"/>
      <c r="TXU55" s="557"/>
      <c r="TXV55" s="557"/>
      <c r="TXW55" s="557"/>
      <c r="TXX55" s="557"/>
      <c r="TXY55" s="557"/>
      <c r="TXZ55" s="557"/>
      <c r="TYA55" s="557"/>
      <c r="TYB55" s="557"/>
      <c r="TYC55" s="557"/>
      <c r="TYD55" s="557"/>
      <c r="TYE55" s="557"/>
      <c r="TYF55" s="557"/>
      <c r="TYG55" s="557"/>
      <c r="TYH55" s="557"/>
      <c r="TYI55" s="661"/>
      <c r="TYJ55" s="556"/>
      <c r="TYK55" s="557"/>
      <c r="TYL55" s="557"/>
      <c r="TYM55" s="557"/>
      <c r="TYN55" s="557"/>
      <c r="TYO55" s="557"/>
      <c r="TYP55" s="557"/>
      <c r="TYQ55" s="557"/>
      <c r="TYR55" s="557"/>
      <c r="TYS55" s="557"/>
      <c r="TYT55" s="557"/>
      <c r="TYU55" s="557"/>
      <c r="TYV55" s="557"/>
      <c r="TYW55" s="557"/>
      <c r="TYX55" s="557"/>
      <c r="TYY55" s="557"/>
      <c r="TYZ55" s="557"/>
      <c r="TZA55" s="557"/>
      <c r="TZB55" s="557"/>
      <c r="TZC55" s="661"/>
      <c r="TZD55" s="556"/>
      <c r="TZE55" s="557"/>
      <c r="TZF55" s="557"/>
      <c r="TZG55" s="557"/>
      <c r="TZH55" s="557"/>
      <c r="TZI55" s="557"/>
      <c r="TZJ55" s="557"/>
      <c r="TZK55" s="557"/>
      <c r="TZL55" s="557"/>
      <c r="TZM55" s="557"/>
      <c r="TZN55" s="557"/>
      <c r="TZO55" s="557"/>
      <c r="TZP55" s="557"/>
      <c r="TZQ55" s="557"/>
      <c r="TZR55" s="557"/>
      <c r="TZS55" s="557"/>
      <c r="TZT55" s="557"/>
      <c r="TZU55" s="557"/>
      <c r="TZV55" s="557"/>
      <c r="TZW55" s="661"/>
      <c r="TZX55" s="556"/>
      <c r="TZY55" s="557"/>
      <c r="TZZ55" s="557"/>
      <c r="UAA55" s="557"/>
      <c r="UAB55" s="557"/>
      <c r="UAC55" s="557"/>
      <c r="UAD55" s="557"/>
      <c r="UAE55" s="557"/>
      <c r="UAF55" s="557"/>
      <c r="UAG55" s="557"/>
      <c r="UAH55" s="557"/>
      <c r="UAI55" s="557"/>
      <c r="UAJ55" s="557"/>
      <c r="UAK55" s="557"/>
      <c r="UAL55" s="557"/>
      <c r="UAM55" s="557"/>
      <c r="UAN55" s="557"/>
      <c r="UAO55" s="557"/>
      <c r="UAP55" s="557"/>
      <c r="UAQ55" s="661"/>
      <c r="UAR55" s="556"/>
      <c r="UAS55" s="557"/>
      <c r="UAT55" s="557"/>
      <c r="UAU55" s="557"/>
      <c r="UAV55" s="557"/>
      <c r="UAW55" s="557"/>
      <c r="UAX55" s="557"/>
      <c r="UAY55" s="557"/>
      <c r="UAZ55" s="557"/>
      <c r="UBA55" s="557"/>
      <c r="UBB55" s="557"/>
      <c r="UBC55" s="557"/>
      <c r="UBD55" s="557"/>
      <c r="UBE55" s="557"/>
      <c r="UBF55" s="557"/>
      <c r="UBG55" s="557"/>
      <c r="UBH55" s="557"/>
      <c r="UBI55" s="557"/>
      <c r="UBJ55" s="557"/>
      <c r="UBK55" s="661"/>
      <c r="UBL55" s="556"/>
      <c r="UBM55" s="557"/>
      <c r="UBN55" s="557"/>
      <c r="UBO55" s="557"/>
      <c r="UBP55" s="557"/>
      <c r="UBQ55" s="557"/>
      <c r="UBR55" s="557"/>
      <c r="UBS55" s="557"/>
      <c r="UBT55" s="557"/>
      <c r="UBU55" s="557"/>
      <c r="UBV55" s="557"/>
      <c r="UBW55" s="557"/>
      <c r="UBX55" s="557"/>
      <c r="UBY55" s="557"/>
      <c r="UBZ55" s="557"/>
      <c r="UCA55" s="557"/>
      <c r="UCB55" s="557"/>
      <c r="UCC55" s="557"/>
      <c r="UCD55" s="557"/>
      <c r="UCE55" s="661"/>
      <c r="UCF55" s="556"/>
      <c r="UCG55" s="557"/>
      <c r="UCH55" s="557"/>
      <c r="UCI55" s="557"/>
      <c r="UCJ55" s="557"/>
      <c r="UCK55" s="557"/>
      <c r="UCL55" s="557"/>
      <c r="UCM55" s="557"/>
      <c r="UCN55" s="557"/>
      <c r="UCO55" s="557"/>
      <c r="UCP55" s="557"/>
      <c r="UCQ55" s="557"/>
      <c r="UCR55" s="557"/>
      <c r="UCS55" s="557"/>
      <c r="UCT55" s="557"/>
      <c r="UCU55" s="557"/>
      <c r="UCV55" s="557"/>
      <c r="UCW55" s="557"/>
      <c r="UCX55" s="557"/>
      <c r="UCY55" s="661"/>
      <c r="UCZ55" s="556"/>
      <c r="UDA55" s="557"/>
      <c r="UDB55" s="557"/>
      <c r="UDC55" s="557"/>
      <c r="UDD55" s="557"/>
      <c r="UDE55" s="557"/>
      <c r="UDF55" s="557"/>
      <c r="UDG55" s="557"/>
      <c r="UDH55" s="557"/>
      <c r="UDI55" s="557"/>
      <c r="UDJ55" s="557"/>
      <c r="UDK55" s="557"/>
      <c r="UDL55" s="557"/>
      <c r="UDM55" s="557"/>
      <c r="UDN55" s="557"/>
      <c r="UDO55" s="557"/>
      <c r="UDP55" s="557"/>
      <c r="UDQ55" s="557"/>
      <c r="UDR55" s="557"/>
      <c r="UDS55" s="661"/>
      <c r="UDT55" s="556"/>
      <c r="UDU55" s="557"/>
      <c r="UDV55" s="557"/>
      <c r="UDW55" s="557"/>
      <c r="UDX55" s="557"/>
      <c r="UDY55" s="557"/>
      <c r="UDZ55" s="557"/>
      <c r="UEA55" s="557"/>
      <c r="UEB55" s="557"/>
      <c r="UEC55" s="557"/>
      <c r="UED55" s="557"/>
      <c r="UEE55" s="557"/>
      <c r="UEF55" s="557"/>
      <c r="UEG55" s="557"/>
      <c r="UEH55" s="557"/>
      <c r="UEI55" s="557"/>
      <c r="UEJ55" s="557"/>
      <c r="UEK55" s="557"/>
      <c r="UEL55" s="557"/>
      <c r="UEM55" s="661"/>
      <c r="UEN55" s="556"/>
      <c r="UEO55" s="557"/>
      <c r="UEP55" s="557"/>
      <c r="UEQ55" s="557"/>
      <c r="UER55" s="557"/>
      <c r="UES55" s="557"/>
      <c r="UET55" s="557"/>
      <c r="UEU55" s="557"/>
      <c r="UEV55" s="557"/>
      <c r="UEW55" s="557"/>
      <c r="UEX55" s="557"/>
      <c r="UEY55" s="557"/>
      <c r="UEZ55" s="557"/>
      <c r="UFA55" s="557"/>
      <c r="UFB55" s="557"/>
      <c r="UFC55" s="557"/>
      <c r="UFD55" s="557"/>
      <c r="UFE55" s="557"/>
      <c r="UFF55" s="557"/>
      <c r="UFG55" s="661"/>
      <c r="UFH55" s="556"/>
      <c r="UFI55" s="557"/>
      <c r="UFJ55" s="557"/>
      <c r="UFK55" s="557"/>
      <c r="UFL55" s="557"/>
      <c r="UFM55" s="557"/>
      <c r="UFN55" s="557"/>
      <c r="UFO55" s="557"/>
      <c r="UFP55" s="557"/>
      <c r="UFQ55" s="557"/>
      <c r="UFR55" s="557"/>
      <c r="UFS55" s="557"/>
      <c r="UFT55" s="557"/>
      <c r="UFU55" s="557"/>
      <c r="UFV55" s="557"/>
      <c r="UFW55" s="557"/>
      <c r="UFX55" s="557"/>
      <c r="UFY55" s="557"/>
      <c r="UFZ55" s="557"/>
      <c r="UGA55" s="661"/>
      <c r="UGB55" s="556"/>
      <c r="UGC55" s="557"/>
      <c r="UGD55" s="557"/>
      <c r="UGE55" s="557"/>
      <c r="UGF55" s="557"/>
      <c r="UGG55" s="557"/>
      <c r="UGH55" s="557"/>
      <c r="UGI55" s="557"/>
      <c r="UGJ55" s="557"/>
      <c r="UGK55" s="557"/>
      <c r="UGL55" s="557"/>
      <c r="UGM55" s="557"/>
      <c r="UGN55" s="557"/>
      <c r="UGO55" s="557"/>
      <c r="UGP55" s="557"/>
      <c r="UGQ55" s="557"/>
      <c r="UGR55" s="557"/>
      <c r="UGS55" s="557"/>
      <c r="UGT55" s="557"/>
      <c r="UGU55" s="661"/>
      <c r="UGV55" s="556"/>
      <c r="UGW55" s="557"/>
      <c r="UGX55" s="557"/>
      <c r="UGY55" s="557"/>
      <c r="UGZ55" s="557"/>
      <c r="UHA55" s="557"/>
      <c r="UHB55" s="557"/>
      <c r="UHC55" s="557"/>
      <c r="UHD55" s="557"/>
      <c r="UHE55" s="557"/>
      <c r="UHF55" s="557"/>
      <c r="UHG55" s="557"/>
      <c r="UHH55" s="557"/>
      <c r="UHI55" s="557"/>
      <c r="UHJ55" s="557"/>
      <c r="UHK55" s="557"/>
      <c r="UHL55" s="557"/>
      <c r="UHM55" s="557"/>
      <c r="UHN55" s="557"/>
      <c r="UHO55" s="661"/>
      <c r="UHP55" s="556"/>
      <c r="UHQ55" s="557"/>
      <c r="UHR55" s="557"/>
      <c r="UHS55" s="557"/>
      <c r="UHT55" s="557"/>
      <c r="UHU55" s="557"/>
      <c r="UHV55" s="557"/>
      <c r="UHW55" s="557"/>
      <c r="UHX55" s="557"/>
      <c r="UHY55" s="557"/>
      <c r="UHZ55" s="557"/>
      <c r="UIA55" s="557"/>
      <c r="UIB55" s="557"/>
      <c r="UIC55" s="557"/>
      <c r="UID55" s="557"/>
      <c r="UIE55" s="557"/>
      <c r="UIF55" s="557"/>
      <c r="UIG55" s="557"/>
      <c r="UIH55" s="557"/>
      <c r="UII55" s="661"/>
      <c r="UIJ55" s="556"/>
      <c r="UIK55" s="557"/>
      <c r="UIL55" s="557"/>
      <c r="UIM55" s="557"/>
      <c r="UIN55" s="557"/>
      <c r="UIO55" s="557"/>
      <c r="UIP55" s="557"/>
      <c r="UIQ55" s="557"/>
      <c r="UIR55" s="557"/>
      <c r="UIS55" s="557"/>
      <c r="UIT55" s="557"/>
      <c r="UIU55" s="557"/>
      <c r="UIV55" s="557"/>
      <c r="UIW55" s="557"/>
      <c r="UIX55" s="557"/>
      <c r="UIY55" s="557"/>
      <c r="UIZ55" s="557"/>
      <c r="UJA55" s="557"/>
      <c r="UJB55" s="557"/>
      <c r="UJC55" s="661"/>
      <c r="UJD55" s="556"/>
      <c r="UJE55" s="557"/>
      <c r="UJF55" s="557"/>
      <c r="UJG55" s="557"/>
      <c r="UJH55" s="557"/>
      <c r="UJI55" s="557"/>
      <c r="UJJ55" s="557"/>
      <c r="UJK55" s="557"/>
      <c r="UJL55" s="557"/>
      <c r="UJM55" s="557"/>
      <c r="UJN55" s="557"/>
      <c r="UJO55" s="557"/>
      <c r="UJP55" s="557"/>
      <c r="UJQ55" s="557"/>
      <c r="UJR55" s="557"/>
      <c r="UJS55" s="557"/>
      <c r="UJT55" s="557"/>
      <c r="UJU55" s="557"/>
      <c r="UJV55" s="557"/>
      <c r="UJW55" s="661"/>
      <c r="UJX55" s="556"/>
      <c r="UJY55" s="557"/>
      <c r="UJZ55" s="557"/>
      <c r="UKA55" s="557"/>
      <c r="UKB55" s="557"/>
      <c r="UKC55" s="557"/>
      <c r="UKD55" s="557"/>
      <c r="UKE55" s="557"/>
      <c r="UKF55" s="557"/>
      <c r="UKG55" s="557"/>
      <c r="UKH55" s="557"/>
      <c r="UKI55" s="557"/>
      <c r="UKJ55" s="557"/>
      <c r="UKK55" s="557"/>
      <c r="UKL55" s="557"/>
      <c r="UKM55" s="557"/>
      <c r="UKN55" s="557"/>
      <c r="UKO55" s="557"/>
      <c r="UKP55" s="557"/>
      <c r="UKQ55" s="661"/>
      <c r="UKR55" s="556"/>
      <c r="UKS55" s="557"/>
      <c r="UKT55" s="557"/>
      <c r="UKU55" s="557"/>
      <c r="UKV55" s="557"/>
      <c r="UKW55" s="557"/>
      <c r="UKX55" s="557"/>
      <c r="UKY55" s="557"/>
      <c r="UKZ55" s="557"/>
      <c r="ULA55" s="557"/>
      <c r="ULB55" s="557"/>
      <c r="ULC55" s="557"/>
      <c r="ULD55" s="557"/>
      <c r="ULE55" s="557"/>
      <c r="ULF55" s="557"/>
      <c r="ULG55" s="557"/>
      <c r="ULH55" s="557"/>
      <c r="ULI55" s="557"/>
      <c r="ULJ55" s="557"/>
      <c r="ULK55" s="661"/>
      <c r="ULL55" s="556"/>
      <c r="ULM55" s="557"/>
      <c r="ULN55" s="557"/>
      <c r="ULO55" s="557"/>
      <c r="ULP55" s="557"/>
      <c r="ULQ55" s="557"/>
      <c r="ULR55" s="557"/>
      <c r="ULS55" s="557"/>
      <c r="ULT55" s="557"/>
      <c r="ULU55" s="557"/>
      <c r="ULV55" s="557"/>
      <c r="ULW55" s="557"/>
      <c r="ULX55" s="557"/>
      <c r="ULY55" s="557"/>
      <c r="ULZ55" s="557"/>
      <c r="UMA55" s="557"/>
      <c r="UMB55" s="557"/>
      <c r="UMC55" s="557"/>
      <c r="UMD55" s="557"/>
      <c r="UME55" s="661"/>
      <c r="UMF55" s="556"/>
      <c r="UMG55" s="557"/>
      <c r="UMH55" s="557"/>
      <c r="UMI55" s="557"/>
      <c r="UMJ55" s="557"/>
      <c r="UMK55" s="557"/>
      <c r="UML55" s="557"/>
      <c r="UMM55" s="557"/>
      <c r="UMN55" s="557"/>
      <c r="UMO55" s="557"/>
      <c r="UMP55" s="557"/>
      <c r="UMQ55" s="557"/>
      <c r="UMR55" s="557"/>
      <c r="UMS55" s="557"/>
      <c r="UMT55" s="557"/>
      <c r="UMU55" s="557"/>
      <c r="UMV55" s="557"/>
      <c r="UMW55" s="557"/>
      <c r="UMX55" s="557"/>
      <c r="UMY55" s="661"/>
      <c r="UMZ55" s="556"/>
      <c r="UNA55" s="557"/>
      <c r="UNB55" s="557"/>
      <c r="UNC55" s="557"/>
      <c r="UND55" s="557"/>
      <c r="UNE55" s="557"/>
      <c r="UNF55" s="557"/>
      <c r="UNG55" s="557"/>
      <c r="UNH55" s="557"/>
      <c r="UNI55" s="557"/>
      <c r="UNJ55" s="557"/>
      <c r="UNK55" s="557"/>
      <c r="UNL55" s="557"/>
      <c r="UNM55" s="557"/>
      <c r="UNN55" s="557"/>
      <c r="UNO55" s="557"/>
      <c r="UNP55" s="557"/>
      <c r="UNQ55" s="557"/>
      <c r="UNR55" s="557"/>
      <c r="UNS55" s="661"/>
      <c r="UNT55" s="556"/>
      <c r="UNU55" s="557"/>
      <c r="UNV55" s="557"/>
      <c r="UNW55" s="557"/>
      <c r="UNX55" s="557"/>
      <c r="UNY55" s="557"/>
      <c r="UNZ55" s="557"/>
      <c r="UOA55" s="557"/>
      <c r="UOB55" s="557"/>
      <c r="UOC55" s="557"/>
      <c r="UOD55" s="557"/>
      <c r="UOE55" s="557"/>
      <c r="UOF55" s="557"/>
      <c r="UOG55" s="557"/>
      <c r="UOH55" s="557"/>
      <c r="UOI55" s="557"/>
      <c r="UOJ55" s="557"/>
      <c r="UOK55" s="557"/>
      <c r="UOL55" s="557"/>
      <c r="UOM55" s="661"/>
      <c r="UON55" s="556"/>
      <c r="UOO55" s="557"/>
      <c r="UOP55" s="557"/>
      <c r="UOQ55" s="557"/>
      <c r="UOR55" s="557"/>
      <c r="UOS55" s="557"/>
      <c r="UOT55" s="557"/>
      <c r="UOU55" s="557"/>
      <c r="UOV55" s="557"/>
      <c r="UOW55" s="557"/>
      <c r="UOX55" s="557"/>
      <c r="UOY55" s="557"/>
      <c r="UOZ55" s="557"/>
      <c r="UPA55" s="557"/>
      <c r="UPB55" s="557"/>
      <c r="UPC55" s="557"/>
      <c r="UPD55" s="557"/>
      <c r="UPE55" s="557"/>
      <c r="UPF55" s="557"/>
      <c r="UPG55" s="661"/>
      <c r="UPH55" s="556"/>
      <c r="UPI55" s="557"/>
      <c r="UPJ55" s="557"/>
      <c r="UPK55" s="557"/>
      <c r="UPL55" s="557"/>
      <c r="UPM55" s="557"/>
      <c r="UPN55" s="557"/>
      <c r="UPO55" s="557"/>
      <c r="UPP55" s="557"/>
      <c r="UPQ55" s="557"/>
      <c r="UPR55" s="557"/>
      <c r="UPS55" s="557"/>
      <c r="UPT55" s="557"/>
      <c r="UPU55" s="557"/>
      <c r="UPV55" s="557"/>
      <c r="UPW55" s="557"/>
      <c r="UPX55" s="557"/>
      <c r="UPY55" s="557"/>
      <c r="UPZ55" s="557"/>
      <c r="UQA55" s="661"/>
      <c r="UQB55" s="556"/>
      <c r="UQC55" s="557"/>
      <c r="UQD55" s="557"/>
      <c r="UQE55" s="557"/>
      <c r="UQF55" s="557"/>
      <c r="UQG55" s="557"/>
      <c r="UQH55" s="557"/>
      <c r="UQI55" s="557"/>
      <c r="UQJ55" s="557"/>
      <c r="UQK55" s="557"/>
      <c r="UQL55" s="557"/>
      <c r="UQM55" s="557"/>
      <c r="UQN55" s="557"/>
      <c r="UQO55" s="557"/>
      <c r="UQP55" s="557"/>
      <c r="UQQ55" s="557"/>
      <c r="UQR55" s="557"/>
      <c r="UQS55" s="557"/>
      <c r="UQT55" s="557"/>
      <c r="UQU55" s="661"/>
      <c r="UQV55" s="556"/>
      <c r="UQW55" s="557"/>
      <c r="UQX55" s="557"/>
      <c r="UQY55" s="557"/>
      <c r="UQZ55" s="557"/>
      <c r="URA55" s="557"/>
      <c r="URB55" s="557"/>
      <c r="URC55" s="557"/>
      <c r="URD55" s="557"/>
      <c r="URE55" s="557"/>
      <c r="URF55" s="557"/>
      <c r="URG55" s="557"/>
      <c r="URH55" s="557"/>
      <c r="URI55" s="557"/>
      <c r="URJ55" s="557"/>
      <c r="URK55" s="557"/>
      <c r="URL55" s="557"/>
      <c r="URM55" s="557"/>
      <c r="URN55" s="557"/>
      <c r="URO55" s="661"/>
      <c r="URP55" s="556"/>
      <c r="URQ55" s="557"/>
      <c r="URR55" s="557"/>
      <c r="URS55" s="557"/>
      <c r="URT55" s="557"/>
      <c r="URU55" s="557"/>
      <c r="URV55" s="557"/>
      <c r="URW55" s="557"/>
      <c r="URX55" s="557"/>
      <c r="URY55" s="557"/>
      <c r="URZ55" s="557"/>
      <c r="USA55" s="557"/>
      <c r="USB55" s="557"/>
      <c r="USC55" s="557"/>
      <c r="USD55" s="557"/>
      <c r="USE55" s="557"/>
      <c r="USF55" s="557"/>
      <c r="USG55" s="557"/>
      <c r="USH55" s="557"/>
      <c r="USI55" s="661"/>
      <c r="USJ55" s="556"/>
      <c r="USK55" s="557"/>
      <c r="USL55" s="557"/>
      <c r="USM55" s="557"/>
      <c r="USN55" s="557"/>
      <c r="USO55" s="557"/>
      <c r="USP55" s="557"/>
      <c r="USQ55" s="557"/>
      <c r="USR55" s="557"/>
      <c r="USS55" s="557"/>
      <c r="UST55" s="557"/>
      <c r="USU55" s="557"/>
      <c r="USV55" s="557"/>
      <c r="USW55" s="557"/>
      <c r="USX55" s="557"/>
      <c r="USY55" s="557"/>
      <c r="USZ55" s="557"/>
      <c r="UTA55" s="557"/>
      <c r="UTB55" s="557"/>
      <c r="UTC55" s="661"/>
      <c r="UTD55" s="556"/>
      <c r="UTE55" s="557"/>
      <c r="UTF55" s="557"/>
      <c r="UTG55" s="557"/>
      <c r="UTH55" s="557"/>
      <c r="UTI55" s="557"/>
      <c r="UTJ55" s="557"/>
      <c r="UTK55" s="557"/>
      <c r="UTL55" s="557"/>
      <c r="UTM55" s="557"/>
      <c r="UTN55" s="557"/>
      <c r="UTO55" s="557"/>
      <c r="UTP55" s="557"/>
      <c r="UTQ55" s="557"/>
      <c r="UTR55" s="557"/>
      <c r="UTS55" s="557"/>
      <c r="UTT55" s="557"/>
      <c r="UTU55" s="557"/>
      <c r="UTV55" s="557"/>
      <c r="UTW55" s="661"/>
      <c r="UTX55" s="556"/>
      <c r="UTY55" s="557"/>
      <c r="UTZ55" s="557"/>
      <c r="UUA55" s="557"/>
      <c r="UUB55" s="557"/>
      <c r="UUC55" s="557"/>
      <c r="UUD55" s="557"/>
      <c r="UUE55" s="557"/>
      <c r="UUF55" s="557"/>
      <c r="UUG55" s="557"/>
      <c r="UUH55" s="557"/>
      <c r="UUI55" s="557"/>
      <c r="UUJ55" s="557"/>
      <c r="UUK55" s="557"/>
      <c r="UUL55" s="557"/>
      <c r="UUM55" s="557"/>
      <c r="UUN55" s="557"/>
      <c r="UUO55" s="557"/>
      <c r="UUP55" s="557"/>
      <c r="UUQ55" s="661"/>
      <c r="UUR55" s="556"/>
      <c r="UUS55" s="557"/>
      <c r="UUT55" s="557"/>
      <c r="UUU55" s="557"/>
      <c r="UUV55" s="557"/>
      <c r="UUW55" s="557"/>
      <c r="UUX55" s="557"/>
      <c r="UUY55" s="557"/>
      <c r="UUZ55" s="557"/>
      <c r="UVA55" s="557"/>
      <c r="UVB55" s="557"/>
      <c r="UVC55" s="557"/>
      <c r="UVD55" s="557"/>
      <c r="UVE55" s="557"/>
      <c r="UVF55" s="557"/>
      <c r="UVG55" s="557"/>
      <c r="UVH55" s="557"/>
      <c r="UVI55" s="557"/>
      <c r="UVJ55" s="557"/>
      <c r="UVK55" s="661"/>
      <c r="UVL55" s="556"/>
      <c r="UVM55" s="557"/>
      <c r="UVN55" s="557"/>
      <c r="UVO55" s="557"/>
      <c r="UVP55" s="557"/>
      <c r="UVQ55" s="557"/>
      <c r="UVR55" s="557"/>
      <c r="UVS55" s="557"/>
      <c r="UVT55" s="557"/>
      <c r="UVU55" s="557"/>
      <c r="UVV55" s="557"/>
      <c r="UVW55" s="557"/>
      <c r="UVX55" s="557"/>
      <c r="UVY55" s="557"/>
      <c r="UVZ55" s="557"/>
      <c r="UWA55" s="557"/>
      <c r="UWB55" s="557"/>
      <c r="UWC55" s="557"/>
      <c r="UWD55" s="557"/>
      <c r="UWE55" s="661"/>
      <c r="UWF55" s="556"/>
      <c r="UWG55" s="557"/>
      <c r="UWH55" s="557"/>
      <c r="UWI55" s="557"/>
      <c r="UWJ55" s="557"/>
      <c r="UWK55" s="557"/>
      <c r="UWL55" s="557"/>
      <c r="UWM55" s="557"/>
      <c r="UWN55" s="557"/>
      <c r="UWO55" s="557"/>
      <c r="UWP55" s="557"/>
      <c r="UWQ55" s="557"/>
      <c r="UWR55" s="557"/>
      <c r="UWS55" s="557"/>
      <c r="UWT55" s="557"/>
      <c r="UWU55" s="557"/>
      <c r="UWV55" s="557"/>
      <c r="UWW55" s="557"/>
      <c r="UWX55" s="557"/>
      <c r="UWY55" s="661"/>
      <c r="UWZ55" s="556"/>
      <c r="UXA55" s="557"/>
      <c r="UXB55" s="557"/>
      <c r="UXC55" s="557"/>
      <c r="UXD55" s="557"/>
      <c r="UXE55" s="557"/>
      <c r="UXF55" s="557"/>
      <c r="UXG55" s="557"/>
      <c r="UXH55" s="557"/>
      <c r="UXI55" s="557"/>
      <c r="UXJ55" s="557"/>
      <c r="UXK55" s="557"/>
      <c r="UXL55" s="557"/>
      <c r="UXM55" s="557"/>
      <c r="UXN55" s="557"/>
      <c r="UXO55" s="557"/>
      <c r="UXP55" s="557"/>
      <c r="UXQ55" s="557"/>
      <c r="UXR55" s="557"/>
      <c r="UXS55" s="661"/>
      <c r="UXT55" s="556"/>
      <c r="UXU55" s="557"/>
      <c r="UXV55" s="557"/>
      <c r="UXW55" s="557"/>
      <c r="UXX55" s="557"/>
      <c r="UXY55" s="557"/>
      <c r="UXZ55" s="557"/>
      <c r="UYA55" s="557"/>
      <c r="UYB55" s="557"/>
      <c r="UYC55" s="557"/>
      <c r="UYD55" s="557"/>
      <c r="UYE55" s="557"/>
      <c r="UYF55" s="557"/>
      <c r="UYG55" s="557"/>
      <c r="UYH55" s="557"/>
      <c r="UYI55" s="557"/>
      <c r="UYJ55" s="557"/>
      <c r="UYK55" s="557"/>
      <c r="UYL55" s="557"/>
      <c r="UYM55" s="661"/>
      <c r="UYN55" s="556"/>
      <c r="UYO55" s="557"/>
      <c r="UYP55" s="557"/>
      <c r="UYQ55" s="557"/>
      <c r="UYR55" s="557"/>
      <c r="UYS55" s="557"/>
      <c r="UYT55" s="557"/>
      <c r="UYU55" s="557"/>
      <c r="UYV55" s="557"/>
      <c r="UYW55" s="557"/>
      <c r="UYX55" s="557"/>
      <c r="UYY55" s="557"/>
      <c r="UYZ55" s="557"/>
      <c r="UZA55" s="557"/>
      <c r="UZB55" s="557"/>
      <c r="UZC55" s="557"/>
      <c r="UZD55" s="557"/>
      <c r="UZE55" s="557"/>
      <c r="UZF55" s="557"/>
      <c r="UZG55" s="661"/>
      <c r="UZH55" s="556"/>
      <c r="UZI55" s="557"/>
      <c r="UZJ55" s="557"/>
      <c r="UZK55" s="557"/>
      <c r="UZL55" s="557"/>
      <c r="UZM55" s="557"/>
      <c r="UZN55" s="557"/>
      <c r="UZO55" s="557"/>
      <c r="UZP55" s="557"/>
      <c r="UZQ55" s="557"/>
      <c r="UZR55" s="557"/>
      <c r="UZS55" s="557"/>
      <c r="UZT55" s="557"/>
      <c r="UZU55" s="557"/>
      <c r="UZV55" s="557"/>
      <c r="UZW55" s="557"/>
      <c r="UZX55" s="557"/>
      <c r="UZY55" s="557"/>
      <c r="UZZ55" s="557"/>
      <c r="VAA55" s="661"/>
      <c r="VAB55" s="556"/>
      <c r="VAC55" s="557"/>
      <c r="VAD55" s="557"/>
      <c r="VAE55" s="557"/>
      <c r="VAF55" s="557"/>
      <c r="VAG55" s="557"/>
      <c r="VAH55" s="557"/>
      <c r="VAI55" s="557"/>
      <c r="VAJ55" s="557"/>
      <c r="VAK55" s="557"/>
      <c r="VAL55" s="557"/>
      <c r="VAM55" s="557"/>
      <c r="VAN55" s="557"/>
      <c r="VAO55" s="557"/>
      <c r="VAP55" s="557"/>
      <c r="VAQ55" s="557"/>
      <c r="VAR55" s="557"/>
      <c r="VAS55" s="557"/>
      <c r="VAT55" s="557"/>
      <c r="VAU55" s="661"/>
      <c r="VAV55" s="556"/>
      <c r="VAW55" s="557"/>
      <c r="VAX55" s="557"/>
      <c r="VAY55" s="557"/>
      <c r="VAZ55" s="557"/>
      <c r="VBA55" s="557"/>
      <c r="VBB55" s="557"/>
      <c r="VBC55" s="557"/>
      <c r="VBD55" s="557"/>
      <c r="VBE55" s="557"/>
      <c r="VBF55" s="557"/>
      <c r="VBG55" s="557"/>
      <c r="VBH55" s="557"/>
      <c r="VBI55" s="557"/>
      <c r="VBJ55" s="557"/>
      <c r="VBK55" s="557"/>
      <c r="VBL55" s="557"/>
      <c r="VBM55" s="557"/>
      <c r="VBN55" s="557"/>
      <c r="VBO55" s="661"/>
      <c r="VBP55" s="556"/>
      <c r="VBQ55" s="557"/>
      <c r="VBR55" s="557"/>
      <c r="VBS55" s="557"/>
      <c r="VBT55" s="557"/>
      <c r="VBU55" s="557"/>
      <c r="VBV55" s="557"/>
      <c r="VBW55" s="557"/>
      <c r="VBX55" s="557"/>
      <c r="VBY55" s="557"/>
      <c r="VBZ55" s="557"/>
      <c r="VCA55" s="557"/>
      <c r="VCB55" s="557"/>
      <c r="VCC55" s="557"/>
      <c r="VCD55" s="557"/>
      <c r="VCE55" s="557"/>
      <c r="VCF55" s="557"/>
      <c r="VCG55" s="557"/>
      <c r="VCH55" s="557"/>
      <c r="VCI55" s="661"/>
      <c r="VCJ55" s="556"/>
      <c r="VCK55" s="557"/>
      <c r="VCL55" s="557"/>
      <c r="VCM55" s="557"/>
      <c r="VCN55" s="557"/>
      <c r="VCO55" s="557"/>
      <c r="VCP55" s="557"/>
      <c r="VCQ55" s="557"/>
      <c r="VCR55" s="557"/>
      <c r="VCS55" s="557"/>
      <c r="VCT55" s="557"/>
      <c r="VCU55" s="557"/>
      <c r="VCV55" s="557"/>
      <c r="VCW55" s="557"/>
      <c r="VCX55" s="557"/>
      <c r="VCY55" s="557"/>
      <c r="VCZ55" s="557"/>
      <c r="VDA55" s="557"/>
      <c r="VDB55" s="557"/>
      <c r="VDC55" s="661"/>
      <c r="VDD55" s="556"/>
      <c r="VDE55" s="557"/>
      <c r="VDF55" s="557"/>
      <c r="VDG55" s="557"/>
      <c r="VDH55" s="557"/>
      <c r="VDI55" s="557"/>
      <c r="VDJ55" s="557"/>
      <c r="VDK55" s="557"/>
      <c r="VDL55" s="557"/>
      <c r="VDM55" s="557"/>
      <c r="VDN55" s="557"/>
      <c r="VDO55" s="557"/>
      <c r="VDP55" s="557"/>
      <c r="VDQ55" s="557"/>
      <c r="VDR55" s="557"/>
      <c r="VDS55" s="557"/>
      <c r="VDT55" s="557"/>
      <c r="VDU55" s="557"/>
      <c r="VDV55" s="557"/>
      <c r="VDW55" s="661"/>
      <c r="VDX55" s="556"/>
      <c r="VDY55" s="557"/>
      <c r="VDZ55" s="557"/>
      <c r="VEA55" s="557"/>
      <c r="VEB55" s="557"/>
      <c r="VEC55" s="557"/>
      <c r="VED55" s="557"/>
      <c r="VEE55" s="557"/>
      <c r="VEF55" s="557"/>
      <c r="VEG55" s="557"/>
      <c r="VEH55" s="557"/>
      <c r="VEI55" s="557"/>
      <c r="VEJ55" s="557"/>
      <c r="VEK55" s="557"/>
      <c r="VEL55" s="557"/>
      <c r="VEM55" s="557"/>
      <c r="VEN55" s="557"/>
      <c r="VEO55" s="557"/>
      <c r="VEP55" s="557"/>
      <c r="VEQ55" s="661"/>
      <c r="VER55" s="556"/>
      <c r="VES55" s="557"/>
      <c r="VET55" s="557"/>
      <c r="VEU55" s="557"/>
      <c r="VEV55" s="557"/>
      <c r="VEW55" s="557"/>
      <c r="VEX55" s="557"/>
      <c r="VEY55" s="557"/>
      <c r="VEZ55" s="557"/>
      <c r="VFA55" s="557"/>
      <c r="VFB55" s="557"/>
      <c r="VFC55" s="557"/>
      <c r="VFD55" s="557"/>
      <c r="VFE55" s="557"/>
      <c r="VFF55" s="557"/>
      <c r="VFG55" s="557"/>
      <c r="VFH55" s="557"/>
      <c r="VFI55" s="557"/>
      <c r="VFJ55" s="557"/>
      <c r="VFK55" s="661"/>
      <c r="VFL55" s="556"/>
      <c r="VFM55" s="557"/>
      <c r="VFN55" s="557"/>
      <c r="VFO55" s="557"/>
      <c r="VFP55" s="557"/>
      <c r="VFQ55" s="557"/>
      <c r="VFR55" s="557"/>
      <c r="VFS55" s="557"/>
      <c r="VFT55" s="557"/>
      <c r="VFU55" s="557"/>
      <c r="VFV55" s="557"/>
      <c r="VFW55" s="557"/>
      <c r="VFX55" s="557"/>
      <c r="VFY55" s="557"/>
      <c r="VFZ55" s="557"/>
      <c r="VGA55" s="557"/>
      <c r="VGB55" s="557"/>
      <c r="VGC55" s="557"/>
      <c r="VGD55" s="557"/>
      <c r="VGE55" s="661"/>
      <c r="VGF55" s="556"/>
      <c r="VGG55" s="557"/>
      <c r="VGH55" s="557"/>
      <c r="VGI55" s="557"/>
      <c r="VGJ55" s="557"/>
      <c r="VGK55" s="557"/>
      <c r="VGL55" s="557"/>
      <c r="VGM55" s="557"/>
      <c r="VGN55" s="557"/>
      <c r="VGO55" s="557"/>
      <c r="VGP55" s="557"/>
      <c r="VGQ55" s="557"/>
      <c r="VGR55" s="557"/>
      <c r="VGS55" s="557"/>
      <c r="VGT55" s="557"/>
      <c r="VGU55" s="557"/>
      <c r="VGV55" s="557"/>
      <c r="VGW55" s="557"/>
      <c r="VGX55" s="557"/>
      <c r="VGY55" s="661"/>
      <c r="VGZ55" s="556"/>
      <c r="VHA55" s="557"/>
      <c r="VHB55" s="557"/>
      <c r="VHC55" s="557"/>
      <c r="VHD55" s="557"/>
      <c r="VHE55" s="557"/>
      <c r="VHF55" s="557"/>
      <c r="VHG55" s="557"/>
      <c r="VHH55" s="557"/>
      <c r="VHI55" s="557"/>
      <c r="VHJ55" s="557"/>
      <c r="VHK55" s="557"/>
      <c r="VHL55" s="557"/>
      <c r="VHM55" s="557"/>
      <c r="VHN55" s="557"/>
      <c r="VHO55" s="557"/>
      <c r="VHP55" s="557"/>
      <c r="VHQ55" s="557"/>
      <c r="VHR55" s="557"/>
      <c r="VHS55" s="661"/>
      <c r="VHT55" s="556"/>
      <c r="VHU55" s="557"/>
      <c r="VHV55" s="557"/>
      <c r="VHW55" s="557"/>
      <c r="VHX55" s="557"/>
      <c r="VHY55" s="557"/>
      <c r="VHZ55" s="557"/>
      <c r="VIA55" s="557"/>
      <c r="VIB55" s="557"/>
      <c r="VIC55" s="557"/>
      <c r="VID55" s="557"/>
      <c r="VIE55" s="557"/>
      <c r="VIF55" s="557"/>
      <c r="VIG55" s="557"/>
      <c r="VIH55" s="557"/>
      <c r="VII55" s="557"/>
      <c r="VIJ55" s="557"/>
      <c r="VIK55" s="557"/>
      <c r="VIL55" s="557"/>
      <c r="VIM55" s="661"/>
      <c r="VIN55" s="556"/>
      <c r="VIO55" s="557"/>
      <c r="VIP55" s="557"/>
      <c r="VIQ55" s="557"/>
      <c r="VIR55" s="557"/>
      <c r="VIS55" s="557"/>
      <c r="VIT55" s="557"/>
      <c r="VIU55" s="557"/>
      <c r="VIV55" s="557"/>
      <c r="VIW55" s="557"/>
      <c r="VIX55" s="557"/>
      <c r="VIY55" s="557"/>
      <c r="VIZ55" s="557"/>
      <c r="VJA55" s="557"/>
      <c r="VJB55" s="557"/>
      <c r="VJC55" s="557"/>
      <c r="VJD55" s="557"/>
      <c r="VJE55" s="557"/>
      <c r="VJF55" s="557"/>
      <c r="VJG55" s="661"/>
      <c r="VJH55" s="556"/>
      <c r="VJI55" s="557"/>
      <c r="VJJ55" s="557"/>
      <c r="VJK55" s="557"/>
      <c r="VJL55" s="557"/>
      <c r="VJM55" s="557"/>
      <c r="VJN55" s="557"/>
      <c r="VJO55" s="557"/>
      <c r="VJP55" s="557"/>
      <c r="VJQ55" s="557"/>
      <c r="VJR55" s="557"/>
      <c r="VJS55" s="557"/>
      <c r="VJT55" s="557"/>
      <c r="VJU55" s="557"/>
      <c r="VJV55" s="557"/>
      <c r="VJW55" s="557"/>
      <c r="VJX55" s="557"/>
      <c r="VJY55" s="557"/>
      <c r="VJZ55" s="557"/>
      <c r="VKA55" s="661"/>
      <c r="VKB55" s="556"/>
      <c r="VKC55" s="557"/>
      <c r="VKD55" s="557"/>
      <c r="VKE55" s="557"/>
      <c r="VKF55" s="557"/>
      <c r="VKG55" s="557"/>
      <c r="VKH55" s="557"/>
      <c r="VKI55" s="557"/>
      <c r="VKJ55" s="557"/>
      <c r="VKK55" s="557"/>
      <c r="VKL55" s="557"/>
      <c r="VKM55" s="557"/>
      <c r="VKN55" s="557"/>
      <c r="VKO55" s="557"/>
      <c r="VKP55" s="557"/>
      <c r="VKQ55" s="557"/>
      <c r="VKR55" s="557"/>
      <c r="VKS55" s="557"/>
      <c r="VKT55" s="557"/>
      <c r="VKU55" s="661"/>
      <c r="VKV55" s="556"/>
      <c r="VKW55" s="557"/>
      <c r="VKX55" s="557"/>
      <c r="VKY55" s="557"/>
      <c r="VKZ55" s="557"/>
      <c r="VLA55" s="557"/>
      <c r="VLB55" s="557"/>
      <c r="VLC55" s="557"/>
      <c r="VLD55" s="557"/>
      <c r="VLE55" s="557"/>
      <c r="VLF55" s="557"/>
      <c r="VLG55" s="557"/>
      <c r="VLH55" s="557"/>
      <c r="VLI55" s="557"/>
      <c r="VLJ55" s="557"/>
      <c r="VLK55" s="557"/>
      <c r="VLL55" s="557"/>
      <c r="VLM55" s="557"/>
      <c r="VLN55" s="557"/>
      <c r="VLO55" s="661"/>
      <c r="VLP55" s="556"/>
      <c r="VLQ55" s="557"/>
      <c r="VLR55" s="557"/>
      <c r="VLS55" s="557"/>
      <c r="VLT55" s="557"/>
      <c r="VLU55" s="557"/>
      <c r="VLV55" s="557"/>
      <c r="VLW55" s="557"/>
      <c r="VLX55" s="557"/>
      <c r="VLY55" s="557"/>
      <c r="VLZ55" s="557"/>
      <c r="VMA55" s="557"/>
      <c r="VMB55" s="557"/>
      <c r="VMC55" s="557"/>
      <c r="VMD55" s="557"/>
      <c r="VME55" s="557"/>
      <c r="VMF55" s="557"/>
      <c r="VMG55" s="557"/>
      <c r="VMH55" s="557"/>
      <c r="VMI55" s="661"/>
      <c r="VMJ55" s="556"/>
      <c r="VMK55" s="557"/>
      <c r="VML55" s="557"/>
      <c r="VMM55" s="557"/>
      <c r="VMN55" s="557"/>
      <c r="VMO55" s="557"/>
      <c r="VMP55" s="557"/>
      <c r="VMQ55" s="557"/>
      <c r="VMR55" s="557"/>
      <c r="VMS55" s="557"/>
      <c r="VMT55" s="557"/>
      <c r="VMU55" s="557"/>
      <c r="VMV55" s="557"/>
      <c r="VMW55" s="557"/>
      <c r="VMX55" s="557"/>
      <c r="VMY55" s="557"/>
      <c r="VMZ55" s="557"/>
      <c r="VNA55" s="557"/>
      <c r="VNB55" s="557"/>
      <c r="VNC55" s="661"/>
      <c r="VND55" s="556"/>
      <c r="VNE55" s="557"/>
      <c r="VNF55" s="557"/>
      <c r="VNG55" s="557"/>
      <c r="VNH55" s="557"/>
      <c r="VNI55" s="557"/>
      <c r="VNJ55" s="557"/>
      <c r="VNK55" s="557"/>
      <c r="VNL55" s="557"/>
      <c r="VNM55" s="557"/>
      <c r="VNN55" s="557"/>
      <c r="VNO55" s="557"/>
      <c r="VNP55" s="557"/>
      <c r="VNQ55" s="557"/>
      <c r="VNR55" s="557"/>
      <c r="VNS55" s="557"/>
      <c r="VNT55" s="557"/>
      <c r="VNU55" s="557"/>
      <c r="VNV55" s="557"/>
      <c r="VNW55" s="661"/>
      <c r="VNX55" s="556"/>
      <c r="VNY55" s="557"/>
      <c r="VNZ55" s="557"/>
      <c r="VOA55" s="557"/>
      <c r="VOB55" s="557"/>
      <c r="VOC55" s="557"/>
      <c r="VOD55" s="557"/>
      <c r="VOE55" s="557"/>
      <c r="VOF55" s="557"/>
      <c r="VOG55" s="557"/>
      <c r="VOH55" s="557"/>
      <c r="VOI55" s="557"/>
      <c r="VOJ55" s="557"/>
      <c r="VOK55" s="557"/>
      <c r="VOL55" s="557"/>
      <c r="VOM55" s="557"/>
      <c r="VON55" s="557"/>
      <c r="VOO55" s="557"/>
      <c r="VOP55" s="557"/>
      <c r="VOQ55" s="661"/>
      <c r="VOR55" s="556"/>
      <c r="VOS55" s="557"/>
      <c r="VOT55" s="557"/>
      <c r="VOU55" s="557"/>
      <c r="VOV55" s="557"/>
      <c r="VOW55" s="557"/>
      <c r="VOX55" s="557"/>
      <c r="VOY55" s="557"/>
      <c r="VOZ55" s="557"/>
      <c r="VPA55" s="557"/>
      <c r="VPB55" s="557"/>
      <c r="VPC55" s="557"/>
      <c r="VPD55" s="557"/>
      <c r="VPE55" s="557"/>
      <c r="VPF55" s="557"/>
      <c r="VPG55" s="557"/>
      <c r="VPH55" s="557"/>
      <c r="VPI55" s="557"/>
      <c r="VPJ55" s="557"/>
      <c r="VPK55" s="661"/>
      <c r="VPL55" s="556"/>
      <c r="VPM55" s="557"/>
      <c r="VPN55" s="557"/>
      <c r="VPO55" s="557"/>
      <c r="VPP55" s="557"/>
      <c r="VPQ55" s="557"/>
      <c r="VPR55" s="557"/>
      <c r="VPS55" s="557"/>
      <c r="VPT55" s="557"/>
      <c r="VPU55" s="557"/>
      <c r="VPV55" s="557"/>
      <c r="VPW55" s="557"/>
      <c r="VPX55" s="557"/>
      <c r="VPY55" s="557"/>
      <c r="VPZ55" s="557"/>
      <c r="VQA55" s="557"/>
      <c r="VQB55" s="557"/>
      <c r="VQC55" s="557"/>
      <c r="VQD55" s="557"/>
      <c r="VQE55" s="661"/>
      <c r="VQF55" s="556"/>
      <c r="VQG55" s="557"/>
      <c r="VQH55" s="557"/>
      <c r="VQI55" s="557"/>
      <c r="VQJ55" s="557"/>
      <c r="VQK55" s="557"/>
      <c r="VQL55" s="557"/>
      <c r="VQM55" s="557"/>
      <c r="VQN55" s="557"/>
      <c r="VQO55" s="557"/>
      <c r="VQP55" s="557"/>
      <c r="VQQ55" s="557"/>
      <c r="VQR55" s="557"/>
      <c r="VQS55" s="557"/>
      <c r="VQT55" s="557"/>
      <c r="VQU55" s="557"/>
      <c r="VQV55" s="557"/>
      <c r="VQW55" s="557"/>
      <c r="VQX55" s="557"/>
      <c r="VQY55" s="661"/>
      <c r="VQZ55" s="556"/>
      <c r="VRA55" s="557"/>
      <c r="VRB55" s="557"/>
      <c r="VRC55" s="557"/>
      <c r="VRD55" s="557"/>
      <c r="VRE55" s="557"/>
      <c r="VRF55" s="557"/>
      <c r="VRG55" s="557"/>
      <c r="VRH55" s="557"/>
      <c r="VRI55" s="557"/>
      <c r="VRJ55" s="557"/>
      <c r="VRK55" s="557"/>
      <c r="VRL55" s="557"/>
      <c r="VRM55" s="557"/>
      <c r="VRN55" s="557"/>
      <c r="VRO55" s="557"/>
      <c r="VRP55" s="557"/>
      <c r="VRQ55" s="557"/>
      <c r="VRR55" s="557"/>
      <c r="VRS55" s="661"/>
      <c r="VRT55" s="556"/>
      <c r="VRU55" s="557"/>
      <c r="VRV55" s="557"/>
      <c r="VRW55" s="557"/>
      <c r="VRX55" s="557"/>
      <c r="VRY55" s="557"/>
      <c r="VRZ55" s="557"/>
      <c r="VSA55" s="557"/>
      <c r="VSB55" s="557"/>
      <c r="VSC55" s="557"/>
      <c r="VSD55" s="557"/>
      <c r="VSE55" s="557"/>
      <c r="VSF55" s="557"/>
      <c r="VSG55" s="557"/>
      <c r="VSH55" s="557"/>
      <c r="VSI55" s="557"/>
      <c r="VSJ55" s="557"/>
      <c r="VSK55" s="557"/>
      <c r="VSL55" s="557"/>
      <c r="VSM55" s="661"/>
      <c r="VSN55" s="556"/>
      <c r="VSO55" s="557"/>
      <c r="VSP55" s="557"/>
      <c r="VSQ55" s="557"/>
      <c r="VSR55" s="557"/>
      <c r="VSS55" s="557"/>
      <c r="VST55" s="557"/>
      <c r="VSU55" s="557"/>
      <c r="VSV55" s="557"/>
      <c r="VSW55" s="557"/>
      <c r="VSX55" s="557"/>
      <c r="VSY55" s="557"/>
      <c r="VSZ55" s="557"/>
      <c r="VTA55" s="557"/>
      <c r="VTB55" s="557"/>
      <c r="VTC55" s="557"/>
      <c r="VTD55" s="557"/>
      <c r="VTE55" s="557"/>
      <c r="VTF55" s="557"/>
      <c r="VTG55" s="661"/>
      <c r="VTH55" s="556"/>
      <c r="VTI55" s="557"/>
      <c r="VTJ55" s="557"/>
      <c r="VTK55" s="557"/>
      <c r="VTL55" s="557"/>
      <c r="VTM55" s="557"/>
      <c r="VTN55" s="557"/>
      <c r="VTO55" s="557"/>
      <c r="VTP55" s="557"/>
      <c r="VTQ55" s="557"/>
      <c r="VTR55" s="557"/>
      <c r="VTS55" s="557"/>
      <c r="VTT55" s="557"/>
      <c r="VTU55" s="557"/>
      <c r="VTV55" s="557"/>
      <c r="VTW55" s="557"/>
      <c r="VTX55" s="557"/>
      <c r="VTY55" s="557"/>
      <c r="VTZ55" s="557"/>
      <c r="VUA55" s="661"/>
      <c r="VUB55" s="556"/>
      <c r="VUC55" s="557"/>
      <c r="VUD55" s="557"/>
      <c r="VUE55" s="557"/>
      <c r="VUF55" s="557"/>
      <c r="VUG55" s="557"/>
      <c r="VUH55" s="557"/>
      <c r="VUI55" s="557"/>
      <c r="VUJ55" s="557"/>
      <c r="VUK55" s="557"/>
      <c r="VUL55" s="557"/>
      <c r="VUM55" s="557"/>
      <c r="VUN55" s="557"/>
      <c r="VUO55" s="557"/>
      <c r="VUP55" s="557"/>
      <c r="VUQ55" s="557"/>
      <c r="VUR55" s="557"/>
      <c r="VUS55" s="557"/>
      <c r="VUT55" s="557"/>
      <c r="VUU55" s="661"/>
      <c r="VUV55" s="556"/>
      <c r="VUW55" s="557"/>
      <c r="VUX55" s="557"/>
      <c r="VUY55" s="557"/>
      <c r="VUZ55" s="557"/>
      <c r="VVA55" s="557"/>
      <c r="VVB55" s="557"/>
      <c r="VVC55" s="557"/>
      <c r="VVD55" s="557"/>
      <c r="VVE55" s="557"/>
      <c r="VVF55" s="557"/>
      <c r="VVG55" s="557"/>
      <c r="VVH55" s="557"/>
      <c r="VVI55" s="557"/>
      <c r="VVJ55" s="557"/>
      <c r="VVK55" s="557"/>
      <c r="VVL55" s="557"/>
      <c r="VVM55" s="557"/>
      <c r="VVN55" s="557"/>
      <c r="VVO55" s="661"/>
      <c r="VVP55" s="556"/>
      <c r="VVQ55" s="557"/>
      <c r="VVR55" s="557"/>
      <c r="VVS55" s="557"/>
      <c r="VVT55" s="557"/>
      <c r="VVU55" s="557"/>
      <c r="VVV55" s="557"/>
      <c r="VVW55" s="557"/>
      <c r="VVX55" s="557"/>
      <c r="VVY55" s="557"/>
      <c r="VVZ55" s="557"/>
      <c r="VWA55" s="557"/>
      <c r="VWB55" s="557"/>
      <c r="VWC55" s="557"/>
      <c r="VWD55" s="557"/>
      <c r="VWE55" s="557"/>
      <c r="VWF55" s="557"/>
      <c r="VWG55" s="557"/>
      <c r="VWH55" s="557"/>
      <c r="VWI55" s="661"/>
      <c r="VWJ55" s="556"/>
      <c r="VWK55" s="557"/>
      <c r="VWL55" s="557"/>
      <c r="VWM55" s="557"/>
      <c r="VWN55" s="557"/>
      <c r="VWO55" s="557"/>
      <c r="VWP55" s="557"/>
      <c r="VWQ55" s="557"/>
      <c r="VWR55" s="557"/>
      <c r="VWS55" s="557"/>
      <c r="VWT55" s="557"/>
      <c r="VWU55" s="557"/>
      <c r="VWV55" s="557"/>
      <c r="VWW55" s="557"/>
      <c r="VWX55" s="557"/>
      <c r="VWY55" s="557"/>
      <c r="VWZ55" s="557"/>
      <c r="VXA55" s="557"/>
      <c r="VXB55" s="557"/>
      <c r="VXC55" s="661"/>
      <c r="VXD55" s="556"/>
      <c r="VXE55" s="557"/>
      <c r="VXF55" s="557"/>
      <c r="VXG55" s="557"/>
      <c r="VXH55" s="557"/>
      <c r="VXI55" s="557"/>
      <c r="VXJ55" s="557"/>
      <c r="VXK55" s="557"/>
      <c r="VXL55" s="557"/>
      <c r="VXM55" s="557"/>
      <c r="VXN55" s="557"/>
      <c r="VXO55" s="557"/>
      <c r="VXP55" s="557"/>
      <c r="VXQ55" s="557"/>
      <c r="VXR55" s="557"/>
      <c r="VXS55" s="557"/>
      <c r="VXT55" s="557"/>
      <c r="VXU55" s="557"/>
      <c r="VXV55" s="557"/>
      <c r="VXW55" s="661"/>
      <c r="VXX55" s="556"/>
      <c r="VXY55" s="557"/>
      <c r="VXZ55" s="557"/>
      <c r="VYA55" s="557"/>
      <c r="VYB55" s="557"/>
      <c r="VYC55" s="557"/>
      <c r="VYD55" s="557"/>
      <c r="VYE55" s="557"/>
      <c r="VYF55" s="557"/>
      <c r="VYG55" s="557"/>
      <c r="VYH55" s="557"/>
      <c r="VYI55" s="557"/>
      <c r="VYJ55" s="557"/>
      <c r="VYK55" s="557"/>
      <c r="VYL55" s="557"/>
      <c r="VYM55" s="557"/>
      <c r="VYN55" s="557"/>
      <c r="VYO55" s="557"/>
      <c r="VYP55" s="557"/>
      <c r="VYQ55" s="661"/>
      <c r="VYR55" s="556"/>
      <c r="VYS55" s="557"/>
      <c r="VYT55" s="557"/>
      <c r="VYU55" s="557"/>
      <c r="VYV55" s="557"/>
      <c r="VYW55" s="557"/>
      <c r="VYX55" s="557"/>
      <c r="VYY55" s="557"/>
      <c r="VYZ55" s="557"/>
      <c r="VZA55" s="557"/>
      <c r="VZB55" s="557"/>
      <c r="VZC55" s="557"/>
      <c r="VZD55" s="557"/>
      <c r="VZE55" s="557"/>
      <c r="VZF55" s="557"/>
      <c r="VZG55" s="557"/>
      <c r="VZH55" s="557"/>
      <c r="VZI55" s="557"/>
      <c r="VZJ55" s="557"/>
      <c r="VZK55" s="661"/>
      <c r="VZL55" s="556"/>
      <c r="VZM55" s="557"/>
      <c r="VZN55" s="557"/>
      <c r="VZO55" s="557"/>
      <c r="VZP55" s="557"/>
      <c r="VZQ55" s="557"/>
      <c r="VZR55" s="557"/>
      <c r="VZS55" s="557"/>
      <c r="VZT55" s="557"/>
      <c r="VZU55" s="557"/>
      <c r="VZV55" s="557"/>
      <c r="VZW55" s="557"/>
      <c r="VZX55" s="557"/>
      <c r="VZY55" s="557"/>
      <c r="VZZ55" s="557"/>
      <c r="WAA55" s="557"/>
      <c r="WAB55" s="557"/>
      <c r="WAC55" s="557"/>
      <c r="WAD55" s="557"/>
      <c r="WAE55" s="661"/>
      <c r="WAF55" s="556"/>
      <c r="WAG55" s="557"/>
      <c r="WAH55" s="557"/>
      <c r="WAI55" s="557"/>
      <c r="WAJ55" s="557"/>
      <c r="WAK55" s="557"/>
      <c r="WAL55" s="557"/>
      <c r="WAM55" s="557"/>
      <c r="WAN55" s="557"/>
      <c r="WAO55" s="557"/>
      <c r="WAP55" s="557"/>
      <c r="WAQ55" s="557"/>
      <c r="WAR55" s="557"/>
      <c r="WAS55" s="557"/>
      <c r="WAT55" s="557"/>
      <c r="WAU55" s="557"/>
      <c r="WAV55" s="557"/>
      <c r="WAW55" s="557"/>
      <c r="WAX55" s="557"/>
      <c r="WAY55" s="661"/>
      <c r="WAZ55" s="556"/>
      <c r="WBA55" s="557"/>
      <c r="WBB55" s="557"/>
      <c r="WBC55" s="557"/>
      <c r="WBD55" s="557"/>
      <c r="WBE55" s="557"/>
      <c r="WBF55" s="557"/>
      <c r="WBG55" s="557"/>
      <c r="WBH55" s="557"/>
      <c r="WBI55" s="557"/>
      <c r="WBJ55" s="557"/>
      <c r="WBK55" s="557"/>
      <c r="WBL55" s="557"/>
      <c r="WBM55" s="557"/>
      <c r="WBN55" s="557"/>
      <c r="WBO55" s="557"/>
      <c r="WBP55" s="557"/>
      <c r="WBQ55" s="557"/>
      <c r="WBR55" s="557"/>
      <c r="WBS55" s="661"/>
      <c r="WBT55" s="556"/>
      <c r="WBU55" s="557"/>
      <c r="WBV55" s="557"/>
      <c r="WBW55" s="557"/>
      <c r="WBX55" s="557"/>
      <c r="WBY55" s="557"/>
      <c r="WBZ55" s="557"/>
      <c r="WCA55" s="557"/>
      <c r="WCB55" s="557"/>
      <c r="WCC55" s="557"/>
      <c r="WCD55" s="557"/>
      <c r="WCE55" s="557"/>
      <c r="WCF55" s="557"/>
      <c r="WCG55" s="557"/>
      <c r="WCH55" s="557"/>
      <c r="WCI55" s="557"/>
      <c r="WCJ55" s="557"/>
      <c r="WCK55" s="557"/>
      <c r="WCL55" s="557"/>
      <c r="WCM55" s="661"/>
      <c r="WCN55" s="556"/>
      <c r="WCO55" s="557"/>
      <c r="WCP55" s="557"/>
      <c r="WCQ55" s="557"/>
      <c r="WCR55" s="557"/>
      <c r="WCS55" s="557"/>
      <c r="WCT55" s="557"/>
      <c r="WCU55" s="557"/>
      <c r="WCV55" s="557"/>
      <c r="WCW55" s="557"/>
      <c r="WCX55" s="557"/>
      <c r="WCY55" s="557"/>
      <c r="WCZ55" s="557"/>
      <c r="WDA55" s="557"/>
      <c r="WDB55" s="557"/>
      <c r="WDC55" s="557"/>
      <c r="WDD55" s="557"/>
      <c r="WDE55" s="557"/>
      <c r="WDF55" s="557"/>
      <c r="WDG55" s="661"/>
      <c r="WDH55" s="556"/>
      <c r="WDI55" s="557"/>
      <c r="WDJ55" s="557"/>
      <c r="WDK55" s="557"/>
      <c r="WDL55" s="557"/>
      <c r="WDM55" s="557"/>
      <c r="WDN55" s="557"/>
      <c r="WDO55" s="557"/>
      <c r="WDP55" s="557"/>
      <c r="WDQ55" s="557"/>
      <c r="WDR55" s="557"/>
      <c r="WDS55" s="557"/>
      <c r="WDT55" s="557"/>
      <c r="WDU55" s="557"/>
      <c r="WDV55" s="557"/>
      <c r="WDW55" s="557"/>
      <c r="WDX55" s="557"/>
      <c r="WDY55" s="557"/>
      <c r="WDZ55" s="557"/>
      <c r="WEA55" s="661"/>
      <c r="WEB55" s="556"/>
      <c r="WEC55" s="557"/>
      <c r="WED55" s="557"/>
      <c r="WEE55" s="557"/>
      <c r="WEF55" s="557"/>
      <c r="WEG55" s="557"/>
      <c r="WEH55" s="557"/>
      <c r="WEI55" s="557"/>
      <c r="WEJ55" s="557"/>
      <c r="WEK55" s="557"/>
      <c r="WEL55" s="557"/>
      <c r="WEM55" s="557"/>
      <c r="WEN55" s="557"/>
      <c r="WEO55" s="557"/>
      <c r="WEP55" s="557"/>
      <c r="WEQ55" s="557"/>
      <c r="WER55" s="557"/>
      <c r="WES55" s="557"/>
      <c r="WET55" s="557"/>
      <c r="WEU55" s="661"/>
      <c r="WEV55" s="556"/>
      <c r="WEW55" s="557"/>
      <c r="WEX55" s="557"/>
      <c r="WEY55" s="557"/>
      <c r="WEZ55" s="557"/>
      <c r="WFA55" s="557"/>
      <c r="WFB55" s="557"/>
      <c r="WFC55" s="557"/>
      <c r="WFD55" s="557"/>
      <c r="WFE55" s="557"/>
      <c r="WFF55" s="557"/>
      <c r="WFG55" s="557"/>
      <c r="WFH55" s="557"/>
      <c r="WFI55" s="557"/>
      <c r="WFJ55" s="557"/>
      <c r="WFK55" s="557"/>
      <c r="WFL55" s="557"/>
      <c r="WFM55" s="557"/>
      <c r="WFN55" s="557"/>
      <c r="WFO55" s="661"/>
      <c r="WFP55" s="556"/>
      <c r="WFQ55" s="557"/>
      <c r="WFR55" s="557"/>
      <c r="WFS55" s="557"/>
      <c r="WFT55" s="557"/>
      <c r="WFU55" s="557"/>
      <c r="WFV55" s="557"/>
      <c r="WFW55" s="557"/>
      <c r="WFX55" s="557"/>
      <c r="WFY55" s="557"/>
      <c r="WFZ55" s="557"/>
      <c r="WGA55" s="557"/>
      <c r="WGB55" s="557"/>
      <c r="WGC55" s="557"/>
      <c r="WGD55" s="557"/>
      <c r="WGE55" s="557"/>
      <c r="WGF55" s="557"/>
      <c r="WGG55" s="557"/>
      <c r="WGH55" s="557"/>
      <c r="WGI55" s="661"/>
      <c r="WGJ55" s="556"/>
      <c r="WGK55" s="557"/>
      <c r="WGL55" s="557"/>
      <c r="WGM55" s="557"/>
      <c r="WGN55" s="557"/>
      <c r="WGO55" s="557"/>
      <c r="WGP55" s="557"/>
      <c r="WGQ55" s="557"/>
      <c r="WGR55" s="557"/>
      <c r="WGS55" s="557"/>
      <c r="WGT55" s="557"/>
      <c r="WGU55" s="557"/>
      <c r="WGV55" s="557"/>
      <c r="WGW55" s="557"/>
      <c r="WGX55" s="557"/>
      <c r="WGY55" s="557"/>
      <c r="WGZ55" s="557"/>
      <c r="WHA55" s="557"/>
      <c r="WHB55" s="557"/>
      <c r="WHC55" s="661"/>
      <c r="WHD55" s="556"/>
      <c r="WHE55" s="557"/>
      <c r="WHF55" s="557"/>
      <c r="WHG55" s="557"/>
      <c r="WHH55" s="557"/>
      <c r="WHI55" s="557"/>
      <c r="WHJ55" s="557"/>
      <c r="WHK55" s="557"/>
      <c r="WHL55" s="557"/>
      <c r="WHM55" s="557"/>
      <c r="WHN55" s="557"/>
      <c r="WHO55" s="557"/>
      <c r="WHP55" s="557"/>
      <c r="WHQ55" s="557"/>
      <c r="WHR55" s="557"/>
      <c r="WHS55" s="557"/>
      <c r="WHT55" s="557"/>
      <c r="WHU55" s="557"/>
      <c r="WHV55" s="557"/>
      <c r="WHW55" s="661"/>
      <c r="WHX55" s="556"/>
      <c r="WHY55" s="557"/>
      <c r="WHZ55" s="557"/>
      <c r="WIA55" s="557"/>
      <c r="WIB55" s="557"/>
      <c r="WIC55" s="557"/>
      <c r="WID55" s="557"/>
      <c r="WIE55" s="557"/>
      <c r="WIF55" s="557"/>
      <c r="WIG55" s="557"/>
      <c r="WIH55" s="557"/>
      <c r="WII55" s="557"/>
      <c r="WIJ55" s="557"/>
      <c r="WIK55" s="557"/>
      <c r="WIL55" s="557"/>
      <c r="WIM55" s="557"/>
      <c r="WIN55" s="557"/>
      <c r="WIO55" s="557"/>
      <c r="WIP55" s="557"/>
      <c r="WIQ55" s="661"/>
      <c r="WIR55" s="556"/>
      <c r="WIS55" s="557"/>
      <c r="WIT55" s="557"/>
      <c r="WIU55" s="557"/>
      <c r="WIV55" s="557"/>
      <c r="WIW55" s="557"/>
      <c r="WIX55" s="557"/>
      <c r="WIY55" s="557"/>
      <c r="WIZ55" s="557"/>
      <c r="WJA55" s="557"/>
      <c r="WJB55" s="557"/>
      <c r="WJC55" s="557"/>
      <c r="WJD55" s="557"/>
      <c r="WJE55" s="557"/>
      <c r="WJF55" s="557"/>
      <c r="WJG55" s="557"/>
      <c r="WJH55" s="557"/>
      <c r="WJI55" s="557"/>
      <c r="WJJ55" s="557"/>
      <c r="WJK55" s="661"/>
      <c r="WJL55" s="556"/>
      <c r="WJM55" s="557"/>
      <c r="WJN55" s="557"/>
      <c r="WJO55" s="557"/>
      <c r="WJP55" s="557"/>
      <c r="WJQ55" s="557"/>
      <c r="WJR55" s="557"/>
      <c r="WJS55" s="557"/>
      <c r="WJT55" s="557"/>
      <c r="WJU55" s="557"/>
      <c r="WJV55" s="557"/>
      <c r="WJW55" s="557"/>
      <c r="WJX55" s="557"/>
      <c r="WJY55" s="557"/>
      <c r="WJZ55" s="557"/>
      <c r="WKA55" s="557"/>
      <c r="WKB55" s="557"/>
      <c r="WKC55" s="557"/>
      <c r="WKD55" s="557"/>
      <c r="WKE55" s="661"/>
      <c r="WKF55" s="556"/>
      <c r="WKG55" s="557"/>
      <c r="WKH55" s="557"/>
      <c r="WKI55" s="557"/>
      <c r="WKJ55" s="557"/>
      <c r="WKK55" s="557"/>
      <c r="WKL55" s="557"/>
      <c r="WKM55" s="557"/>
      <c r="WKN55" s="557"/>
      <c r="WKO55" s="557"/>
      <c r="WKP55" s="557"/>
      <c r="WKQ55" s="557"/>
      <c r="WKR55" s="557"/>
      <c r="WKS55" s="557"/>
      <c r="WKT55" s="557"/>
      <c r="WKU55" s="557"/>
      <c r="WKV55" s="557"/>
      <c r="WKW55" s="557"/>
      <c r="WKX55" s="557"/>
      <c r="WKY55" s="661"/>
      <c r="WKZ55" s="556"/>
      <c r="WLA55" s="557"/>
      <c r="WLB55" s="557"/>
      <c r="WLC55" s="557"/>
      <c r="WLD55" s="557"/>
      <c r="WLE55" s="557"/>
      <c r="WLF55" s="557"/>
      <c r="WLG55" s="557"/>
      <c r="WLH55" s="557"/>
      <c r="WLI55" s="557"/>
      <c r="WLJ55" s="557"/>
      <c r="WLK55" s="557"/>
      <c r="WLL55" s="557"/>
      <c r="WLM55" s="557"/>
      <c r="WLN55" s="557"/>
      <c r="WLO55" s="557"/>
      <c r="WLP55" s="557"/>
      <c r="WLQ55" s="557"/>
      <c r="WLR55" s="557"/>
      <c r="WLS55" s="661"/>
      <c r="WLT55" s="556"/>
      <c r="WLU55" s="557"/>
      <c r="WLV55" s="557"/>
      <c r="WLW55" s="557"/>
      <c r="WLX55" s="557"/>
      <c r="WLY55" s="557"/>
      <c r="WLZ55" s="557"/>
      <c r="WMA55" s="557"/>
      <c r="WMB55" s="557"/>
      <c r="WMC55" s="557"/>
      <c r="WMD55" s="557"/>
      <c r="WME55" s="557"/>
      <c r="WMF55" s="557"/>
      <c r="WMG55" s="557"/>
      <c r="WMH55" s="557"/>
      <c r="WMI55" s="557"/>
      <c r="WMJ55" s="557"/>
      <c r="WMK55" s="557"/>
      <c r="WML55" s="557"/>
      <c r="WMM55" s="661"/>
      <c r="WMN55" s="556"/>
      <c r="WMO55" s="557"/>
      <c r="WMP55" s="557"/>
      <c r="WMQ55" s="557"/>
      <c r="WMR55" s="557"/>
      <c r="WMS55" s="557"/>
      <c r="WMT55" s="557"/>
      <c r="WMU55" s="557"/>
      <c r="WMV55" s="557"/>
      <c r="WMW55" s="557"/>
      <c r="WMX55" s="557"/>
      <c r="WMY55" s="557"/>
      <c r="WMZ55" s="557"/>
      <c r="WNA55" s="557"/>
      <c r="WNB55" s="557"/>
      <c r="WNC55" s="557"/>
      <c r="WND55" s="557"/>
      <c r="WNE55" s="557"/>
      <c r="WNF55" s="557"/>
      <c r="WNG55" s="661"/>
      <c r="WNH55" s="556"/>
      <c r="WNI55" s="557"/>
      <c r="WNJ55" s="557"/>
      <c r="WNK55" s="557"/>
      <c r="WNL55" s="557"/>
      <c r="WNM55" s="557"/>
      <c r="WNN55" s="557"/>
      <c r="WNO55" s="557"/>
      <c r="WNP55" s="557"/>
      <c r="WNQ55" s="557"/>
      <c r="WNR55" s="557"/>
      <c r="WNS55" s="557"/>
      <c r="WNT55" s="557"/>
      <c r="WNU55" s="557"/>
      <c r="WNV55" s="557"/>
      <c r="WNW55" s="557"/>
      <c r="WNX55" s="557"/>
      <c r="WNY55" s="557"/>
      <c r="WNZ55" s="557"/>
      <c r="WOA55" s="661"/>
      <c r="WOB55" s="556"/>
      <c r="WOC55" s="557"/>
      <c r="WOD55" s="557"/>
      <c r="WOE55" s="557"/>
      <c r="WOF55" s="557"/>
      <c r="WOG55" s="557"/>
      <c r="WOH55" s="557"/>
      <c r="WOI55" s="557"/>
      <c r="WOJ55" s="557"/>
      <c r="WOK55" s="557"/>
      <c r="WOL55" s="557"/>
      <c r="WOM55" s="557"/>
      <c r="WON55" s="557"/>
      <c r="WOO55" s="557"/>
      <c r="WOP55" s="557"/>
      <c r="WOQ55" s="557"/>
      <c r="WOR55" s="557"/>
      <c r="WOS55" s="557"/>
      <c r="WOT55" s="557"/>
      <c r="WOU55" s="661"/>
      <c r="WOV55" s="556"/>
      <c r="WOW55" s="557"/>
      <c r="WOX55" s="557"/>
      <c r="WOY55" s="557"/>
      <c r="WOZ55" s="557"/>
      <c r="WPA55" s="557"/>
      <c r="WPB55" s="557"/>
      <c r="WPC55" s="557"/>
      <c r="WPD55" s="557"/>
      <c r="WPE55" s="557"/>
      <c r="WPF55" s="557"/>
      <c r="WPG55" s="557"/>
      <c r="WPH55" s="557"/>
      <c r="WPI55" s="557"/>
      <c r="WPJ55" s="557"/>
      <c r="WPK55" s="557"/>
      <c r="WPL55" s="557"/>
      <c r="WPM55" s="557"/>
      <c r="WPN55" s="557"/>
      <c r="WPO55" s="661"/>
      <c r="WPP55" s="556"/>
      <c r="WPQ55" s="557"/>
      <c r="WPR55" s="557"/>
      <c r="WPS55" s="557"/>
      <c r="WPT55" s="557"/>
      <c r="WPU55" s="557"/>
      <c r="WPV55" s="557"/>
      <c r="WPW55" s="557"/>
      <c r="WPX55" s="557"/>
      <c r="WPY55" s="557"/>
      <c r="WPZ55" s="557"/>
      <c r="WQA55" s="557"/>
      <c r="WQB55" s="557"/>
      <c r="WQC55" s="557"/>
      <c r="WQD55" s="557"/>
      <c r="WQE55" s="557"/>
      <c r="WQF55" s="557"/>
      <c r="WQG55" s="557"/>
      <c r="WQH55" s="557"/>
      <c r="WQI55" s="661"/>
      <c r="WQJ55" s="556"/>
      <c r="WQK55" s="557"/>
      <c r="WQL55" s="557"/>
      <c r="WQM55" s="557"/>
      <c r="WQN55" s="557"/>
      <c r="WQO55" s="557"/>
      <c r="WQP55" s="557"/>
      <c r="WQQ55" s="557"/>
      <c r="WQR55" s="557"/>
      <c r="WQS55" s="557"/>
      <c r="WQT55" s="557"/>
      <c r="WQU55" s="557"/>
      <c r="WQV55" s="557"/>
      <c r="WQW55" s="557"/>
      <c r="WQX55" s="557"/>
      <c r="WQY55" s="557"/>
      <c r="WQZ55" s="557"/>
      <c r="WRA55" s="557"/>
      <c r="WRB55" s="557"/>
      <c r="WRC55" s="661"/>
      <c r="WRD55" s="556"/>
      <c r="WRE55" s="557"/>
      <c r="WRF55" s="557"/>
      <c r="WRG55" s="557"/>
      <c r="WRH55" s="557"/>
      <c r="WRI55" s="557"/>
      <c r="WRJ55" s="557"/>
      <c r="WRK55" s="557"/>
      <c r="WRL55" s="557"/>
      <c r="WRM55" s="557"/>
      <c r="WRN55" s="557"/>
      <c r="WRO55" s="557"/>
      <c r="WRP55" s="557"/>
      <c r="WRQ55" s="557"/>
      <c r="WRR55" s="557"/>
      <c r="WRS55" s="557"/>
      <c r="WRT55" s="557"/>
      <c r="WRU55" s="557"/>
      <c r="WRV55" s="557"/>
      <c r="WRW55" s="661"/>
      <c r="WRX55" s="556"/>
      <c r="WRY55" s="557"/>
      <c r="WRZ55" s="557"/>
      <c r="WSA55" s="557"/>
      <c r="WSB55" s="557"/>
      <c r="WSC55" s="557"/>
      <c r="WSD55" s="557"/>
      <c r="WSE55" s="557"/>
      <c r="WSF55" s="557"/>
      <c r="WSG55" s="557"/>
      <c r="WSH55" s="557"/>
      <c r="WSI55" s="557"/>
      <c r="WSJ55" s="557"/>
      <c r="WSK55" s="557"/>
      <c r="WSL55" s="557"/>
      <c r="WSM55" s="557"/>
      <c r="WSN55" s="557"/>
      <c r="WSO55" s="557"/>
      <c r="WSP55" s="557"/>
      <c r="WSQ55" s="661"/>
      <c r="WSR55" s="556"/>
      <c r="WSS55" s="557"/>
      <c r="WST55" s="557"/>
      <c r="WSU55" s="557"/>
      <c r="WSV55" s="557"/>
      <c r="WSW55" s="557"/>
      <c r="WSX55" s="557"/>
      <c r="WSY55" s="557"/>
      <c r="WSZ55" s="557"/>
      <c r="WTA55" s="557"/>
      <c r="WTB55" s="557"/>
      <c r="WTC55" s="557"/>
      <c r="WTD55" s="557"/>
      <c r="WTE55" s="557"/>
      <c r="WTF55" s="557"/>
      <c r="WTG55" s="557"/>
      <c r="WTH55" s="557"/>
      <c r="WTI55" s="557"/>
      <c r="WTJ55" s="557"/>
      <c r="WTK55" s="661"/>
      <c r="WTL55" s="556"/>
      <c r="WTM55" s="557"/>
      <c r="WTN55" s="557"/>
      <c r="WTO55" s="557"/>
      <c r="WTP55" s="557"/>
      <c r="WTQ55" s="557"/>
      <c r="WTR55" s="557"/>
      <c r="WTS55" s="557"/>
      <c r="WTT55" s="557"/>
      <c r="WTU55" s="557"/>
      <c r="WTV55" s="557"/>
      <c r="WTW55" s="557"/>
      <c r="WTX55" s="557"/>
      <c r="WTY55" s="557"/>
      <c r="WTZ55" s="557"/>
      <c r="WUA55" s="557"/>
      <c r="WUB55" s="557"/>
      <c r="WUC55" s="557"/>
      <c r="WUD55" s="557"/>
      <c r="WUE55" s="661"/>
      <c r="WUF55" s="556"/>
      <c r="WUG55" s="557"/>
      <c r="WUH55" s="557"/>
      <c r="WUI55" s="557"/>
      <c r="WUJ55" s="557"/>
      <c r="WUK55" s="557"/>
      <c r="WUL55" s="557"/>
      <c r="WUM55" s="557"/>
      <c r="WUN55" s="557"/>
      <c r="WUO55" s="557"/>
      <c r="WUP55" s="557"/>
      <c r="WUQ55" s="557"/>
      <c r="WUR55" s="557"/>
      <c r="WUS55" s="557"/>
      <c r="WUT55" s="557"/>
      <c r="WUU55" s="557"/>
      <c r="WUV55" s="557"/>
      <c r="WUW55" s="557"/>
      <c r="WUX55" s="557"/>
      <c r="WUY55" s="661"/>
      <c r="WUZ55" s="556"/>
      <c r="WVA55" s="557"/>
      <c r="WVB55" s="557"/>
      <c r="WVC55" s="557"/>
      <c r="WVD55" s="557"/>
      <c r="WVE55" s="557"/>
      <c r="WVF55" s="557"/>
      <c r="WVG55" s="557"/>
      <c r="WVH55" s="557"/>
      <c r="WVI55" s="557"/>
      <c r="WVJ55" s="557"/>
      <c r="WVK55" s="557"/>
      <c r="WVL55" s="557"/>
      <c r="WVM55" s="557"/>
      <c r="WVN55" s="557"/>
      <c r="WVO55" s="557"/>
      <c r="WVP55" s="557"/>
      <c r="WVQ55" s="557"/>
      <c r="WVR55" s="557"/>
      <c r="WVS55" s="661"/>
      <c r="WVT55" s="556"/>
      <c r="WVU55" s="557"/>
      <c r="WVV55" s="557"/>
      <c r="WVW55" s="557"/>
      <c r="WVX55" s="557"/>
      <c r="WVY55" s="557"/>
      <c r="WVZ55" s="557"/>
      <c r="WWA55" s="557"/>
      <c r="WWB55" s="557"/>
      <c r="WWC55" s="557"/>
      <c r="WWD55" s="557"/>
      <c r="WWE55" s="557"/>
      <c r="WWF55" s="557"/>
      <c r="WWG55" s="557"/>
      <c r="WWH55" s="557"/>
      <c r="WWI55" s="557"/>
      <c r="WWJ55" s="557"/>
      <c r="WWK55" s="557"/>
      <c r="WWL55" s="557"/>
      <c r="WWM55" s="661"/>
      <c r="WWN55" s="556"/>
      <c r="WWO55" s="557"/>
      <c r="WWP55" s="557"/>
      <c r="WWQ55" s="557"/>
      <c r="WWR55" s="557"/>
      <c r="WWS55" s="557"/>
      <c r="WWT55" s="557"/>
      <c r="WWU55" s="557"/>
      <c r="WWV55" s="557"/>
      <c r="WWW55" s="557"/>
      <c r="WWX55" s="557"/>
      <c r="WWY55" s="557"/>
      <c r="WWZ55" s="557"/>
      <c r="WXA55" s="557"/>
      <c r="WXB55" s="557"/>
      <c r="WXC55" s="557"/>
      <c r="WXD55" s="557"/>
      <c r="WXE55" s="557"/>
      <c r="WXF55" s="557"/>
      <c r="WXG55" s="661"/>
      <c r="WXH55" s="556"/>
      <c r="WXI55" s="557"/>
      <c r="WXJ55" s="557"/>
      <c r="WXK55" s="557"/>
      <c r="WXL55" s="557"/>
      <c r="WXM55" s="557"/>
      <c r="WXN55" s="557"/>
      <c r="WXO55" s="557"/>
      <c r="WXP55" s="557"/>
      <c r="WXQ55" s="557"/>
      <c r="WXR55" s="557"/>
      <c r="WXS55" s="557"/>
      <c r="WXT55" s="557"/>
      <c r="WXU55" s="557"/>
      <c r="WXV55" s="557"/>
      <c r="WXW55" s="557"/>
      <c r="WXX55" s="557"/>
      <c r="WXY55" s="557"/>
      <c r="WXZ55" s="557"/>
      <c r="WYA55" s="661"/>
      <c r="WYB55" s="556"/>
      <c r="WYC55" s="557"/>
      <c r="WYD55" s="557"/>
      <c r="WYE55" s="557"/>
      <c r="WYF55" s="557"/>
      <c r="WYG55" s="557"/>
      <c r="WYH55" s="557"/>
      <c r="WYI55" s="557"/>
      <c r="WYJ55" s="557"/>
      <c r="WYK55" s="557"/>
      <c r="WYL55" s="557"/>
      <c r="WYM55" s="557"/>
      <c r="WYN55" s="557"/>
      <c r="WYO55" s="557"/>
      <c r="WYP55" s="557"/>
      <c r="WYQ55" s="557"/>
      <c r="WYR55" s="557"/>
      <c r="WYS55" s="557"/>
      <c r="WYT55" s="557"/>
      <c r="WYU55" s="661"/>
      <c r="WYV55" s="556"/>
      <c r="WYW55" s="557"/>
      <c r="WYX55" s="557"/>
      <c r="WYY55" s="557"/>
      <c r="WYZ55" s="557"/>
      <c r="WZA55" s="557"/>
      <c r="WZB55" s="557"/>
      <c r="WZC55" s="557"/>
      <c r="WZD55" s="557"/>
      <c r="WZE55" s="557"/>
      <c r="WZF55" s="557"/>
      <c r="WZG55" s="557"/>
      <c r="WZH55" s="557"/>
      <c r="WZI55" s="557"/>
      <c r="WZJ55" s="557"/>
      <c r="WZK55" s="557"/>
      <c r="WZL55" s="557"/>
      <c r="WZM55" s="557"/>
      <c r="WZN55" s="557"/>
      <c r="WZO55" s="661"/>
      <c r="WZP55" s="556"/>
      <c r="WZQ55" s="557"/>
      <c r="WZR55" s="557"/>
      <c r="WZS55" s="557"/>
      <c r="WZT55" s="557"/>
      <c r="WZU55" s="557"/>
      <c r="WZV55" s="557"/>
      <c r="WZW55" s="557"/>
      <c r="WZX55" s="557"/>
      <c r="WZY55" s="557"/>
      <c r="WZZ55" s="557"/>
      <c r="XAA55" s="557"/>
      <c r="XAB55" s="557"/>
      <c r="XAC55" s="557"/>
      <c r="XAD55" s="557"/>
      <c r="XAE55" s="557"/>
      <c r="XAF55" s="557"/>
      <c r="XAG55" s="557"/>
      <c r="XAH55" s="557"/>
      <c r="XAI55" s="661"/>
      <c r="XAJ55" s="556"/>
      <c r="XAK55" s="557"/>
      <c r="XAL55" s="557"/>
      <c r="XAM55" s="557"/>
      <c r="XAN55" s="557"/>
      <c r="XAO55" s="557"/>
      <c r="XAP55" s="557"/>
      <c r="XAQ55" s="557"/>
      <c r="XAR55" s="557"/>
      <c r="XAS55" s="557"/>
      <c r="XAT55" s="557"/>
      <c r="XAU55" s="557"/>
      <c r="XAV55" s="557"/>
      <c r="XAW55" s="557"/>
      <c r="XAX55" s="557"/>
      <c r="XAY55" s="557"/>
      <c r="XAZ55" s="557"/>
      <c r="XBA55" s="557"/>
      <c r="XBB55" s="557"/>
      <c r="XBC55" s="661"/>
      <c r="XBD55" s="556"/>
      <c r="XBE55" s="557"/>
      <c r="XBF55" s="557"/>
      <c r="XBG55" s="557"/>
      <c r="XBH55" s="557"/>
      <c r="XBI55" s="557"/>
      <c r="XBJ55" s="557"/>
      <c r="XBK55" s="557"/>
      <c r="XBL55" s="557"/>
      <c r="XBM55" s="557"/>
      <c r="XBN55" s="557"/>
      <c r="XBO55" s="557"/>
      <c r="XBP55" s="557"/>
      <c r="XBQ55" s="557"/>
      <c r="XBR55" s="557"/>
      <c r="XBS55" s="557"/>
      <c r="XBT55" s="557"/>
      <c r="XBU55" s="557"/>
      <c r="XBV55" s="557"/>
      <c r="XBW55" s="661"/>
      <c r="XBX55" s="556"/>
      <c r="XBY55" s="557"/>
      <c r="XBZ55" s="557"/>
      <c r="XCA55" s="557"/>
      <c r="XCB55" s="557"/>
      <c r="XCC55" s="557"/>
      <c r="XCD55" s="557"/>
      <c r="XCE55" s="557"/>
      <c r="XCF55" s="557"/>
      <c r="XCG55" s="557"/>
      <c r="XCH55" s="557"/>
      <c r="XCI55" s="557"/>
      <c r="XCJ55" s="557"/>
      <c r="XCK55" s="557"/>
      <c r="XCL55" s="557"/>
      <c r="XCM55" s="557"/>
      <c r="XCN55" s="557"/>
      <c r="XCO55" s="557"/>
      <c r="XCP55" s="557"/>
      <c r="XCQ55" s="661"/>
      <c r="XCR55" s="556"/>
      <c r="XCS55" s="557"/>
      <c r="XCT55" s="557"/>
      <c r="XCU55" s="557"/>
      <c r="XCV55" s="557"/>
      <c r="XCW55" s="557"/>
      <c r="XCX55" s="557"/>
      <c r="XCY55" s="557"/>
      <c r="XCZ55" s="557"/>
      <c r="XDA55" s="557"/>
      <c r="XDB55" s="557"/>
      <c r="XDC55" s="557"/>
      <c r="XDD55" s="557"/>
      <c r="XDE55" s="557"/>
      <c r="XDF55" s="557"/>
      <c r="XDG55" s="557"/>
      <c r="XDH55" s="557"/>
      <c r="XDI55" s="557"/>
      <c r="XDJ55" s="557"/>
      <c r="XDK55" s="661"/>
      <c r="XDL55" s="556"/>
      <c r="XDM55" s="557"/>
      <c r="XDN55" s="557"/>
      <c r="XDO55" s="557"/>
      <c r="XDP55" s="557"/>
      <c r="XDQ55" s="557"/>
      <c r="XDR55" s="557"/>
      <c r="XDS55" s="557"/>
      <c r="XDT55" s="557"/>
      <c r="XDU55" s="557"/>
      <c r="XDV55" s="557"/>
      <c r="XDW55" s="557"/>
      <c r="XDX55" s="557"/>
      <c r="XDY55" s="557"/>
      <c r="XDZ55" s="557"/>
      <c r="XEA55" s="557"/>
      <c r="XEB55" s="557"/>
      <c r="XEC55" s="557"/>
      <c r="XED55" s="557"/>
      <c r="XEE55" s="661"/>
      <c r="XEF55" s="556"/>
      <c r="XEG55" s="557"/>
      <c r="XEH55" s="557"/>
      <c r="XEI55" s="557"/>
      <c r="XEJ55" s="557"/>
      <c r="XEK55" s="557"/>
      <c r="XEL55" s="557"/>
      <c r="XEM55" s="557"/>
      <c r="XEN55" s="557"/>
      <c r="XEO55" s="557"/>
      <c r="XEP55" s="557"/>
      <c r="XEQ55" s="557"/>
      <c r="XER55" s="557"/>
      <c r="XES55" s="557"/>
      <c r="XET55" s="557"/>
      <c r="XEU55" s="557"/>
      <c r="XEV55" s="557"/>
      <c r="XEW55" s="557"/>
      <c r="XEX55" s="557"/>
      <c r="XEY55" s="661"/>
      <c r="XEZ55" s="556"/>
      <c r="XFA55" s="556"/>
      <c r="XFB55" s="556"/>
      <c r="XFC55" s="556"/>
    </row>
    <row r="56" spans="1:16383" ht="18" customHeight="1" x14ac:dyDescent="0.2">
      <c r="A56" s="593">
        <v>8</v>
      </c>
      <c r="B56" s="585" t="s">
        <v>36</v>
      </c>
      <c r="C56" s="597" t="s">
        <v>1147</v>
      </c>
      <c r="D56" s="597" t="s">
        <v>1154</v>
      </c>
      <c r="E56" s="597" t="s">
        <v>36</v>
      </c>
      <c r="F56" s="597" t="s">
        <v>54</v>
      </c>
      <c r="G56" s="351" t="s">
        <v>1155</v>
      </c>
      <c r="H56" s="352">
        <v>75</v>
      </c>
      <c r="I56" s="353" t="s">
        <v>73</v>
      </c>
      <c r="J56" s="353">
        <v>9600</v>
      </c>
      <c r="K56" s="354">
        <v>1</v>
      </c>
      <c r="L56" s="353">
        <v>9600</v>
      </c>
      <c r="M56" s="353">
        <v>11232</v>
      </c>
      <c r="N56" s="360" t="s">
        <v>1111</v>
      </c>
      <c r="O56" s="560" t="s">
        <v>15</v>
      </c>
      <c r="P56" s="560" t="s">
        <v>1156</v>
      </c>
      <c r="Q56" s="330"/>
      <c r="R56" s="657">
        <v>11232</v>
      </c>
      <c r="S56" s="659" t="s">
        <v>18</v>
      </c>
    </row>
    <row r="57" spans="1:16383" ht="31.5" customHeight="1" x14ac:dyDescent="0.2">
      <c r="A57" s="594"/>
      <c r="B57" s="586"/>
      <c r="C57" s="598"/>
      <c r="D57" s="679"/>
      <c r="E57" s="679"/>
      <c r="F57" s="679"/>
      <c r="G57" s="329" t="s">
        <v>1157</v>
      </c>
      <c r="H57" s="332">
        <v>62</v>
      </c>
      <c r="I57" s="34" t="s">
        <v>73</v>
      </c>
      <c r="J57" s="34">
        <v>11560</v>
      </c>
      <c r="K57" s="329">
        <v>1</v>
      </c>
      <c r="L57" s="34">
        <v>11560</v>
      </c>
      <c r="M57" s="34">
        <v>13525.199999999999</v>
      </c>
      <c r="N57" s="329" t="s">
        <v>1143</v>
      </c>
      <c r="O57" s="561"/>
      <c r="P57" s="561"/>
      <c r="Q57" s="331"/>
      <c r="R57" s="673"/>
      <c r="S57" s="674"/>
    </row>
    <row r="58" spans="1:16383" ht="45" customHeight="1" x14ac:dyDescent="0.2">
      <c r="A58" s="595"/>
      <c r="B58" s="581"/>
      <c r="C58" s="582"/>
      <c r="D58" s="582"/>
      <c r="E58" s="582"/>
      <c r="F58" s="582"/>
      <c r="G58" s="582"/>
      <c r="H58" s="582"/>
      <c r="I58" s="582"/>
      <c r="J58" s="582"/>
      <c r="K58" s="582"/>
      <c r="L58" s="582"/>
      <c r="M58" s="582"/>
      <c r="N58" s="582"/>
      <c r="O58" s="582"/>
      <c r="P58" s="582"/>
      <c r="Q58" s="582"/>
      <c r="R58" s="582"/>
      <c r="S58" s="582"/>
    </row>
    <row r="59" spans="1:16383" ht="15.75" x14ac:dyDescent="0.2">
      <c r="A59" s="556" t="s">
        <v>1158</v>
      </c>
      <c r="B59" s="557"/>
      <c r="C59" s="557"/>
      <c r="D59" s="557"/>
      <c r="E59" s="557"/>
      <c r="F59" s="557"/>
      <c r="G59" s="557"/>
      <c r="H59" s="557"/>
      <c r="I59" s="557"/>
      <c r="J59" s="557"/>
      <c r="K59" s="557"/>
      <c r="L59" s="557"/>
      <c r="M59" s="557"/>
      <c r="N59" s="557"/>
      <c r="O59" s="557"/>
      <c r="P59" s="557"/>
      <c r="Q59" s="557"/>
      <c r="R59" s="557"/>
      <c r="S59" s="557"/>
      <c r="T59" s="556"/>
      <c r="U59" s="557"/>
      <c r="V59" s="557"/>
      <c r="W59" s="557"/>
      <c r="X59" s="557"/>
      <c r="Y59" s="557"/>
      <c r="Z59" s="557"/>
      <c r="AA59" s="557"/>
      <c r="AB59" s="557"/>
      <c r="AC59" s="557"/>
      <c r="AD59" s="557"/>
      <c r="AE59" s="557"/>
      <c r="AF59" s="557"/>
      <c r="AG59" s="557"/>
      <c r="AH59" s="557"/>
      <c r="AI59" s="557"/>
      <c r="AJ59" s="557"/>
      <c r="AK59" s="557"/>
      <c r="AL59" s="557"/>
      <c r="AM59" s="661"/>
      <c r="AN59" s="556"/>
      <c r="AO59" s="557"/>
      <c r="AP59" s="557"/>
      <c r="AQ59" s="557"/>
      <c r="AR59" s="557"/>
      <c r="AS59" s="557"/>
      <c r="AT59" s="557"/>
      <c r="AU59" s="557"/>
      <c r="AV59" s="557"/>
      <c r="AW59" s="557"/>
      <c r="AX59" s="557"/>
      <c r="AY59" s="557"/>
      <c r="AZ59" s="557"/>
      <c r="BA59" s="557"/>
      <c r="BB59" s="557"/>
      <c r="BC59" s="557"/>
      <c r="BD59" s="557"/>
      <c r="BE59" s="557"/>
      <c r="BF59" s="557"/>
      <c r="BG59" s="661"/>
      <c r="BH59" s="556"/>
      <c r="BI59" s="557"/>
      <c r="BJ59" s="557"/>
      <c r="BK59" s="557"/>
      <c r="BL59" s="557"/>
      <c r="BM59" s="557"/>
      <c r="BN59" s="557"/>
      <c r="BO59" s="557"/>
      <c r="BP59" s="557"/>
      <c r="BQ59" s="557"/>
      <c r="BR59" s="557"/>
      <c r="BS59" s="557"/>
      <c r="BT59" s="557"/>
      <c r="BU59" s="557"/>
      <c r="BV59" s="557"/>
      <c r="BW59" s="557"/>
      <c r="BX59" s="557"/>
      <c r="BY59" s="557"/>
      <c r="BZ59" s="557"/>
      <c r="CA59" s="661"/>
      <c r="CB59" s="556"/>
      <c r="CC59" s="557"/>
      <c r="CD59" s="557"/>
      <c r="CE59" s="557"/>
      <c r="CF59" s="557"/>
      <c r="CG59" s="557"/>
      <c r="CH59" s="557"/>
      <c r="CI59" s="557"/>
      <c r="CJ59" s="557"/>
      <c r="CK59" s="557"/>
      <c r="CL59" s="557"/>
      <c r="CM59" s="557"/>
      <c r="CN59" s="557"/>
      <c r="CO59" s="557"/>
      <c r="CP59" s="557"/>
      <c r="CQ59" s="557"/>
      <c r="CR59" s="557"/>
      <c r="CS59" s="557"/>
      <c r="CT59" s="557"/>
      <c r="CU59" s="661"/>
      <c r="CV59" s="556"/>
      <c r="CW59" s="557"/>
      <c r="CX59" s="557"/>
      <c r="CY59" s="557"/>
      <c r="CZ59" s="557"/>
      <c r="DA59" s="557"/>
      <c r="DB59" s="557"/>
      <c r="DC59" s="557"/>
      <c r="DD59" s="557"/>
      <c r="DE59" s="557"/>
      <c r="DF59" s="557"/>
      <c r="DG59" s="557"/>
      <c r="DH59" s="557"/>
      <c r="DI59" s="557"/>
      <c r="DJ59" s="557"/>
      <c r="DK59" s="557"/>
      <c r="DL59" s="557"/>
      <c r="DM59" s="557"/>
      <c r="DN59" s="557"/>
      <c r="DO59" s="661"/>
      <c r="DP59" s="556"/>
      <c r="DQ59" s="557"/>
      <c r="DR59" s="557"/>
      <c r="DS59" s="557"/>
      <c r="DT59" s="557"/>
      <c r="DU59" s="557"/>
      <c r="DV59" s="557"/>
      <c r="DW59" s="557"/>
      <c r="DX59" s="557"/>
      <c r="DY59" s="557"/>
      <c r="DZ59" s="557"/>
      <c r="EA59" s="557"/>
      <c r="EB59" s="557"/>
      <c r="EC59" s="557"/>
      <c r="ED59" s="557"/>
      <c r="EE59" s="557"/>
      <c r="EF59" s="557"/>
      <c r="EG59" s="557"/>
      <c r="EH59" s="557"/>
      <c r="EI59" s="661"/>
      <c r="EJ59" s="556"/>
      <c r="EK59" s="557"/>
      <c r="EL59" s="557"/>
      <c r="EM59" s="557"/>
      <c r="EN59" s="557"/>
      <c r="EO59" s="557"/>
      <c r="EP59" s="557"/>
      <c r="EQ59" s="557"/>
      <c r="ER59" s="557"/>
      <c r="ES59" s="557"/>
      <c r="ET59" s="557"/>
      <c r="EU59" s="557"/>
      <c r="EV59" s="557"/>
      <c r="EW59" s="557"/>
      <c r="EX59" s="557"/>
      <c r="EY59" s="557"/>
      <c r="EZ59" s="557"/>
      <c r="FA59" s="557"/>
      <c r="FB59" s="557"/>
      <c r="FC59" s="661"/>
      <c r="FD59" s="556"/>
      <c r="FE59" s="557"/>
      <c r="FF59" s="557"/>
      <c r="FG59" s="557"/>
      <c r="FH59" s="557"/>
      <c r="FI59" s="557"/>
      <c r="FJ59" s="557"/>
      <c r="FK59" s="557"/>
      <c r="FL59" s="557"/>
      <c r="FM59" s="557"/>
      <c r="FN59" s="557"/>
      <c r="FO59" s="557"/>
      <c r="FP59" s="557"/>
      <c r="FQ59" s="557"/>
      <c r="FR59" s="557"/>
      <c r="FS59" s="557"/>
      <c r="FT59" s="557"/>
      <c r="FU59" s="557"/>
      <c r="FV59" s="557"/>
      <c r="FW59" s="661"/>
      <c r="FX59" s="556"/>
      <c r="FY59" s="557"/>
      <c r="FZ59" s="557"/>
      <c r="GA59" s="557"/>
      <c r="GB59" s="557"/>
      <c r="GC59" s="557"/>
      <c r="GD59" s="557"/>
      <c r="GE59" s="557"/>
      <c r="GF59" s="557"/>
      <c r="GG59" s="557"/>
      <c r="GH59" s="557"/>
      <c r="GI59" s="557"/>
      <c r="GJ59" s="557"/>
      <c r="GK59" s="557"/>
      <c r="GL59" s="557"/>
      <c r="GM59" s="557"/>
      <c r="GN59" s="557"/>
      <c r="GO59" s="557"/>
      <c r="GP59" s="557"/>
      <c r="GQ59" s="661"/>
      <c r="GR59" s="556"/>
      <c r="GS59" s="557"/>
      <c r="GT59" s="557"/>
      <c r="GU59" s="557"/>
      <c r="GV59" s="557"/>
      <c r="GW59" s="557"/>
      <c r="GX59" s="557"/>
      <c r="GY59" s="557"/>
      <c r="GZ59" s="557"/>
      <c r="HA59" s="557"/>
      <c r="HB59" s="557"/>
      <c r="HC59" s="557"/>
      <c r="HD59" s="557"/>
      <c r="HE59" s="557"/>
      <c r="HF59" s="557"/>
      <c r="HG59" s="557"/>
      <c r="HH59" s="557"/>
      <c r="HI59" s="557"/>
      <c r="HJ59" s="557"/>
      <c r="HK59" s="661"/>
      <c r="HL59" s="556"/>
      <c r="HM59" s="557"/>
      <c r="HN59" s="557"/>
      <c r="HO59" s="557"/>
      <c r="HP59" s="557"/>
      <c r="HQ59" s="557"/>
      <c r="HR59" s="557"/>
      <c r="HS59" s="557"/>
      <c r="HT59" s="557"/>
      <c r="HU59" s="557"/>
      <c r="HV59" s="557"/>
      <c r="HW59" s="557"/>
      <c r="HX59" s="557"/>
      <c r="HY59" s="557"/>
      <c r="HZ59" s="557"/>
      <c r="IA59" s="557"/>
      <c r="IB59" s="557"/>
      <c r="IC59" s="557"/>
      <c r="ID59" s="557"/>
      <c r="IE59" s="661"/>
      <c r="IF59" s="556"/>
      <c r="IG59" s="557"/>
      <c r="IH59" s="557"/>
      <c r="II59" s="557"/>
      <c r="IJ59" s="557"/>
      <c r="IK59" s="557"/>
      <c r="IL59" s="557"/>
      <c r="IM59" s="557"/>
      <c r="IN59" s="557"/>
      <c r="IO59" s="557"/>
      <c r="IP59" s="557"/>
      <c r="IQ59" s="557"/>
      <c r="IR59" s="557"/>
      <c r="IS59" s="557"/>
      <c r="IT59" s="557"/>
      <c r="IU59" s="557"/>
      <c r="IV59" s="557"/>
      <c r="IW59" s="557"/>
      <c r="IX59" s="557"/>
      <c r="IY59" s="661"/>
      <c r="IZ59" s="556"/>
      <c r="JA59" s="557"/>
      <c r="JB59" s="557"/>
      <c r="JC59" s="557"/>
      <c r="JD59" s="557"/>
      <c r="JE59" s="557"/>
      <c r="JF59" s="557"/>
      <c r="JG59" s="557"/>
      <c r="JH59" s="557"/>
      <c r="JI59" s="557"/>
      <c r="JJ59" s="557"/>
      <c r="JK59" s="557"/>
      <c r="JL59" s="557"/>
      <c r="JM59" s="557"/>
      <c r="JN59" s="557"/>
      <c r="JO59" s="557"/>
      <c r="JP59" s="557"/>
      <c r="JQ59" s="557"/>
      <c r="JR59" s="557"/>
      <c r="JS59" s="661"/>
      <c r="JT59" s="556"/>
      <c r="JU59" s="557"/>
      <c r="JV59" s="557"/>
      <c r="JW59" s="557"/>
      <c r="JX59" s="557"/>
      <c r="JY59" s="557"/>
      <c r="JZ59" s="557"/>
      <c r="KA59" s="557"/>
      <c r="KB59" s="557"/>
      <c r="KC59" s="557"/>
      <c r="KD59" s="557"/>
      <c r="KE59" s="557"/>
      <c r="KF59" s="557"/>
      <c r="KG59" s="557"/>
      <c r="KH59" s="557"/>
      <c r="KI59" s="557"/>
      <c r="KJ59" s="557"/>
      <c r="KK59" s="557"/>
      <c r="KL59" s="557"/>
      <c r="KM59" s="661"/>
      <c r="KN59" s="556"/>
      <c r="KO59" s="557"/>
      <c r="KP59" s="557"/>
      <c r="KQ59" s="557"/>
      <c r="KR59" s="557"/>
      <c r="KS59" s="557"/>
      <c r="KT59" s="557"/>
      <c r="KU59" s="557"/>
      <c r="KV59" s="557"/>
      <c r="KW59" s="557"/>
      <c r="KX59" s="557"/>
      <c r="KY59" s="557"/>
      <c r="KZ59" s="557"/>
      <c r="LA59" s="557"/>
      <c r="LB59" s="557"/>
      <c r="LC59" s="557"/>
      <c r="LD59" s="557"/>
      <c r="LE59" s="557"/>
      <c r="LF59" s="557"/>
      <c r="LG59" s="661"/>
      <c r="LH59" s="556"/>
      <c r="LI59" s="557"/>
      <c r="LJ59" s="557"/>
      <c r="LK59" s="557"/>
      <c r="LL59" s="557"/>
      <c r="LM59" s="557"/>
      <c r="LN59" s="557"/>
      <c r="LO59" s="557"/>
      <c r="LP59" s="557"/>
      <c r="LQ59" s="557"/>
      <c r="LR59" s="557"/>
      <c r="LS59" s="557"/>
      <c r="LT59" s="557"/>
      <c r="LU59" s="557"/>
      <c r="LV59" s="557"/>
      <c r="LW59" s="557"/>
      <c r="LX59" s="557"/>
      <c r="LY59" s="557"/>
      <c r="LZ59" s="557"/>
      <c r="MA59" s="661"/>
      <c r="MB59" s="556"/>
      <c r="MC59" s="557"/>
      <c r="MD59" s="557"/>
      <c r="ME59" s="557"/>
      <c r="MF59" s="557"/>
      <c r="MG59" s="557"/>
      <c r="MH59" s="557"/>
      <c r="MI59" s="557"/>
      <c r="MJ59" s="557"/>
      <c r="MK59" s="557"/>
      <c r="ML59" s="557"/>
      <c r="MM59" s="557"/>
      <c r="MN59" s="557"/>
      <c r="MO59" s="557"/>
      <c r="MP59" s="557"/>
      <c r="MQ59" s="557"/>
      <c r="MR59" s="557"/>
      <c r="MS59" s="557"/>
      <c r="MT59" s="557"/>
      <c r="MU59" s="661"/>
      <c r="MV59" s="556"/>
      <c r="MW59" s="557"/>
      <c r="MX59" s="557"/>
      <c r="MY59" s="557"/>
      <c r="MZ59" s="557"/>
      <c r="NA59" s="557"/>
      <c r="NB59" s="557"/>
      <c r="NC59" s="557"/>
      <c r="ND59" s="557"/>
      <c r="NE59" s="557"/>
      <c r="NF59" s="557"/>
      <c r="NG59" s="557"/>
      <c r="NH59" s="557"/>
      <c r="NI59" s="557"/>
      <c r="NJ59" s="557"/>
      <c r="NK59" s="557"/>
      <c r="NL59" s="557"/>
      <c r="NM59" s="557"/>
      <c r="NN59" s="557"/>
      <c r="NO59" s="661"/>
      <c r="NP59" s="556"/>
      <c r="NQ59" s="557"/>
      <c r="NR59" s="557"/>
      <c r="NS59" s="557"/>
      <c r="NT59" s="557"/>
      <c r="NU59" s="557"/>
      <c r="NV59" s="557"/>
      <c r="NW59" s="557"/>
      <c r="NX59" s="557"/>
      <c r="NY59" s="557"/>
      <c r="NZ59" s="557"/>
      <c r="OA59" s="557"/>
      <c r="OB59" s="557"/>
      <c r="OC59" s="557"/>
      <c r="OD59" s="557"/>
      <c r="OE59" s="557"/>
      <c r="OF59" s="557"/>
      <c r="OG59" s="557"/>
      <c r="OH59" s="557"/>
      <c r="OI59" s="661"/>
      <c r="OJ59" s="556"/>
      <c r="OK59" s="557"/>
      <c r="OL59" s="557"/>
      <c r="OM59" s="557"/>
      <c r="ON59" s="557"/>
      <c r="OO59" s="557"/>
      <c r="OP59" s="557"/>
      <c r="OQ59" s="557"/>
      <c r="OR59" s="557"/>
      <c r="OS59" s="557"/>
      <c r="OT59" s="557"/>
      <c r="OU59" s="557"/>
      <c r="OV59" s="557"/>
      <c r="OW59" s="557"/>
      <c r="OX59" s="557"/>
      <c r="OY59" s="557"/>
      <c r="OZ59" s="557"/>
      <c r="PA59" s="557"/>
      <c r="PB59" s="557"/>
      <c r="PC59" s="661"/>
      <c r="PD59" s="556"/>
      <c r="PE59" s="557"/>
      <c r="PF59" s="557"/>
      <c r="PG59" s="557"/>
      <c r="PH59" s="557"/>
      <c r="PI59" s="557"/>
      <c r="PJ59" s="557"/>
      <c r="PK59" s="557"/>
      <c r="PL59" s="557"/>
      <c r="PM59" s="557"/>
      <c r="PN59" s="557"/>
      <c r="PO59" s="557"/>
      <c r="PP59" s="557"/>
      <c r="PQ59" s="557"/>
      <c r="PR59" s="557"/>
      <c r="PS59" s="557"/>
      <c r="PT59" s="557"/>
      <c r="PU59" s="557"/>
      <c r="PV59" s="557"/>
      <c r="PW59" s="661"/>
      <c r="PX59" s="556"/>
      <c r="PY59" s="557"/>
      <c r="PZ59" s="557"/>
      <c r="QA59" s="557"/>
      <c r="QB59" s="557"/>
      <c r="QC59" s="557"/>
      <c r="QD59" s="557"/>
      <c r="QE59" s="557"/>
      <c r="QF59" s="557"/>
      <c r="QG59" s="557"/>
      <c r="QH59" s="557"/>
      <c r="QI59" s="557"/>
      <c r="QJ59" s="557"/>
      <c r="QK59" s="557"/>
      <c r="QL59" s="557"/>
      <c r="QM59" s="557"/>
      <c r="QN59" s="557"/>
      <c r="QO59" s="557"/>
      <c r="QP59" s="557"/>
      <c r="QQ59" s="661"/>
      <c r="QR59" s="556"/>
      <c r="QS59" s="557"/>
      <c r="QT59" s="557"/>
      <c r="QU59" s="557"/>
      <c r="QV59" s="557"/>
      <c r="QW59" s="557"/>
      <c r="QX59" s="557"/>
      <c r="QY59" s="557"/>
      <c r="QZ59" s="557"/>
      <c r="RA59" s="557"/>
      <c r="RB59" s="557"/>
      <c r="RC59" s="557"/>
      <c r="RD59" s="557"/>
      <c r="RE59" s="557"/>
      <c r="RF59" s="557"/>
      <c r="RG59" s="557"/>
      <c r="RH59" s="557"/>
      <c r="RI59" s="557"/>
      <c r="RJ59" s="557"/>
      <c r="RK59" s="661"/>
      <c r="RL59" s="556"/>
      <c r="RM59" s="557"/>
      <c r="RN59" s="557"/>
      <c r="RO59" s="557"/>
      <c r="RP59" s="557"/>
      <c r="RQ59" s="557"/>
      <c r="RR59" s="557"/>
      <c r="RS59" s="557"/>
      <c r="RT59" s="557"/>
      <c r="RU59" s="557"/>
      <c r="RV59" s="557"/>
      <c r="RW59" s="557"/>
      <c r="RX59" s="557"/>
      <c r="RY59" s="557"/>
      <c r="RZ59" s="557"/>
      <c r="SA59" s="557"/>
      <c r="SB59" s="557"/>
      <c r="SC59" s="557"/>
      <c r="SD59" s="557"/>
      <c r="SE59" s="661"/>
      <c r="SF59" s="556"/>
      <c r="SG59" s="557"/>
      <c r="SH59" s="557"/>
      <c r="SI59" s="557"/>
      <c r="SJ59" s="557"/>
      <c r="SK59" s="557"/>
      <c r="SL59" s="557"/>
      <c r="SM59" s="557"/>
      <c r="SN59" s="557"/>
      <c r="SO59" s="557"/>
      <c r="SP59" s="557"/>
      <c r="SQ59" s="557"/>
      <c r="SR59" s="557"/>
      <c r="SS59" s="557"/>
      <c r="ST59" s="557"/>
      <c r="SU59" s="557"/>
      <c r="SV59" s="557"/>
      <c r="SW59" s="557"/>
      <c r="SX59" s="557"/>
      <c r="SY59" s="661"/>
      <c r="SZ59" s="556"/>
      <c r="TA59" s="557"/>
      <c r="TB59" s="557"/>
      <c r="TC59" s="557"/>
      <c r="TD59" s="557"/>
      <c r="TE59" s="557"/>
      <c r="TF59" s="557"/>
      <c r="TG59" s="557"/>
      <c r="TH59" s="557"/>
      <c r="TI59" s="557"/>
      <c r="TJ59" s="557"/>
      <c r="TK59" s="557"/>
      <c r="TL59" s="557"/>
      <c r="TM59" s="557"/>
      <c r="TN59" s="557"/>
      <c r="TO59" s="557"/>
      <c r="TP59" s="557"/>
      <c r="TQ59" s="557"/>
      <c r="TR59" s="557"/>
      <c r="TS59" s="661"/>
      <c r="TT59" s="556"/>
      <c r="TU59" s="557"/>
      <c r="TV59" s="557"/>
      <c r="TW59" s="557"/>
      <c r="TX59" s="557"/>
      <c r="TY59" s="557"/>
      <c r="TZ59" s="557"/>
      <c r="UA59" s="557"/>
      <c r="UB59" s="557"/>
      <c r="UC59" s="557"/>
      <c r="UD59" s="557"/>
      <c r="UE59" s="557"/>
      <c r="UF59" s="557"/>
      <c r="UG59" s="557"/>
      <c r="UH59" s="557"/>
      <c r="UI59" s="557"/>
      <c r="UJ59" s="557"/>
      <c r="UK59" s="557"/>
      <c r="UL59" s="557"/>
      <c r="UM59" s="661"/>
      <c r="UN59" s="556"/>
      <c r="UO59" s="557"/>
      <c r="UP59" s="557"/>
      <c r="UQ59" s="557"/>
      <c r="UR59" s="557"/>
      <c r="US59" s="557"/>
      <c r="UT59" s="557"/>
      <c r="UU59" s="557"/>
      <c r="UV59" s="557"/>
      <c r="UW59" s="557"/>
      <c r="UX59" s="557"/>
      <c r="UY59" s="557"/>
      <c r="UZ59" s="557"/>
      <c r="VA59" s="557"/>
      <c r="VB59" s="557"/>
      <c r="VC59" s="557"/>
      <c r="VD59" s="557"/>
      <c r="VE59" s="557"/>
      <c r="VF59" s="557"/>
      <c r="VG59" s="661"/>
      <c r="VH59" s="556"/>
      <c r="VI59" s="557"/>
      <c r="VJ59" s="557"/>
      <c r="VK59" s="557"/>
      <c r="VL59" s="557"/>
      <c r="VM59" s="557"/>
      <c r="VN59" s="557"/>
      <c r="VO59" s="557"/>
      <c r="VP59" s="557"/>
      <c r="VQ59" s="557"/>
      <c r="VR59" s="557"/>
      <c r="VS59" s="557"/>
      <c r="VT59" s="557"/>
      <c r="VU59" s="557"/>
      <c r="VV59" s="557"/>
      <c r="VW59" s="557"/>
      <c r="VX59" s="557"/>
      <c r="VY59" s="557"/>
      <c r="VZ59" s="557"/>
      <c r="WA59" s="661"/>
      <c r="WB59" s="556"/>
      <c r="WC59" s="557"/>
      <c r="WD59" s="557"/>
      <c r="WE59" s="557"/>
      <c r="WF59" s="557"/>
      <c r="WG59" s="557"/>
      <c r="WH59" s="557"/>
      <c r="WI59" s="557"/>
      <c r="WJ59" s="557"/>
      <c r="WK59" s="557"/>
      <c r="WL59" s="557"/>
      <c r="WM59" s="557"/>
      <c r="WN59" s="557"/>
      <c r="WO59" s="557"/>
      <c r="WP59" s="557"/>
      <c r="WQ59" s="557"/>
      <c r="WR59" s="557"/>
      <c r="WS59" s="557"/>
      <c r="WT59" s="557"/>
      <c r="WU59" s="661"/>
      <c r="WV59" s="556"/>
      <c r="WW59" s="557"/>
      <c r="WX59" s="557"/>
      <c r="WY59" s="557"/>
      <c r="WZ59" s="557"/>
      <c r="XA59" s="557"/>
      <c r="XB59" s="557"/>
      <c r="XC59" s="557"/>
      <c r="XD59" s="557"/>
      <c r="XE59" s="557"/>
      <c r="XF59" s="557"/>
      <c r="XG59" s="557"/>
      <c r="XH59" s="557"/>
      <c r="XI59" s="557"/>
      <c r="XJ59" s="557"/>
      <c r="XK59" s="557"/>
      <c r="XL59" s="557"/>
      <c r="XM59" s="557"/>
      <c r="XN59" s="557"/>
      <c r="XO59" s="661"/>
      <c r="XP59" s="556"/>
      <c r="XQ59" s="557"/>
      <c r="XR59" s="557"/>
      <c r="XS59" s="557"/>
      <c r="XT59" s="557"/>
      <c r="XU59" s="557"/>
      <c r="XV59" s="557"/>
      <c r="XW59" s="557"/>
      <c r="XX59" s="557"/>
      <c r="XY59" s="557"/>
      <c r="XZ59" s="557"/>
      <c r="YA59" s="557"/>
      <c r="YB59" s="557"/>
      <c r="YC59" s="557"/>
      <c r="YD59" s="557"/>
      <c r="YE59" s="557"/>
      <c r="YF59" s="557"/>
      <c r="YG59" s="557"/>
      <c r="YH59" s="557"/>
      <c r="YI59" s="661"/>
      <c r="YJ59" s="556"/>
      <c r="YK59" s="557"/>
      <c r="YL59" s="557"/>
      <c r="YM59" s="557"/>
      <c r="YN59" s="557"/>
      <c r="YO59" s="557"/>
      <c r="YP59" s="557"/>
      <c r="YQ59" s="557"/>
      <c r="YR59" s="557"/>
      <c r="YS59" s="557"/>
      <c r="YT59" s="557"/>
      <c r="YU59" s="557"/>
      <c r="YV59" s="557"/>
      <c r="YW59" s="557"/>
      <c r="YX59" s="557"/>
      <c r="YY59" s="557"/>
      <c r="YZ59" s="557"/>
      <c r="ZA59" s="557"/>
      <c r="ZB59" s="557"/>
      <c r="ZC59" s="661"/>
      <c r="ZD59" s="556"/>
      <c r="ZE59" s="557"/>
      <c r="ZF59" s="557"/>
      <c r="ZG59" s="557"/>
      <c r="ZH59" s="557"/>
      <c r="ZI59" s="557"/>
      <c r="ZJ59" s="557"/>
      <c r="ZK59" s="557"/>
      <c r="ZL59" s="557"/>
      <c r="ZM59" s="557"/>
      <c r="ZN59" s="557"/>
      <c r="ZO59" s="557"/>
      <c r="ZP59" s="557"/>
      <c r="ZQ59" s="557"/>
      <c r="ZR59" s="557"/>
      <c r="ZS59" s="557"/>
      <c r="ZT59" s="557"/>
      <c r="ZU59" s="557"/>
      <c r="ZV59" s="557"/>
      <c r="ZW59" s="661"/>
      <c r="ZX59" s="556"/>
      <c r="ZY59" s="557"/>
      <c r="ZZ59" s="557"/>
      <c r="AAA59" s="557"/>
      <c r="AAB59" s="557"/>
      <c r="AAC59" s="557"/>
      <c r="AAD59" s="557"/>
      <c r="AAE59" s="557"/>
      <c r="AAF59" s="557"/>
      <c r="AAG59" s="557"/>
      <c r="AAH59" s="557"/>
      <c r="AAI59" s="557"/>
      <c r="AAJ59" s="557"/>
      <c r="AAK59" s="557"/>
      <c r="AAL59" s="557"/>
      <c r="AAM59" s="557"/>
      <c r="AAN59" s="557"/>
      <c r="AAO59" s="557"/>
      <c r="AAP59" s="557"/>
      <c r="AAQ59" s="661"/>
      <c r="AAR59" s="556"/>
      <c r="AAS59" s="557"/>
      <c r="AAT59" s="557"/>
      <c r="AAU59" s="557"/>
      <c r="AAV59" s="557"/>
      <c r="AAW59" s="557"/>
      <c r="AAX59" s="557"/>
      <c r="AAY59" s="557"/>
      <c r="AAZ59" s="557"/>
      <c r="ABA59" s="557"/>
      <c r="ABB59" s="557"/>
      <c r="ABC59" s="557"/>
      <c r="ABD59" s="557"/>
      <c r="ABE59" s="557"/>
      <c r="ABF59" s="557"/>
      <c r="ABG59" s="557"/>
      <c r="ABH59" s="557"/>
      <c r="ABI59" s="557"/>
      <c r="ABJ59" s="557"/>
      <c r="ABK59" s="661"/>
      <c r="ABL59" s="556"/>
      <c r="ABM59" s="557"/>
      <c r="ABN59" s="557"/>
      <c r="ABO59" s="557"/>
      <c r="ABP59" s="557"/>
      <c r="ABQ59" s="557"/>
      <c r="ABR59" s="557"/>
      <c r="ABS59" s="557"/>
      <c r="ABT59" s="557"/>
      <c r="ABU59" s="557"/>
      <c r="ABV59" s="557"/>
      <c r="ABW59" s="557"/>
      <c r="ABX59" s="557"/>
      <c r="ABY59" s="557"/>
      <c r="ABZ59" s="557"/>
      <c r="ACA59" s="557"/>
      <c r="ACB59" s="557"/>
      <c r="ACC59" s="557"/>
      <c r="ACD59" s="557"/>
      <c r="ACE59" s="661"/>
      <c r="ACF59" s="556"/>
      <c r="ACG59" s="557"/>
      <c r="ACH59" s="557"/>
      <c r="ACI59" s="557"/>
      <c r="ACJ59" s="557"/>
      <c r="ACK59" s="557"/>
      <c r="ACL59" s="557"/>
      <c r="ACM59" s="557"/>
      <c r="ACN59" s="557"/>
      <c r="ACO59" s="557"/>
      <c r="ACP59" s="557"/>
      <c r="ACQ59" s="557"/>
      <c r="ACR59" s="557"/>
      <c r="ACS59" s="557"/>
      <c r="ACT59" s="557"/>
      <c r="ACU59" s="557"/>
      <c r="ACV59" s="557"/>
      <c r="ACW59" s="557"/>
      <c r="ACX59" s="557"/>
      <c r="ACY59" s="661"/>
      <c r="ACZ59" s="556"/>
      <c r="ADA59" s="557"/>
      <c r="ADB59" s="557"/>
      <c r="ADC59" s="557"/>
      <c r="ADD59" s="557"/>
      <c r="ADE59" s="557"/>
      <c r="ADF59" s="557"/>
      <c r="ADG59" s="557"/>
      <c r="ADH59" s="557"/>
      <c r="ADI59" s="557"/>
      <c r="ADJ59" s="557"/>
      <c r="ADK59" s="557"/>
      <c r="ADL59" s="557"/>
      <c r="ADM59" s="557"/>
      <c r="ADN59" s="557"/>
      <c r="ADO59" s="557"/>
      <c r="ADP59" s="557"/>
      <c r="ADQ59" s="557"/>
      <c r="ADR59" s="557"/>
      <c r="ADS59" s="661"/>
      <c r="ADT59" s="556"/>
      <c r="ADU59" s="557"/>
      <c r="ADV59" s="557"/>
      <c r="ADW59" s="557"/>
      <c r="ADX59" s="557"/>
      <c r="ADY59" s="557"/>
      <c r="ADZ59" s="557"/>
      <c r="AEA59" s="557"/>
      <c r="AEB59" s="557"/>
      <c r="AEC59" s="557"/>
      <c r="AED59" s="557"/>
      <c r="AEE59" s="557"/>
      <c r="AEF59" s="557"/>
      <c r="AEG59" s="557"/>
      <c r="AEH59" s="557"/>
      <c r="AEI59" s="557"/>
      <c r="AEJ59" s="557"/>
      <c r="AEK59" s="557"/>
      <c r="AEL59" s="557"/>
      <c r="AEM59" s="661"/>
      <c r="AEN59" s="556"/>
      <c r="AEO59" s="557"/>
      <c r="AEP59" s="557"/>
      <c r="AEQ59" s="557"/>
      <c r="AER59" s="557"/>
      <c r="AES59" s="557"/>
      <c r="AET59" s="557"/>
      <c r="AEU59" s="557"/>
      <c r="AEV59" s="557"/>
      <c r="AEW59" s="557"/>
      <c r="AEX59" s="557"/>
      <c r="AEY59" s="557"/>
      <c r="AEZ59" s="557"/>
      <c r="AFA59" s="557"/>
      <c r="AFB59" s="557"/>
      <c r="AFC59" s="557"/>
      <c r="AFD59" s="557"/>
      <c r="AFE59" s="557"/>
      <c r="AFF59" s="557"/>
      <c r="AFG59" s="661"/>
      <c r="AFH59" s="556"/>
      <c r="AFI59" s="557"/>
      <c r="AFJ59" s="557"/>
      <c r="AFK59" s="557"/>
      <c r="AFL59" s="557"/>
      <c r="AFM59" s="557"/>
      <c r="AFN59" s="557"/>
      <c r="AFO59" s="557"/>
      <c r="AFP59" s="557"/>
      <c r="AFQ59" s="557"/>
      <c r="AFR59" s="557"/>
      <c r="AFS59" s="557"/>
      <c r="AFT59" s="557"/>
      <c r="AFU59" s="557"/>
      <c r="AFV59" s="557"/>
      <c r="AFW59" s="557"/>
      <c r="AFX59" s="557"/>
      <c r="AFY59" s="557"/>
      <c r="AFZ59" s="557"/>
      <c r="AGA59" s="661"/>
      <c r="AGB59" s="556"/>
      <c r="AGC59" s="557"/>
      <c r="AGD59" s="557"/>
      <c r="AGE59" s="557"/>
      <c r="AGF59" s="557"/>
      <c r="AGG59" s="557"/>
      <c r="AGH59" s="557"/>
      <c r="AGI59" s="557"/>
      <c r="AGJ59" s="557"/>
      <c r="AGK59" s="557"/>
      <c r="AGL59" s="557"/>
      <c r="AGM59" s="557"/>
      <c r="AGN59" s="557"/>
      <c r="AGO59" s="557"/>
      <c r="AGP59" s="557"/>
      <c r="AGQ59" s="557"/>
      <c r="AGR59" s="557"/>
      <c r="AGS59" s="557"/>
      <c r="AGT59" s="557"/>
      <c r="AGU59" s="661"/>
      <c r="AGV59" s="556"/>
      <c r="AGW59" s="557"/>
      <c r="AGX59" s="557"/>
      <c r="AGY59" s="557"/>
      <c r="AGZ59" s="557"/>
      <c r="AHA59" s="557"/>
      <c r="AHB59" s="557"/>
      <c r="AHC59" s="557"/>
      <c r="AHD59" s="557"/>
      <c r="AHE59" s="557"/>
      <c r="AHF59" s="557"/>
      <c r="AHG59" s="557"/>
      <c r="AHH59" s="557"/>
      <c r="AHI59" s="557"/>
      <c r="AHJ59" s="557"/>
      <c r="AHK59" s="557"/>
      <c r="AHL59" s="557"/>
      <c r="AHM59" s="557"/>
      <c r="AHN59" s="557"/>
      <c r="AHO59" s="661"/>
      <c r="AHP59" s="556"/>
      <c r="AHQ59" s="557"/>
      <c r="AHR59" s="557"/>
      <c r="AHS59" s="557"/>
      <c r="AHT59" s="557"/>
      <c r="AHU59" s="557"/>
      <c r="AHV59" s="557"/>
      <c r="AHW59" s="557"/>
      <c r="AHX59" s="557"/>
      <c r="AHY59" s="557"/>
      <c r="AHZ59" s="557"/>
      <c r="AIA59" s="557"/>
      <c r="AIB59" s="557"/>
      <c r="AIC59" s="557"/>
      <c r="AID59" s="557"/>
      <c r="AIE59" s="557"/>
      <c r="AIF59" s="557"/>
      <c r="AIG59" s="557"/>
      <c r="AIH59" s="557"/>
      <c r="AII59" s="661"/>
      <c r="AIJ59" s="556"/>
      <c r="AIK59" s="557"/>
      <c r="AIL59" s="557"/>
      <c r="AIM59" s="557"/>
      <c r="AIN59" s="557"/>
      <c r="AIO59" s="557"/>
      <c r="AIP59" s="557"/>
      <c r="AIQ59" s="557"/>
      <c r="AIR59" s="557"/>
      <c r="AIS59" s="557"/>
      <c r="AIT59" s="557"/>
      <c r="AIU59" s="557"/>
      <c r="AIV59" s="557"/>
      <c r="AIW59" s="557"/>
      <c r="AIX59" s="557"/>
      <c r="AIY59" s="557"/>
      <c r="AIZ59" s="557"/>
      <c r="AJA59" s="557"/>
      <c r="AJB59" s="557"/>
      <c r="AJC59" s="661"/>
      <c r="AJD59" s="556"/>
      <c r="AJE59" s="557"/>
      <c r="AJF59" s="557"/>
      <c r="AJG59" s="557"/>
      <c r="AJH59" s="557"/>
      <c r="AJI59" s="557"/>
      <c r="AJJ59" s="557"/>
      <c r="AJK59" s="557"/>
      <c r="AJL59" s="557"/>
      <c r="AJM59" s="557"/>
      <c r="AJN59" s="557"/>
      <c r="AJO59" s="557"/>
      <c r="AJP59" s="557"/>
      <c r="AJQ59" s="557"/>
      <c r="AJR59" s="557"/>
      <c r="AJS59" s="557"/>
      <c r="AJT59" s="557"/>
      <c r="AJU59" s="557"/>
      <c r="AJV59" s="557"/>
      <c r="AJW59" s="661"/>
      <c r="AJX59" s="556"/>
      <c r="AJY59" s="557"/>
      <c r="AJZ59" s="557"/>
      <c r="AKA59" s="557"/>
      <c r="AKB59" s="557"/>
      <c r="AKC59" s="557"/>
      <c r="AKD59" s="557"/>
      <c r="AKE59" s="557"/>
      <c r="AKF59" s="557"/>
      <c r="AKG59" s="557"/>
      <c r="AKH59" s="557"/>
      <c r="AKI59" s="557"/>
      <c r="AKJ59" s="557"/>
      <c r="AKK59" s="557"/>
      <c r="AKL59" s="557"/>
      <c r="AKM59" s="557"/>
      <c r="AKN59" s="557"/>
      <c r="AKO59" s="557"/>
      <c r="AKP59" s="557"/>
      <c r="AKQ59" s="661"/>
      <c r="AKR59" s="556"/>
      <c r="AKS59" s="557"/>
      <c r="AKT59" s="557"/>
      <c r="AKU59" s="557"/>
      <c r="AKV59" s="557"/>
      <c r="AKW59" s="557"/>
      <c r="AKX59" s="557"/>
      <c r="AKY59" s="557"/>
      <c r="AKZ59" s="557"/>
      <c r="ALA59" s="557"/>
      <c r="ALB59" s="557"/>
      <c r="ALC59" s="557"/>
      <c r="ALD59" s="557"/>
      <c r="ALE59" s="557"/>
      <c r="ALF59" s="557"/>
      <c r="ALG59" s="557"/>
      <c r="ALH59" s="557"/>
      <c r="ALI59" s="557"/>
      <c r="ALJ59" s="557"/>
      <c r="ALK59" s="661"/>
      <c r="ALL59" s="556"/>
      <c r="ALM59" s="557"/>
      <c r="ALN59" s="557"/>
      <c r="ALO59" s="557"/>
      <c r="ALP59" s="557"/>
      <c r="ALQ59" s="557"/>
      <c r="ALR59" s="557"/>
      <c r="ALS59" s="557"/>
      <c r="ALT59" s="557"/>
      <c r="ALU59" s="557"/>
      <c r="ALV59" s="557"/>
      <c r="ALW59" s="557"/>
      <c r="ALX59" s="557"/>
      <c r="ALY59" s="557"/>
      <c r="ALZ59" s="557"/>
      <c r="AMA59" s="557"/>
      <c r="AMB59" s="557"/>
      <c r="AMC59" s="557"/>
      <c r="AMD59" s="557"/>
      <c r="AME59" s="661"/>
      <c r="AMF59" s="556"/>
      <c r="AMG59" s="557"/>
      <c r="AMH59" s="557"/>
      <c r="AMI59" s="557"/>
      <c r="AMJ59" s="557"/>
      <c r="AMK59" s="557"/>
      <c r="AML59" s="557"/>
      <c r="AMM59" s="557"/>
      <c r="AMN59" s="557"/>
      <c r="AMO59" s="557"/>
      <c r="AMP59" s="557"/>
      <c r="AMQ59" s="557"/>
      <c r="AMR59" s="557"/>
      <c r="AMS59" s="557"/>
      <c r="AMT59" s="557"/>
      <c r="AMU59" s="557"/>
      <c r="AMV59" s="557"/>
      <c r="AMW59" s="557"/>
      <c r="AMX59" s="557"/>
      <c r="AMY59" s="661"/>
      <c r="AMZ59" s="556"/>
      <c r="ANA59" s="557"/>
      <c r="ANB59" s="557"/>
      <c r="ANC59" s="557"/>
      <c r="AND59" s="557"/>
      <c r="ANE59" s="557"/>
      <c r="ANF59" s="557"/>
      <c r="ANG59" s="557"/>
      <c r="ANH59" s="557"/>
      <c r="ANI59" s="557"/>
      <c r="ANJ59" s="557"/>
      <c r="ANK59" s="557"/>
      <c r="ANL59" s="557"/>
      <c r="ANM59" s="557"/>
      <c r="ANN59" s="557"/>
      <c r="ANO59" s="557"/>
      <c r="ANP59" s="557"/>
      <c r="ANQ59" s="557"/>
      <c r="ANR59" s="557"/>
      <c r="ANS59" s="661"/>
      <c r="ANT59" s="556"/>
      <c r="ANU59" s="557"/>
      <c r="ANV59" s="557"/>
      <c r="ANW59" s="557"/>
      <c r="ANX59" s="557"/>
      <c r="ANY59" s="557"/>
      <c r="ANZ59" s="557"/>
      <c r="AOA59" s="557"/>
      <c r="AOB59" s="557"/>
      <c r="AOC59" s="557"/>
      <c r="AOD59" s="557"/>
      <c r="AOE59" s="557"/>
      <c r="AOF59" s="557"/>
      <c r="AOG59" s="557"/>
      <c r="AOH59" s="557"/>
      <c r="AOI59" s="557"/>
      <c r="AOJ59" s="557"/>
      <c r="AOK59" s="557"/>
      <c r="AOL59" s="557"/>
      <c r="AOM59" s="661"/>
      <c r="AON59" s="556"/>
      <c r="AOO59" s="557"/>
      <c r="AOP59" s="557"/>
      <c r="AOQ59" s="557"/>
      <c r="AOR59" s="557"/>
      <c r="AOS59" s="557"/>
      <c r="AOT59" s="557"/>
      <c r="AOU59" s="557"/>
      <c r="AOV59" s="557"/>
      <c r="AOW59" s="557"/>
      <c r="AOX59" s="557"/>
      <c r="AOY59" s="557"/>
      <c r="AOZ59" s="557"/>
      <c r="APA59" s="557"/>
      <c r="APB59" s="557"/>
      <c r="APC59" s="557"/>
      <c r="APD59" s="557"/>
      <c r="APE59" s="557"/>
      <c r="APF59" s="557"/>
      <c r="APG59" s="661"/>
      <c r="APH59" s="556"/>
      <c r="API59" s="557"/>
      <c r="APJ59" s="557"/>
      <c r="APK59" s="557"/>
      <c r="APL59" s="557"/>
      <c r="APM59" s="557"/>
      <c r="APN59" s="557"/>
      <c r="APO59" s="557"/>
      <c r="APP59" s="557"/>
      <c r="APQ59" s="557"/>
      <c r="APR59" s="557"/>
      <c r="APS59" s="557"/>
      <c r="APT59" s="557"/>
      <c r="APU59" s="557"/>
      <c r="APV59" s="557"/>
      <c r="APW59" s="557"/>
      <c r="APX59" s="557"/>
      <c r="APY59" s="557"/>
      <c r="APZ59" s="557"/>
      <c r="AQA59" s="661"/>
      <c r="AQB59" s="556"/>
      <c r="AQC59" s="557"/>
      <c r="AQD59" s="557"/>
      <c r="AQE59" s="557"/>
      <c r="AQF59" s="557"/>
      <c r="AQG59" s="557"/>
      <c r="AQH59" s="557"/>
      <c r="AQI59" s="557"/>
      <c r="AQJ59" s="557"/>
      <c r="AQK59" s="557"/>
      <c r="AQL59" s="557"/>
      <c r="AQM59" s="557"/>
      <c r="AQN59" s="557"/>
      <c r="AQO59" s="557"/>
      <c r="AQP59" s="557"/>
      <c r="AQQ59" s="557"/>
      <c r="AQR59" s="557"/>
      <c r="AQS59" s="557"/>
      <c r="AQT59" s="557"/>
      <c r="AQU59" s="661"/>
      <c r="AQV59" s="556"/>
      <c r="AQW59" s="557"/>
      <c r="AQX59" s="557"/>
      <c r="AQY59" s="557"/>
      <c r="AQZ59" s="557"/>
      <c r="ARA59" s="557"/>
      <c r="ARB59" s="557"/>
      <c r="ARC59" s="557"/>
      <c r="ARD59" s="557"/>
      <c r="ARE59" s="557"/>
      <c r="ARF59" s="557"/>
      <c r="ARG59" s="557"/>
      <c r="ARH59" s="557"/>
      <c r="ARI59" s="557"/>
      <c r="ARJ59" s="557"/>
      <c r="ARK59" s="557"/>
      <c r="ARL59" s="557"/>
      <c r="ARM59" s="557"/>
      <c r="ARN59" s="557"/>
      <c r="ARO59" s="661"/>
      <c r="ARP59" s="556"/>
      <c r="ARQ59" s="557"/>
      <c r="ARR59" s="557"/>
      <c r="ARS59" s="557"/>
      <c r="ART59" s="557"/>
      <c r="ARU59" s="557"/>
      <c r="ARV59" s="557"/>
      <c r="ARW59" s="557"/>
      <c r="ARX59" s="557"/>
      <c r="ARY59" s="557"/>
      <c r="ARZ59" s="557"/>
      <c r="ASA59" s="557"/>
      <c r="ASB59" s="557"/>
      <c r="ASC59" s="557"/>
      <c r="ASD59" s="557"/>
      <c r="ASE59" s="557"/>
      <c r="ASF59" s="557"/>
      <c r="ASG59" s="557"/>
      <c r="ASH59" s="557"/>
      <c r="ASI59" s="661"/>
      <c r="ASJ59" s="556"/>
      <c r="ASK59" s="557"/>
      <c r="ASL59" s="557"/>
      <c r="ASM59" s="557"/>
      <c r="ASN59" s="557"/>
      <c r="ASO59" s="557"/>
      <c r="ASP59" s="557"/>
      <c r="ASQ59" s="557"/>
      <c r="ASR59" s="557"/>
      <c r="ASS59" s="557"/>
      <c r="AST59" s="557"/>
      <c r="ASU59" s="557"/>
      <c r="ASV59" s="557"/>
      <c r="ASW59" s="557"/>
      <c r="ASX59" s="557"/>
      <c r="ASY59" s="557"/>
      <c r="ASZ59" s="557"/>
      <c r="ATA59" s="557"/>
      <c r="ATB59" s="557"/>
      <c r="ATC59" s="661"/>
      <c r="ATD59" s="556"/>
      <c r="ATE59" s="557"/>
      <c r="ATF59" s="557"/>
      <c r="ATG59" s="557"/>
      <c r="ATH59" s="557"/>
      <c r="ATI59" s="557"/>
      <c r="ATJ59" s="557"/>
      <c r="ATK59" s="557"/>
      <c r="ATL59" s="557"/>
      <c r="ATM59" s="557"/>
      <c r="ATN59" s="557"/>
      <c r="ATO59" s="557"/>
      <c r="ATP59" s="557"/>
      <c r="ATQ59" s="557"/>
      <c r="ATR59" s="557"/>
      <c r="ATS59" s="557"/>
      <c r="ATT59" s="557"/>
      <c r="ATU59" s="557"/>
      <c r="ATV59" s="557"/>
      <c r="ATW59" s="661"/>
      <c r="ATX59" s="556"/>
      <c r="ATY59" s="557"/>
      <c r="ATZ59" s="557"/>
      <c r="AUA59" s="557"/>
      <c r="AUB59" s="557"/>
      <c r="AUC59" s="557"/>
      <c r="AUD59" s="557"/>
      <c r="AUE59" s="557"/>
      <c r="AUF59" s="557"/>
      <c r="AUG59" s="557"/>
      <c r="AUH59" s="557"/>
      <c r="AUI59" s="557"/>
      <c r="AUJ59" s="557"/>
      <c r="AUK59" s="557"/>
      <c r="AUL59" s="557"/>
      <c r="AUM59" s="557"/>
      <c r="AUN59" s="557"/>
      <c r="AUO59" s="557"/>
      <c r="AUP59" s="557"/>
      <c r="AUQ59" s="661"/>
      <c r="AUR59" s="556"/>
      <c r="AUS59" s="557"/>
      <c r="AUT59" s="557"/>
      <c r="AUU59" s="557"/>
      <c r="AUV59" s="557"/>
      <c r="AUW59" s="557"/>
      <c r="AUX59" s="557"/>
      <c r="AUY59" s="557"/>
      <c r="AUZ59" s="557"/>
      <c r="AVA59" s="557"/>
      <c r="AVB59" s="557"/>
      <c r="AVC59" s="557"/>
      <c r="AVD59" s="557"/>
      <c r="AVE59" s="557"/>
      <c r="AVF59" s="557"/>
      <c r="AVG59" s="557"/>
      <c r="AVH59" s="557"/>
      <c r="AVI59" s="557"/>
      <c r="AVJ59" s="557"/>
      <c r="AVK59" s="661"/>
      <c r="AVL59" s="556"/>
      <c r="AVM59" s="557"/>
      <c r="AVN59" s="557"/>
      <c r="AVO59" s="557"/>
      <c r="AVP59" s="557"/>
      <c r="AVQ59" s="557"/>
      <c r="AVR59" s="557"/>
      <c r="AVS59" s="557"/>
      <c r="AVT59" s="557"/>
      <c r="AVU59" s="557"/>
      <c r="AVV59" s="557"/>
      <c r="AVW59" s="557"/>
      <c r="AVX59" s="557"/>
      <c r="AVY59" s="557"/>
      <c r="AVZ59" s="557"/>
      <c r="AWA59" s="557"/>
      <c r="AWB59" s="557"/>
      <c r="AWC59" s="557"/>
      <c r="AWD59" s="557"/>
      <c r="AWE59" s="661"/>
      <c r="AWF59" s="556"/>
      <c r="AWG59" s="557"/>
      <c r="AWH59" s="557"/>
      <c r="AWI59" s="557"/>
      <c r="AWJ59" s="557"/>
      <c r="AWK59" s="557"/>
      <c r="AWL59" s="557"/>
      <c r="AWM59" s="557"/>
      <c r="AWN59" s="557"/>
      <c r="AWO59" s="557"/>
      <c r="AWP59" s="557"/>
      <c r="AWQ59" s="557"/>
      <c r="AWR59" s="557"/>
      <c r="AWS59" s="557"/>
      <c r="AWT59" s="557"/>
      <c r="AWU59" s="557"/>
      <c r="AWV59" s="557"/>
      <c r="AWW59" s="557"/>
      <c r="AWX59" s="557"/>
      <c r="AWY59" s="661"/>
      <c r="AWZ59" s="556"/>
      <c r="AXA59" s="557"/>
      <c r="AXB59" s="557"/>
      <c r="AXC59" s="557"/>
      <c r="AXD59" s="557"/>
      <c r="AXE59" s="557"/>
      <c r="AXF59" s="557"/>
      <c r="AXG59" s="557"/>
      <c r="AXH59" s="557"/>
      <c r="AXI59" s="557"/>
      <c r="AXJ59" s="557"/>
      <c r="AXK59" s="557"/>
      <c r="AXL59" s="557"/>
      <c r="AXM59" s="557"/>
      <c r="AXN59" s="557"/>
      <c r="AXO59" s="557"/>
      <c r="AXP59" s="557"/>
      <c r="AXQ59" s="557"/>
      <c r="AXR59" s="557"/>
      <c r="AXS59" s="661"/>
      <c r="AXT59" s="556"/>
      <c r="AXU59" s="557"/>
      <c r="AXV59" s="557"/>
      <c r="AXW59" s="557"/>
      <c r="AXX59" s="557"/>
      <c r="AXY59" s="557"/>
      <c r="AXZ59" s="557"/>
      <c r="AYA59" s="557"/>
      <c r="AYB59" s="557"/>
      <c r="AYC59" s="557"/>
      <c r="AYD59" s="557"/>
      <c r="AYE59" s="557"/>
      <c r="AYF59" s="557"/>
      <c r="AYG59" s="557"/>
      <c r="AYH59" s="557"/>
      <c r="AYI59" s="557"/>
      <c r="AYJ59" s="557"/>
      <c r="AYK59" s="557"/>
      <c r="AYL59" s="557"/>
      <c r="AYM59" s="661"/>
      <c r="AYN59" s="556"/>
      <c r="AYO59" s="557"/>
      <c r="AYP59" s="557"/>
      <c r="AYQ59" s="557"/>
      <c r="AYR59" s="557"/>
      <c r="AYS59" s="557"/>
      <c r="AYT59" s="557"/>
      <c r="AYU59" s="557"/>
      <c r="AYV59" s="557"/>
      <c r="AYW59" s="557"/>
      <c r="AYX59" s="557"/>
      <c r="AYY59" s="557"/>
      <c r="AYZ59" s="557"/>
      <c r="AZA59" s="557"/>
      <c r="AZB59" s="557"/>
      <c r="AZC59" s="557"/>
      <c r="AZD59" s="557"/>
      <c r="AZE59" s="557"/>
      <c r="AZF59" s="557"/>
      <c r="AZG59" s="661"/>
      <c r="AZH59" s="556"/>
      <c r="AZI59" s="557"/>
      <c r="AZJ59" s="557"/>
      <c r="AZK59" s="557"/>
      <c r="AZL59" s="557"/>
      <c r="AZM59" s="557"/>
      <c r="AZN59" s="557"/>
      <c r="AZO59" s="557"/>
      <c r="AZP59" s="557"/>
      <c r="AZQ59" s="557"/>
      <c r="AZR59" s="557"/>
      <c r="AZS59" s="557"/>
      <c r="AZT59" s="557"/>
      <c r="AZU59" s="557"/>
      <c r="AZV59" s="557"/>
      <c r="AZW59" s="557"/>
      <c r="AZX59" s="557"/>
      <c r="AZY59" s="557"/>
      <c r="AZZ59" s="557"/>
      <c r="BAA59" s="661"/>
      <c r="BAB59" s="556"/>
      <c r="BAC59" s="557"/>
      <c r="BAD59" s="557"/>
      <c r="BAE59" s="557"/>
      <c r="BAF59" s="557"/>
      <c r="BAG59" s="557"/>
      <c r="BAH59" s="557"/>
      <c r="BAI59" s="557"/>
      <c r="BAJ59" s="557"/>
      <c r="BAK59" s="557"/>
      <c r="BAL59" s="557"/>
      <c r="BAM59" s="557"/>
      <c r="BAN59" s="557"/>
      <c r="BAO59" s="557"/>
      <c r="BAP59" s="557"/>
      <c r="BAQ59" s="557"/>
      <c r="BAR59" s="557"/>
      <c r="BAS59" s="557"/>
      <c r="BAT59" s="557"/>
      <c r="BAU59" s="661"/>
      <c r="BAV59" s="556"/>
      <c r="BAW59" s="557"/>
      <c r="BAX59" s="557"/>
      <c r="BAY59" s="557"/>
      <c r="BAZ59" s="557"/>
      <c r="BBA59" s="557"/>
      <c r="BBB59" s="557"/>
      <c r="BBC59" s="557"/>
      <c r="BBD59" s="557"/>
      <c r="BBE59" s="557"/>
      <c r="BBF59" s="557"/>
      <c r="BBG59" s="557"/>
      <c r="BBH59" s="557"/>
      <c r="BBI59" s="557"/>
      <c r="BBJ59" s="557"/>
      <c r="BBK59" s="557"/>
      <c r="BBL59" s="557"/>
      <c r="BBM59" s="557"/>
      <c r="BBN59" s="557"/>
      <c r="BBO59" s="661"/>
      <c r="BBP59" s="556"/>
      <c r="BBQ59" s="557"/>
      <c r="BBR59" s="557"/>
      <c r="BBS59" s="557"/>
      <c r="BBT59" s="557"/>
      <c r="BBU59" s="557"/>
      <c r="BBV59" s="557"/>
      <c r="BBW59" s="557"/>
      <c r="BBX59" s="557"/>
      <c r="BBY59" s="557"/>
      <c r="BBZ59" s="557"/>
      <c r="BCA59" s="557"/>
      <c r="BCB59" s="557"/>
      <c r="BCC59" s="557"/>
      <c r="BCD59" s="557"/>
      <c r="BCE59" s="557"/>
      <c r="BCF59" s="557"/>
      <c r="BCG59" s="557"/>
      <c r="BCH59" s="557"/>
      <c r="BCI59" s="661"/>
      <c r="BCJ59" s="556"/>
      <c r="BCK59" s="557"/>
      <c r="BCL59" s="557"/>
      <c r="BCM59" s="557"/>
      <c r="BCN59" s="557"/>
      <c r="BCO59" s="557"/>
      <c r="BCP59" s="557"/>
      <c r="BCQ59" s="557"/>
      <c r="BCR59" s="557"/>
      <c r="BCS59" s="557"/>
      <c r="BCT59" s="557"/>
      <c r="BCU59" s="557"/>
      <c r="BCV59" s="557"/>
      <c r="BCW59" s="557"/>
      <c r="BCX59" s="557"/>
      <c r="BCY59" s="557"/>
      <c r="BCZ59" s="557"/>
      <c r="BDA59" s="557"/>
      <c r="BDB59" s="557"/>
      <c r="BDC59" s="661"/>
      <c r="BDD59" s="556"/>
      <c r="BDE59" s="557"/>
      <c r="BDF59" s="557"/>
      <c r="BDG59" s="557"/>
      <c r="BDH59" s="557"/>
      <c r="BDI59" s="557"/>
      <c r="BDJ59" s="557"/>
      <c r="BDK59" s="557"/>
      <c r="BDL59" s="557"/>
      <c r="BDM59" s="557"/>
      <c r="BDN59" s="557"/>
      <c r="BDO59" s="557"/>
      <c r="BDP59" s="557"/>
      <c r="BDQ59" s="557"/>
      <c r="BDR59" s="557"/>
      <c r="BDS59" s="557"/>
      <c r="BDT59" s="557"/>
      <c r="BDU59" s="557"/>
      <c r="BDV59" s="557"/>
      <c r="BDW59" s="661"/>
      <c r="BDX59" s="556"/>
      <c r="BDY59" s="557"/>
      <c r="BDZ59" s="557"/>
      <c r="BEA59" s="557"/>
      <c r="BEB59" s="557"/>
      <c r="BEC59" s="557"/>
      <c r="BED59" s="557"/>
      <c r="BEE59" s="557"/>
      <c r="BEF59" s="557"/>
      <c r="BEG59" s="557"/>
      <c r="BEH59" s="557"/>
      <c r="BEI59" s="557"/>
      <c r="BEJ59" s="557"/>
      <c r="BEK59" s="557"/>
      <c r="BEL59" s="557"/>
      <c r="BEM59" s="557"/>
      <c r="BEN59" s="557"/>
      <c r="BEO59" s="557"/>
      <c r="BEP59" s="557"/>
      <c r="BEQ59" s="661"/>
      <c r="BER59" s="556"/>
      <c r="BES59" s="557"/>
      <c r="BET59" s="557"/>
      <c r="BEU59" s="557"/>
      <c r="BEV59" s="557"/>
      <c r="BEW59" s="557"/>
      <c r="BEX59" s="557"/>
      <c r="BEY59" s="557"/>
      <c r="BEZ59" s="557"/>
      <c r="BFA59" s="557"/>
      <c r="BFB59" s="557"/>
      <c r="BFC59" s="557"/>
      <c r="BFD59" s="557"/>
      <c r="BFE59" s="557"/>
      <c r="BFF59" s="557"/>
      <c r="BFG59" s="557"/>
      <c r="BFH59" s="557"/>
      <c r="BFI59" s="557"/>
      <c r="BFJ59" s="557"/>
      <c r="BFK59" s="661"/>
      <c r="BFL59" s="556"/>
      <c r="BFM59" s="557"/>
      <c r="BFN59" s="557"/>
      <c r="BFO59" s="557"/>
      <c r="BFP59" s="557"/>
      <c r="BFQ59" s="557"/>
      <c r="BFR59" s="557"/>
      <c r="BFS59" s="557"/>
      <c r="BFT59" s="557"/>
      <c r="BFU59" s="557"/>
      <c r="BFV59" s="557"/>
      <c r="BFW59" s="557"/>
      <c r="BFX59" s="557"/>
      <c r="BFY59" s="557"/>
      <c r="BFZ59" s="557"/>
      <c r="BGA59" s="557"/>
      <c r="BGB59" s="557"/>
      <c r="BGC59" s="557"/>
      <c r="BGD59" s="557"/>
      <c r="BGE59" s="661"/>
      <c r="BGF59" s="556"/>
      <c r="BGG59" s="557"/>
      <c r="BGH59" s="557"/>
      <c r="BGI59" s="557"/>
      <c r="BGJ59" s="557"/>
      <c r="BGK59" s="557"/>
      <c r="BGL59" s="557"/>
      <c r="BGM59" s="557"/>
      <c r="BGN59" s="557"/>
      <c r="BGO59" s="557"/>
      <c r="BGP59" s="557"/>
      <c r="BGQ59" s="557"/>
      <c r="BGR59" s="557"/>
      <c r="BGS59" s="557"/>
      <c r="BGT59" s="557"/>
      <c r="BGU59" s="557"/>
      <c r="BGV59" s="557"/>
      <c r="BGW59" s="557"/>
      <c r="BGX59" s="557"/>
      <c r="BGY59" s="661"/>
      <c r="BGZ59" s="556"/>
      <c r="BHA59" s="557"/>
      <c r="BHB59" s="557"/>
      <c r="BHC59" s="557"/>
      <c r="BHD59" s="557"/>
      <c r="BHE59" s="557"/>
      <c r="BHF59" s="557"/>
      <c r="BHG59" s="557"/>
      <c r="BHH59" s="557"/>
      <c r="BHI59" s="557"/>
      <c r="BHJ59" s="557"/>
      <c r="BHK59" s="557"/>
      <c r="BHL59" s="557"/>
      <c r="BHM59" s="557"/>
      <c r="BHN59" s="557"/>
      <c r="BHO59" s="557"/>
      <c r="BHP59" s="557"/>
      <c r="BHQ59" s="557"/>
      <c r="BHR59" s="557"/>
      <c r="BHS59" s="661"/>
      <c r="BHT59" s="556"/>
      <c r="BHU59" s="557"/>
      <c r="BHV59" s="557"/>
      <c r="BHW59" s="557"/>
      <c r="BHX59" s="557"/>
      <c r="BHY59" s="557"/>
      <c r="BHZ59" s="557"/>
      <c r="BIA59" s="557"/>
      <c r="BIB59" s="557"/>
      <c r="BIC59" s="557"/>
      <c r="BID59" s="557"/>
      <c r="BIE59" s="557"/>
      <c r="BIF59" s="557"/>
      <c r="BIG59" s="557"/>
      <c r="BIH59" s="557"/>
      <c r="BII59" s="557"/>
      <c r="BIJ59" s="557"/>
      <c r="BIK59" s="557"/>
      <c r="BIL59" s="557"/>
      <c r="BIM59" s="661"/>
      <c r="BIN59" s="556"/>
      <c r="BIO59" s="557"/>
      <c r="BIP59" s="557"/>
      <c r="BIQ59" s="557"/>
      <c r="BIR59" s="557"/>
      <c r="BIS59" s="557"/>
      <c r="BIT59" s="557"/>
      <c r="BIU59" s="557"/>
      <c r="BIV59" s="557"/>
      <c r="BIW59" s="557"/>
      <c r="BIX59" s="557"/>
      <c r="BIY59" s="557"/>
      <c r="BIZ59" s="557"/>
      <c r="BJA59" s="557"/>
      <c r="BJB59" s="557"/>
      <c r="BJC59" s="557"/>
      <c r="BJD59" s="557"/>
      <c r="BJE59" s="557"/>
      <c r="BJF59" s="557"/>
      <c r="BJG59" s="661"/>
      <c r="BJH59" s="556"/>
      <c r="BJI59" s="557"/>
      <c r="BJJ59" s="557"/>
      <c r="BJK59" s="557"/>
      <c r="BJL59" s="557"/>
      <c r="BJM59" s="557"/>
      <c r="BJN59" s="557"/>
      <c r="BJO59" s="557"/>
      <c r="BJP59" s="557"/>
      <c r="BJQ59" s="557"/>
      <c r="BJR59" s="557"/>
      <c r="BJS59" s="557"/>
      <c r="BJT59" s="557"/>
      <c r="BJU59" s="557"/>
      <c r="BJV59" s="557"/>
      <c r="BJW59" s="557"/>
      <c r="BJX59" s="557"/>
      <c r="BJY59" s="557"/>
      <c r="BJZ59" s="557"/>
      <c r="BKA59" s="661"/>
      <c r="BKB59" s="556"/>
      <c r="BKC59" s="557"/>
      <c r="BKD59" s="557"/>
      <c r="BKE59" s="557"/>
      <c r="BKF59" s="557"/>
      <c r="BKG59" s="557"/>
      <c r="BKH59" s="557"/>
      <c r="BKI59" s="557"/>
      <c r="BKJ59" s="557"/>
      <c r="BKK59" s="557"/>
      <c r="BKL59" s="557"/>
      <c r="BKM59" s="557"/>
      <c r="BKN59" s="557"/>
      <c r="BKO59" s="557"/>
      <c r="BKP59" s="557"/>
      <c r="BKQ59" s="557"/>
      <c r="BKR59" s="557"/>
      <c r="BKS59" s="557"/>
      <c r="BKT59" s="557"/>
      <c r="BKU59" s="661"/>
      <c r="BKV59" s="556"/>
      <c r="BKW59" s="557"/>
      <c r="BKX59" s="557"/>
      <c r="BKY59" s="557"/>
      <c r="BKZ59" s="557"/>
      <c r="BLA59" s="557"/>
      <c r="BLB59" s="557"/>
      <c r="BLC59" s="557"/>
      <c r="BLD59" s="557"/>
      <c r="BLE59" s="557"/>
      <c r="BLF59" s="557"/>
      <c r="BLG59" s="557"/>
      <c r="BLH59" s="557"/>
      <c r="BLI59" s="557"/>
      <c r="BLJ59" s="557"/>
      <c r="BLK59" s="557"/>
      <c r="BLL59" s="557"/>
      <c r="BLM59" s="557"/>
      <c r="BLN59" s="557"/>
      <c r="BLO59" s="661"/>
      <c r="BLP59" s="556"/>
      <c r="BLQ59" s="557"/>
      <c r="BLR59" s="557"/>
      <c r="BLS59" s="557"/>
      <c r="BLT59" s="557"/>
      <c r="BLU59" s="557"/>
      <c r="BLV59" s="557"/>
      <c r="BLW59" s="557"/>
      <c r="BLX59" s="557"/>
      <c r="BLY59" s="557"/>
      <c r="BLZ59" s="557"/>
      <c r="BMA59" s="557"/>
      <c r="BMB59" s="557"/>
      <c r="BMC59" s="557"/>
      <c r="BMD59" s="557"/>
      <c r="BME59" s="557"/>
      <c r="BMF59" s="557"/>
      <c r="BMG59" s="557"/>
      <c r="BMH59" s="557"/>
      <c r="BMI59" s="661"/>
      <c r="BMJ59" s="556"/>
      <c r="BMK59" s="557"/>
      <c r="BML59" s="557"/>
      <c r="BMM59" s="557"/>
      <c r="BMN59" s="557"/>
      <c r="BMO59" s="557"/>
      <c r="BMP59" s="557"/>
      <c r="BMQ59" s="557"/>
      <c r="BMR59" s="557"/>
      <c r="BMS59" s="557"/>
      <c r="BMT59" s="557"/>
      <c r="BMU59" s="557"/>
      <c r="BMV59" s="557"/>
      <c r="BMW59" s="557"/>
      <c r="BMX59" s="557"/>
      <c r="BMY59" s="557"/>
      <c r="BMZ59" s="557"/>
      <c r="BNA59" s="557"/>
      <c r="BNB59" s="557"/>
      <c r="BNC59" s="661"/>
      <c r="BND59" s="556"/>
      <c r="BNE59" s="557"/>
      <c r="BNF59" s="557"/>
      <c r="BNG59" s="557"/>
      <c r="BNH59" s="557"/>
      <c r="BNI59" s="557"/>
      <c r="BNJ59" s="557"/>
      <c r="BNK59" s="557"/>
      <c r="BNL59" s="557"/>
      <c r="BNM59" s="557"/>
      <c r="BNN59" s="557"/>
      <c r="BNO59" s="557"/>
      <c r="BNP59" s="557"/>
      <c r="BNQ59" s="557"/>
      <c r="BNR59" s="557"/>
      <c r="BNS59" s="557"/>
      <c r="BNT59" s="557"/>
      <c r="BNU59" s="557"/>
      <c r="BNV59" s="557"/>
      <c r="BNW59" s="661"/>
      <c r="BNX59" s="556"/>
      <c r="BNY59" s="557"/>
      <c r="BNZ59" s="557"/>
      <c r="BOA59" s="557"/>
      <c r="BOB59" s="557"/>
      <c r="BOC59" s="557"/>
      <c r="BOD59" s="557"/>
      <c r="BOE59" s="557"/>
      <c r="BOF59" s="557"/>
      <c r="BOG59" s="557"/>
      <c r="BOH59" s="557"/>
      <c r="BOI59" s="557"/>
      <c r="BOJ59" s="557"/>
      <c r="BOK59" s="557"/>
      <c r="BOL59" s="557"/>
      <c r="BOM59" s="557"/>
      <c r="BON59" s="557"/>
      <c r="BOO59" s="557"/>
      <c r="BOP59" s="557"/>
      <c r="BOQ59" s="661"/>
      <c r="BOR59" s="556"/>
      <c r="BOS59" s="557"/>
      <c r="BOT59" s="557"/>
      <c r="BOU59" s="557"/>
      <c r="BOV59" s="557"/>
      <c r="BOW59" s="557"/>
      <c r="BOX59" s="557"/>
      <c r="BOY59" s="557"/>
      <c r="BOZ59" s="557"/>
      <c r="BPA59" s="557"/>
      <c r="BPB59" s="557"/>
      <c r="BPC59" s="557"/>
      <c r="BPD59" s="557"/>
      <c r="BPE59" s="557"/>
      <c r="BPF59" s="557"/>
      <c r="BPG59" s="557"/>
      <c r="BPH59" s="557"/>
      <c r="BPI59" s="557"/>
      <c r="BPJ59" s="557"/>
      <c r="BPK59" s="661"/>
      <c r="BPL59" s="556"/>
      <c r="BPM59" s="557"/>
      <c r="BPN59" s="557"/>
      <c r="BPO59" s="557"/>
      <c r="BPP59" s="557"/>
      <c r="BPQ59" s="557"/>
      <c r="BPR59" s="557"/>
      <c r="BPS59" s="557"/>
      <c r="BPT59" s="557"/>
      <c r="BPU59" s="557"/>
      <c r="BPV59" s="557"/>
      <c r="BPW59" s="557"/>
      <c r="BPX59" s="557"/>
      <c r="BPY59" s="557"/>
      <c r="BPZ59" s="557"/>
      <c r="BQA59" s="557"/>
      <c r="BQB59" s="557"/>
      <c r="BQC59" s="557"/>
      <c r="BQD59" s="557"/>
      <c r="BQE59" s="661"/>
      <c r="BQF59" s="556"/>
      <c r="BQG59" s="557"/>
      <c r="BQH59" s="557"/>
      <c r="BQI59" s="557"/>
      <c r="BQJ59" s="557"/>
      <c r="BQK59" s="557"/>
      <c r="BQL59" s="557"/>
      <c r="BQM59" s="557"/>
      <c r="BQN59" s="557"/>
      <c r="BQO59" s="557"/>
      <c r="BQP59" s="557"/>
      <c r="BQQ59" s="557"/>
      <c r="BQR59" s="557"/>
      <c r="BQS59" s="557"/>
      <c r="BQT59" s="557"/>
      <c r="BQU59" s="557"/>
      <c r="BQV59" s="557"/>
      <c r="BQW59" s="557"/>
      <c r="BQX59" s="557"/>
      <c r="BQY59" s="661"/>
      <c r="BQZ59" s="556"/>
      <c r="BRA59" s="557"/>
      <c r="BRB59" s="557"/>
      <c r="BRC59" s="557"/>
      <c r="BRD59" s="557"/>
      <c r="BRE59" s="557"/>
      <c r="BRF59" s="557"/>
      <c r="BRG59" s="557"/>
      <c r="BRH59" s="557"/>
      <c r="BRI59" s="557"/>
      <c r="BRJ59" s="557"/>
      <c r="BRK59" s="557"/>
      <c r="BRL59" s="557"/>
      <c r="BRM59" s="557"/>
      <c r="BRN59" s="557"/>
      <c r="BRO59" s="557"/>
      <c r="BRP59" s="557"/>
      <c r="BRQ59" s="557"/>
      <c r="BRR59" s="557"/>
      <c r="BRS59" s="661"/>
      <c r="BRT59" s="556"/>
      <c r="BRU59" s="557"/>
      <c r="BRV59" s="557"/>
      <c r="BRW59" s="557"/>
      <c r="BRX59" s="557"/>
      <c r="BRY59" s="557"/>
      <c r="BRZ59" s="557"/>
      <c r="BSA59" s="557"/>
      <c r="BSB59" s="557"/>
      <c r="BSC59" s="557"/>
      <c r="BSD59" s="557"/>
      <c r="BSE59" s="557"/>
      <c r="BSF59" s="557"/>
      <c r="BSG59" s="557"/>
      <c r="BSH59" s="557"/>
      <c r="BSI59" s="557"/>
      <c r="BSJ59" s="557"/>
      <c r="BSK59" s="557"/>
      <c r="BSL59" s="557"/>
      <c r="BSM59" s="661"/>
      <c r="BSN59" s="556"/>
      <c r="BSO59" s="557"/>
      <c r="BSP59" s="557"/>
      <c r="BSQ59" s="557"/>
      <c r="BSR59" s="557"/>
      <c r="BSS59" s="557"/>
      <c r="BST59" s="557"/>
      <c r="BSU59" s="557"/>
      <c r="BSV59" s="557"/>
      <c r="BSW59" s="557"/>
      <c r="BSX59" s="557"/>
      <c r="BSY59" s="557"/>
      <c r="BSZ59" s="557"/>
      <c r="BTA59" s="557"/>
      <c r="BTB59" s="557"/>
      <c r="BTC59" s="557"/>
      <c r="BTD59" s="557"/>
      <c r="BTE59" s="557"/>
      <c r="BTF59" s="557"/>
      <c r="BTG59" s="661"/>
      <c r="BTH59" s="556"/>
      <c r="BTI59" s="557"/>
      <c r="BTJ59" s="557"/>
      <c r="BTK59" s="557"/>
      <c r="BTL59" s="557"/>
      <c r="BTM59" s="557"/>
      <c r="BTN59" s="557"/>
      <c r="BTO59" s="557"/>
      <c r="BTP59" s="557"/>
      <c r="BTQ59" s="557"/>
      <c r="BTR59" s="557"/>
      <c r="BTS59" s="557"/>
      <c r="BTT59" s="557"/>
      <c r="BTU59" s="557"/>
      <c r="BTV59" s="557"/>
      <c r="BTW59" s="557"/>
      <c r="BTX59" s="557"/>
      <c r="BTY59" s="557"/>
      <c r="BTZ59" s="557"/>
      <c r="BUA59" s="661"/>
      <c r="BUB59" s="556"/>
      <c r="BUC59" s="557"/>
      <c r="BUD59" s="557"/>
      <c r="BUE59" s="557"/>
      <c r="BUF59" s="557"/>
      <c r="BUG59" s="557"/>
      <c r="BUH59" s="557"/>
      <c r="BUI59" s="557"/>
      <c r="BUJ59" s="557"/>
      <c r="BUK59" s="557"/>
      <c r="BUL59" s="557"/>
      <c r="BUM59" s="557"/>
      <c r="BUN59" s="557"/>
      <c r="BUO59" s="557"/>
      <c r="BUP59" s="557"/>
      <c r="BUQ59" s="557"/>
      <c r="BUR59" s="557"/>
      <c r="BUS59" s="557"/>
      <c r="BUT59" s="557"/>
      <c r="BUU59" s="661"/>
      <c r="BUV59" s="556"/>
      <c r="BUW59" s="557"/>
      <c r="BUX59" s="557"/>
      <c r="BUY59" s="557"/>
      <c r="BUZ59" s="557"/>
      <c r="BVA59" s="557"/>
      <c r="BVB59" s="557"/>
      <c r="BVC59" s="557"/>
      <c r="BVD59" s="557"/>
      <c r="BVE59" s="557"/>
      <c r="BVF59" s="557"/>
      <c r="BVG59" s="557"/>
      <c r="BVH59" s="557"/>
      <c r="BVI59" s="557"/>
      <c r="BVJ59" s="557"/>
      <c r="BVK59" s="557"/>
      <c r="BVL59" s="557"/>
      <c r="BVM59" s="557"/>
      <c r="BVN59" s="557"/>
      <c r="BVO59" s="661"/>
      <c r="BVP59" s="556"/>
      <c r="BVQ59" s="557"/>
      <c r="BVR59" s="557"/>
      <c r="BVS59" s="557"/>
      <c r="BVT59" s="557"/>
      <c r="BVU59" s="557"/>
      <c r="BVV59" s="557"/>
      <c r="BVW59" s="557"/>
      <c r="BVX59" s="557"/>
      <c r="BVY59" s="557"/>
      <c r="BVZ59" s="557"/>
      <c r="BWA59" s="557"/>
      <c r="BWB59" s="557"/>
      <c r="BWC59" s="557"/>
      <c r="BWD59" s="557"/>
      <c r="BWE59" s="557"/>
      <c r="BWF59" s="557"/>
      <c r="BWG59" s="557"/>
      <c r="BWH59" s="557"/>
      <c r="BWI59" s="661"/>
      <c r="BWJ59" s="556"/>
      <c r="BWK59" s="557"/>
      <c r="BWL59" s="557"/>
      <c r="BWM59" s="557"/>
      <c r="BWN59" s="557"/>
      <c r="BWO59" s="557"/>
      <c r="BWP59" s="557"/>
      <c r="BWQ59" s="557"/>
      <c r="BWR59" s="557"/>
      <c r="BWS59" s="557"/>
      <c r="BWT59" s="557"/>
      <c r="BWU59" s="557"/>
      <c r="BWV59" s="557"/>
      <c r="BWW59" s="557"/>
      <c r="BWX59" s="557"/>
      <c r="BWY59" s="557"/>
      <c r="BWZ59" s="557"/>
      <c r="BXA59" s="557"/>
      <c r="BXB59" s="557"/>
      <c r="BXC59" s="661"/>
      <c r="BXD59" s="556"/>
      <c r="BXE59" s="557"/>
      <c r="BXF59" s="557"/>
      <c r="BXG59" s="557"/>
      <c r="BXH59" s="557"/>
      <c r="BXI59" s="557"/>
      <c r="BXJ59" s="557"/>
      <c r="BXK59" s="557"/>
      <c r="BXL59" s="557"/>
      <c r="BXM59" s="557"/>
      <c r="BXN59" s="557"/>
      <c r="BXO59" s="557"/>
      <c r="BXP59" s="557"/>
      <c r="BXQ59" s="557"/>
      <c r="BXR59" s="557"/>
      <c r="BXS59" s="557"/>
      <c r="BXT59" s="557"/>
      <c r="BXU59" s="557"/>
      <c r="BXV59" s="557"/>
      <c r="BXW59" s="661"/>
      <c r="BXX59" s="556"/>
      <c r="BXY59" s="557"/>
      <c r="BXZ59" s="557"/>
      <c r="BYA59" s="557"/>
      <c r="BYB59" s="557"/>
      <c r="BYC59" s="557"/>
      <c r="BYD59" s="557"/>
      <c r="BYE59" s="557"/>
      <c r="BYF59" s="557"/>
      <c r="BYG59" s="557"/>
      <c r="BYH59" s="557"/>
      <c r="BYI59" s="557"/>
      <c r="BYJ59" s="557"/>
      <c r="BYK59" s="557"/>
      <c r="BYL59" s="557"/>
      <c r="BYM59" s="557"/>
      <c r="BYN59" s="557"/>
      <c r="BYO59" s="557"/>
      <c r="BYP59" s="557"/>
      <c r="BYQ59" s="661"/>
      <c r="BYR59" s="556"/>
      <c r="BYS59" s="557"/>
      <c r="BYT59" s="557"/>
      <c r="BYU59" s="557"/>
      <c r="BYV59" s="557"/>
      <c r="BYW59" s="557"/>
      <c r="BYX59" s="557"/>
      <c r="BYY59" s="557"/>
      <c r="BYZ59" s="557"/>
      <c r="BZA59" s="557"/>
      <c r="BZB59" s="557"/>
      <c r="BZC59" s="557"/>
      <c r="BZD59" s="557"/>
      <c r="BZE59" s="557"/>
      <c r="BZF59" s="557"/>
      <c r="BZG59" s="557"/>
      <c r="BZH59" s="557"/>
      <c r="BZI59" s="557"/>
      <c r="BZJ59" s="557"/>
      <c r="BZK59" s="661"/>
      <c r="BZL59" s="556"/>
      <c r="BZM59" s="557"/>
      <c r="BZN59" s="557"/>
      <c r="BZO59" s="557"/>
      <c r="BZP59" s="557"/>
      <c r="BZQ59" s="557"/>
      <c r="BZR59" s="557"/>
      <c r="BZS59" s="557"/>
      <c r="BZT59" s="557"/>
      <c r="BZU59" s="557"/>
      <c r="BZV59" s="557"/>
      <c r="BZW59" s="557"/>
      <c r="BZX59" s="557"/>
      <c r="BZY59" s="557"/>
      <c r="BZZ59" s="557"/>
      <c r="CAA59" s="557"/>
      <c r="CAB59" s="557"/>
      <c r="CAC59" s="557"/>
      <c r="CAD59" s="557"/>
      <c r="CAE59" s="661"/>
      <c r="CAF59" s="556"/>
      <c r="CAG59" s="557"/>
      <c r="CAH59" s="557"/>
      <c r="CAI59" s="557"/>
      <c r="CAJ59" s="557"/>
      <c r="CAK59" s="557"/>
      <c r="CAL59" s="557"/>
      <c r="CAM59" s="557"/>
      <c r="CAN59" s="557"/>
      <c r="CAO59" s="557"/>
      <c r="CAP59" s="557"/>
      <c r="CAQ59" s="557"/>
      <c r="CAR59" s="557"/>
      <c r="CAS59" s="557"/>
      <c r="CAT59" s="557"/>
      <c r="CAU59" s="557"/>
      <c r="CAV59" s="557"/>
      <c r="CAW59" s="557"/>
      <c r="CAX59" s="557"/>
      <c r="CAY59" s="661"/>
      <c r="CAZ59" s="556"/>
      <c r="CBA59" s="557"/>
      <c r="CBB59" s="557"/>
      <c r="CBC59" s="557"/>
      <c r="CBD59" s="557"/>
      <c r="CBE59" s="557"/>
      <c r="CBF59" s="557"/>
      <c r="CBG59" s="557"/>
      <c r="CBH59" s="557"/>
      <c r="CBI59" s="557"/>
      <c r="CBJ59" s="557"/>
      <c r="CBK59" s="557"/>
      <c r="CBL59" s="557"/>
      <c r="CBM59" s="557"/>
      <c r="CBN59" s="557"/>
      <c r="CBO59" s="557"/>
      <c r="CBP59" s="557"/>
      <c r="CBQ59" s="557"/>
      <c r="CBR59" s="557"/>
      <c r="CBS59" s="661"/>
      <c r="CBT59" s="556"/>
      <c r="CBU59" s="557"/>
      <c r="CBV59" s="557"/>
      <c r="CBW59" s="557"/>
      <c r="CBX59" s="557"/>
      <c r="CBY59" s="557"/>
      <c r="CBZ59" s="557"/>
      <c r="CCA59" s="557"/>
      <c r="CCB59" s="557"/>
      <c r="CCC59" s="557"/>
      <c r="CCD59" s="557"/>
      <c r="CCE59" s="557"/>
      <c r="CCF59" s="557"/>
      <c r="CCG59" s="557"/>
      <c r="CCH59" s="557"/>
      <c r="CCI59" s="557"/>
      <c r="CCJ59" s="557"/>
      <c r="CCK59" s="557"/>
      <c r="CCL59" s="557"/>
      <c r="CCM59" s="661"/>
      <c r="CCN59" s="556"/>
      <c r="CCO59" s="557"/>
      <c r="CCP59" s="557"/>
      <c r="CCQ59" s="557"/>
      <c r="CCR59" s="557"/>
      <c r="CCS59" s="557"/>
      <c r="CCT59" s="557"/>
      <c r="CCU59" s="557"/>
      <c r="CCV59" s="557"/>
      <c r="CCW59" s="557"/>
      <c r="CCX59" s="557"/>
      <c r="CCY59" s="557"/>
      <c r="CCZ59" s="557"/>
      <c r="CDA59" s="557"/>
      <c r="CDB59" s="557"/>
      <c r="CDC59" s="557"/>
      <c r="CDD59" s="557"/>
      <c r="CDE59" s="557"/>
      <c r="CDF59" s="557"/>
      <c r="CDG59" s="661"/>
      <c r="CDH59" s="556"/>
      <c r="CDI59" s="557"/>
      <c r="CDJ59" s="557"/>
      <c r="CDK59" s="557"/>
      <c r="CDL59" s="557"/>
      <c r="CDM59" s="557"/>
      <c r="CDN59" s="557"/>
      <c r="CDO59" s="557"/>
      <c r="CDP59" s="557"/>
      <c r="CDQ59" s="557"/>
      <c r="CDR59" s="557"/>
      <c r="CDS59" s="557"/>
      <c r="CDT59" s="557"/>
      <c r="CDU59" s="557"/>
      <c r="CDV59" s="557"/>
      <c r="CDW59" s="557"/>
      <c r="CDX59" s="557"/>
      <c r="CDY59" s="557"/>
      <c r="CDZ59" s="557"/>
      <c r="CEA59" s="661"/>
      <c r="CEB59" s="556"/>
      <c r="CEC59" s="557"/>
      <c r="CED59" s="557"/>
      <c r="CEE59" s="557"/>
      <c r="CEF59" s="557"/>
      <c r="CEG59" s="557"/>
      <c r="CEH59" s="557"/>
      <c r="CEI59" s="557"/>
      <c r="CEJ59" s="557"/>
      <c r="CEK59" s="557"/>
      <c r="CEL59" s="557"/>
      <c r="CEM59" s="557"/>
      <c r="CEN59" s="557"/>
      <c r="CEO59" s="557"/>
      <c r="CEP59" s="557"/>
      <c r="CEQ59" s="557"/>
      <c r="CER59" s="557"/>
      <c r="CES59" s="557"/>
      <c r="CET59" s="557"/>
      <c r="CEU59" s="661"/>
      <c r="CEV59" s="556"/>
      <c r="CEW59" s="557"/>
      <c r="CEX59" s="557"/>
      <c r="CEY59" s="557"/>
      <c r="CEZ59" s="557"/>
      <c r="CFA59" s="557"/>
      <c r="CFB59" s="557"/>
      <c r="CFC59" s="557"/>
      <c r="CFD59" s="557"/>
      <c r="CFE59" s="557"/>
      <c r="CFF59" s="557"/>
      <c r="CFG59" s="557"/>
      <c r="CFH59" s="557"/>
      <c r="CFI59" s="557"/>
      <c r="CFJ59" s="557"/>
      <c r="CFK59" s="557"/>
      <c r="CFL59" s="557"/>
      <c r="CFM59" s="557"/>
      <c r="CFN59" s="557"/>
      <c r="CFO59" s="661"/>
      <c r="CFP59" s="556"/>
      <c r="CFQ59" s="557"/>
      <c r="CFR59" s="557"/>
      <c r="CFS59" s="557"/>
      <c r="CFT59" s="557"/>
      <c r="CFU59" s="557"/>
      <c r="CFV59" s="557"/>
      <c r="CFW59" s="557"/>
      <c r="CFX59" s="557"/>
      <c r="CFY59" s="557"/>
      <c r="CFZ59" s="557"/>
      <c r="CGA59" s="557"/>
      <c r="CGB59" s="557"/>
      <c r="CGC59" s="557"/>
      <c r="CGD59" s="557"/>
      <c r="CGE59" s="557"/>
      <c r="CGF59" s="557"/>
      <c r="CGG59" s="557"/>
      <c r="CGH59" s="557"/>
      <c r="CGI59" s="661"/>
      <c r="CGJ59" s="556"/>
      <c r="CGK59" s="557"/>
      <c r="CGL59" s="557"/>
      <c r="CGM59" s="557"/>
      <c r="CGN59" s="557"/>
      <c r="CGO59" s="557"/>
      <c r="CGP59" s="557"/>
      <c r="CGQ59" s="557"/>
      <c r="CGR59" s="557"/>
      <c r="CGS59" s="557"/>
      <c r="CGT59" s="557"/>
      <c r="CGU59" s="557"/>
      <c r="CGV59" s="557"/>
      <c r="CGW59" s="557"/>
      <c r="CGX59" s="557"/>
      <c r="CGY59" s="557"/>
      <c r="CGZ59" s="557"/>
      <c r="CHA59" s="557"/>
      <c r="CHB59" s="557"/>
      <c r="CHC59" s="661"/>
      <c r="CHD59" s="556"/>
      <c r="CHE59" s="557"/>
      <c r="CHF59" s="557"/>
      <c r="CHG59" s="557"/>
      <c r="CHH59" s="557"/>
      <c r="CHI59" s="557"/>
      <c r="CHJ59" s="557"/>
      <c r="CHK59" s="557"/>
      <c r="CHL59" s="557"/>
      <c r="CHM59" s="557"/>
      <c r="CHN59" s="557"/>
      <c r="CHO59" s="557"/>
      <c r="CHP59" s="557"/>
      <c r="CHQ59" s="557"/>
      <c r="CHR59" s="557"/>
      <c r="CHS59" s="557"/>
      <c r="CHT59" s="557"/>
      <c r="CHU59" s="557"/>
      <c r="CHV59" s="557"/>
      <c r="CHW59" s="661"/>
      <c r="CHX59" s="556"/>
      <c r="CHY59" s="557"/>
      <c r="CHZ59" s="557"/>
      <c r="CIA59" s="557"/>
      <c r="CIB59" s="557"/>
      <c r="CIC59" s="557"/>
      <c r="CID59" s="557"/>
      <c r="CIE59" s="557"/>
      <c r="CIF59" s="557"/>
      <c r="CIG59" s="557"/>
      <c r="CIH59" s="557"/>
      <c r="CII59" s="557"/>
      <c r="CIJ59" s="557"/>
      <c r="CIK59" s="557"/>
      <c r="CIL59" s="557"/>
      <c r="CIM59" s="557"/>
      <c r="CIN59" s="557"/>
      <c r="CIO59" s="557"/>
      <c r="CIP59" s="557"/>
      <c r="CIQ59" s="661"/>
      <c r="CIR59" s="556"/>
      <c r="CIS59" s="557"/>
      <c r="CIT59" s="557"/>
      <c r="CIU59" s="557"/>
      <c r="CIV59" s="557"/>
      <c r="CIW59" s="557"/>
      <c r="CIX59" s="557"/>
      <c r="CIY59" s="557"/>
      <c r="CIZ59" s="557"/>
      <c r="CJA59" s="557"/>
      <c r="CJB59" s="557"/>
      <c r="CJC59" s="557"/>
      <c r="CJD59" s="557"/>
      <c r="CJE59" s="557"/>
      <c r="CJF59" s="557"/>
      <c r="CJG59" s="557"/>
      <c r="CJH59" s="557"/>
      <c r="CJI59" s="557"/>
      <c r="CJJ59" s="557"/>
      <c r="CJK59" s="661"/>
      <c r="CJL59" s="556"/>
      <c r="CJM59" s="557"/>
      <c r="CJN59" s="557"/>
      <c r="CJO59" s="557"/>
      <c r="CJP59" s="557"/>
      <c r="CJQ59" s="557"/>
      <c r="CJR59" s="557"/>
      <c r="CJS59" s="557"/>
      <c r="CJT59" s="557"/>
      <c r="CJU59" s="557"/>
      <c r="CJV59" s="557"/>
      <c r="CJW59" s="557"/>
      <c r="CJX59" s="557"/>
      <c r="CJY59" s="557"/>
      <c r="CJZ59" s="557"/>
      <c r="CKA59" s="557"/>
      <c r="CKB59" s="557"/>
      <c r="CKC59" s="557"/>
      <c r="CKD59" s="557"/>
      <c r="CKE59" s="661"/>
      <c r="CKF59" s="556"/>
      <c r="CKG59" s="557"/>
      <c r="CKH59" s="557"/>
      <c r="CKI59" s="557"/>
      <c r="CKJ59" s="557"/>
      <c r="CKK59" s="557"/>
      <c r="CKL59" s="557"/>
      <c r="CKM59" s="557"/>
      <c r="CKN59" s="557"/>
      <c r="CKO59" s="557"/>
      <c r="CKP59" s="557"/>
      <c r="CKQ59" s="557"/>
      <c r="CKR59" s="557"/>
      <c r="CKS59" s="557"/>
      <c r="CKT59" s="557"/>
      <c r="CKU59" s="557"/>
      <c r="CKV59" s="557"/>
      <c r="CKW59" s="557"/>
      <c r="CKX59" s="557"/>
      <c r="CKY59" s="661"/>
      <c r="CKZ59" s="556"/>
      <c r="CLA59" s="557"/>
      <c r="CLB59" s="557"/>
      <c r="CLC59" s="557"/>
      <c r="CLD59" s="557"/>
      <c r="CLE59" s="557"/>
      <c r="CLF59" s="557"/>
      <c r="CLG59" s="557"/>
      <c r="CLH59" s="557"/>
      <c r="CLI59" s="557"/>
      <c r="CLJ59" s="557"/>
      <c r="CLK59" s="557"/>
      <c r="CLL59" s="557"/>
      <c r="CLM59" s="557"/>
      <c r="CLN59" s="557"/>
      <c r="CLO59" s="557"/>
      <c r="CLP59" s="557"/>
      <c r="CLQ59" s="557"/>
      <c r="CLR59" s="557"/>
      <c r="CLS59" s="661"/>
      <c r="CLT59" s="556"/>
      <c r="CLU59" s="557"/>
      <c r="CLV59" s="557"/>
      <c r="CLW59" s="557"/>
      <c r="CLX59" s="557"/>
      <c r="CLY59" s="557"/>
      <c r="CLZ59" s="557"/>
      <c r="CMA59" s="557"/>
      <c r="CMB59" s="557"/>
      <c r="CMC59" s="557"/>
      <c r="CMD59" s="557"/>
      <c r="CME59" s="557"/>
      <c r="CMF59" s="557"/>
      <c r="CMG59" s="557"/>
      <c r="CMH59" s="557"/>
      <c r="CMI59" s="557"/>
      <c r="CMJ59" s="557"/>
      <c r="CMK59" s="557"/>
      <c r="CML59" s="557"/>
      <c r="CMM59" s="661"/>
      <c r="CMN59" s="556"/>
      <c r="CMO59" s="557"/>
      <c r="CMP59" s="557"/>
      <c r="CMQ59" s="557"/>
      <c r="CMR59" s="557"/>
      <c r="CMS59" s="557"/>
      <c r="CMT59" s="557"/>
      <c r="CMU59" s="557"/>
      <c r="CMV59" s="557"/>
      <c r="CMW59" s="557"/>
      <c r="CMX59" s="557"/>
      <c r="CMY59" s="557"/>
      <c r="CMZ59" s="557"/>
      <c r="CNA59" s="557"/>
      <c r="CNB59" s="557"/>
      <c r="CNC59" s="557"/>
      <c r="CND59" s="557"/>
      <c r="CNE59" s="557"/>
      <c r="CNF59" s="557"/>
      <c r="CNG59" s="661"/>
      <c r="CNH59" s="556"/>
      <c r="CNI59" s="557"/>
      <c r="CNJ59" s="557"/>
      <c r="CNK59" s="557"/>
      <c r="CNL59" s="557"/>
      <c r="CNM59" s="557"/>
      <c r="CNN59" s="557"/>
      <c r="CNO59" s="557"/>
      <c r="CNP59" s="557"/>
      <c r="CNQ59" s="557"/>
      <c r="CNR59" s="557"/>
      <c r="CNS59" s="557"/>
      <c r="CNT59" s="557"/>
      <c r="CNU59" s="557"/>
      <c r="CNV59" s="557"/>
      <c r="CNW59" s="557"/>
      <c r="CNX59" s="557"/>
      <c r="CNY59" s="557"/>
      <c r="CNZ59" s="557"/>
      <c r="COA59" s="661"/>
      <c r="COB59" s="556"/>
      <c r="COC59" s="557"/>
      <c r="COD59" s="557"/>
      <c r="COE59" s="557"/>
      <c r="COF59" s="557"/>
      <c r="COG59" s="557"/>
      <c r="COH59" s="557"/>
      <c r="COI59" s="557"/>
      <c r="COJ59" s="557"/>
      <c r="COK59" s="557"/>
      <c r="COL59" s="557"/>
      <c r="COM59" s="557"/>
      <c r="CON59" s="557"/>
      <c r="COO59" s="557"/>
      <c r="COP59" s="557"/>
      <c r="COQ59" s="557"/>
      <c r="COR59" s="557"/>
      <c r="COS59" s="557"/>
      <c r="COT59" s="557"/>
      <c r="COU59" s="661"/>
      <c r="COV59" s="556"/>
      <c r="COW59" s="557"/>
      <c r="COX59" s="557"/>
      <c r="COY59" s="557"/>
      <c r="COZ59" s="557"/>
      <c r="CPA59" s="557"/>
      <c r="CPB59" s="557"/>
      <c r="CPC59" s="557"/>
      <c r="CPD59" s="557"/>
      <c r="CPE59" s="557"/>
      <c r="CPF59" s="557"/>
      <c r="CPG59" s="557"/>
      <c r="CPH59" s="557"/>
      <c r="CPI59" s="557"/>
      <c r="CPJ59" s="557"/>
      <c r="CPK59" s="557"/>
      <c r="CPL59" s="557"/>
      <c r="CPM59" s="557"/>
      <c r="CPN59" s="557"/>
      <c r="CPO59" s="661"/>
      <c r="CPP59" s="556"/>
      <c r="CPQ59" s="557"/>
      <c r="CPR59" s="557"/>
      <c r="CPS59" s="557"/>
      <c r="CPT59" s="557"/>
      <c r="CPU59" s="557"/>
      <c r="CPV59" s="557"/>
      <c r="CPW59" s="557"/>
      <c r="CPX59" s="557"/>
      <c r="CPY59" s="557"/>
      <c r="CPZ59" s="557"/>
      <c r="CQA59" s="557"/>
      <c r="CQB59" s="557"/>
      <c r="CQC59" s="557"/>
      <c r="CQD59" s="557"/>
      <c r="CQE59" s="557"/>
      <c r="CQF59" s="557"/>
      <c r="CQG59" s="557"/>
      <c r="CQH59" s="557"/>
      <c r="CQI59" s="661"/>
      <c r="CQJ59" s="556"/>
      <c r="CQK59" s="557"/>
      <c r="CQL59" s="557"/>
      <c r="CQM59" s="557"/>
      <c r="CQN59" s="557"/>
      <c r="CQO59" s="557"/>
      <c r="CQP59" s="557"/>
      <c r="CQQ59" s="557"/>
      <c r="CQR59" s="557"/>
      <c r="CQS59" s="557"/>
      <c r="CQT59" s="557"/>
      <c r="CQU59" s="557"/>
      <c r="CQV59" s="557"/>
      <c r="CQW59" s="557"/>
      <c r="CQX59" s="557"/>
      <c r="CQY59" s="557"/>
      <c r="CQZ59" s="557"/>
      <c r="CRA59" s="557"/>
      <c r="CRB59" s="557"/>
      <c r="CRC59" s="661"/>
      <c r="CRD59" s="556"/>
      <c r="CRE59" s="557"/>
      <c r="CRF59" s="557"/>
      <c r="CRG59" s="557"/>
      <c r="CRH59" s="557"/>
      <c r="CRI59" s="557"/>
      <c r="CRJ59" s="557"/>
      <c r="CRK59" s="557"/>
      <c r="CRL59" s="557"/>
      <c r="CRM59" s="557"/>
      <c r="CRN59" s="557"/>
      <c r="CRO59" s="557"/>
      <c r="CRP59" s="557"/>
      <c r="CRQ59" s="557"/>
      <c r="CRR59" s="557"/>
      <c r="CRS59" s="557"/>
      <c r="CRT59" s="557"/>
      <c r="CRU59" s="557"/>
      <c r="CRV59" s="557"/>
      <c r="CRW59" s="661"/>
      <c r="CRX59" s="556"/>
      <c r="CRY59" s="557"/>
      <c r="CRZ59" s="557"/>
      <c r="CSA59" s="557"/>
      <c r="CSB59" s="557"/>
      <c r="CSC59" s="557"/>
      <c r="CSD59" s="557"/>
      <c r="CSE59" s="557"/>
      <c r="CSF59" s="557"/>
      <c r="CSG59" s="557"/>
      <c r="CSH59" s="557"/>
      <c r="CSI59" s="557"/>
      <c r="CSJ59" s="557"/>
      <c r="CSK59" s="557"/>
      <c r="CSL59" s="557"/>
      <c r="CSM59" s="557"/>
      <c r="CSN59" s="557"/>
      <c r="CSO59" s="557"/>
      <c r="CSP59" s="557"/>
      <c r="CSQ59" s="661"/>
      <c r="CSR59" s="556"/>
      <c r="CSS59" s="557"/>
      <c r="CST59" s="557"/>
      <c r="CSU59" s="557"/>
      <c r="CSV59" s="557"/>
      <c r="CSW59" s="557"/>
      <c r="CSX59" s="557"/>
      <c r="CSY59" s="557"/>
      <c r="CSZ59" s="557"/>
      <c r="CTA59" s="557"/>
      <c r="CTB59" s="557"/>
      <c r="CTC59" s="557"/>
      <c r="CTD59" s="557"/>
      <c r="CTE59" s="557"/>
      <c r="CTF59" s="557"/>
      <c r="CTG59" s="557"/>
      <c r="CTH59" s="557"/>
      <c r="CTI59" s="557"/>
      <c r="CTJ59" s="557"/>
      <c r="CTK59" s="661"/>
      <c r="CTL59" s="556"/>
      <c r="CTM59" s="557"/>
      <c r="CTN59" s="557"/>
      <c r="CTO59" s="557"/>
      <c r="CTP59" s="557"/>
      <c r="CTQ59" s="557"/>
      <c r="CTR59" s="557"/>
      <c r="CTS59" s="557"/>
      <c r="CTT59" s="557"/>
      <c r="CTU59" s="557"/>
      <c r="CTV59" s="557"/>
      <c r="CTW59" s="557"/>
      <c r="CTX59" s="557"/>
      <c r="CTY59" s="557"/>
      <c r="CTZ59" s="557"/>
      <c r="CUA59" s="557"/>
      <c r="CUB59" s="557"/>
      <c r="CUC59" s="557"/>
      <c r="CUD59" s="557"/>
      <c r="CUE59" s="661"/>
      <c r="CUF59" s="556"/>
      <c r="CUG59" s="557"/>
      <c r="CUH59" s="557"/>
      <c r="CUI59" s="557"/>
      <c r="CUJ59" s="557"/>
      <c r="CUK59" s="557"/>
      <c r="CUL59" s="557"/>
      <c r="CUM59" s="557"/>
      <c r="CUN59" s="557"/>
      <c r="CUO59" s="557"/>
      <c r="CUP59" s="557"/>
      <c r="CUQ59" s="557"/>
      <c r="CUR59" s="557"/>
      <c r="CUS59" s="557"/>
      <c r="CUT59" s="557"/>
      <c r="CUU59" s="557"/>
      <c r="CUV59" s="557"/>
      <c r="CUW59" s="557"/>
      <c r="CUX59" s="557"/>
      <c r="CUY59" s="661"/>
      <c r="CUZ59" s="556"/>
      <c r="CVA59" s="557"/>
      <c r="CVB59" s="557"/>
      <c r="CVC59" s="557"/>
      <c r="CVD59" s="557"/>
      <c r="CVE59" s="557"/>
      <c r="CVF59" s="557"/>
      <c r="CVG59" s="557"/>
      <c r="CVH59" s="557"/>
      <c r="CVI59" s="557"/>
      <c r="CVJ59" s="557"/>
      <c r="CVK59" s="557"/>
      <c r="CVL59" s="557"/>
      <c r="CVM59" s="557"/>
      <c r="CVN59" s="557"/>
      <c r="CVO59" s="557"/>
      <c r="CVP59" s="557"/>
      <c r="CVQ59" s="557"/>
      <c r="CVR59" s="557"/>
      <c r="CVS59" s="661"/>
      <c r="CVT59" s="556"/>
      <c r="CVU59" s="557"/>
      <c r="CVV59" s="557"/>
      <c r="CVW59" s="557"/>
      <c r="CVX59" s="557"/>
      <c r="CVY59" s="557"/>
      <c r="CVZ59" s="557"/>
      <c r="CWA59" s="557"/>
      <c r="CWB59" s="557"/>
      <c r="CWC59" s="557"/>
      <c r="CWD59" s="557"/>
      <c r="CWE59" s="557"/>
      <c r="CWF59" s="557"/>
      <c r="CWG59" s="557"/>
      <c r="CWH59" s="557"/>
      <c r="CWI59" s="557"/>
      <c r="CWJ59" s="557"/>
      <c r="CWK59" s="557"/>
      <c r="CWL59" s="557"/>
      <c r="CWM59" s="661"/>
      <c r="CWN59" s="556"/>
      <c r="CWO59" s="557"/>
      <c r="CWP59" s="557"/>
      <c r="CWQ59" s="557"/>
      <c r="CWR59" s="557"/>
      <c r="CWS59" s="557"/>
      <c r="CWT59" s="557"/>
      <c r="CWU59" s="557"/>
      <c r="CWV59" s="557"/>
      <c r="CWW59" s="557"/>
      <c r="CWX59" s="557"/>
      <c r="CWY59" s="557"/>
      <c r="CWZ59" s="557"/>
      <c r="CXA59" s="557"/>
      <c r="CXB59" s="557"/>
      <c r="CXC59" s="557"/>
      <c r="CXD59" s="557"/>
      <c r="CXE59" s="557"/>
      <c r="CXF59" s="557"/>
      <c r="CXG59" s="661"/>
      <c r="CXH59" s="556"/>
      <c r="CXI59" s="557"/>
      <c r="CXJ59" s="557"/>
      <c r="CXK59" s="557"/>
      <c r="CXL59" s="557"/>
      <c r="CXM59" s="557"/>
      <c r="CXN59" s="557"/>
      <c r="CXO59" s="557"/>
      <c r="CXP59" s="557"/>
      <c r="CXQ59" s="557"/>
      <c r="CXR59" s="557"/>
      <c r="CXS59" s="557"/>
      <c r="CXT59" s="557"/>
      <c r="CXU59" s="557"/>
      <c r="CXV59" s="557"/>
      <c r="CXW59" s="557"/>
      <c r="CXX59" s="557"/>
      <c r="CXY59" s="557"/>
      <c r="CXZ59" s="557"/>
      <c r="CYA59" s="661"/>
      <c r="CYB59" s="556"/>
      <c r="CYC59" s="557"/>
      <c r="CYD59" s="557"/>
      <c r="CYE59" s="557"/>
      <c r="CYF59" s="557"/>
      <c r="CYG59" s="557"/>
      <c r="CYH59" s="557"/>
      <c r="CYI59" s="557"/>
      <c r="CYJ59" s="557"/>
      <c r="CYK59" s="557"/>
      <c r="CYL59" s="557"/>
      <c r="CYM59" s="557"/>
      <c r="CYN59" s="557"/>
      <c r="CYO59" s="557"/>
      <c r="CYP59" s="557"/>
      <c r="CYQ59" s="557"/>
      <c r="CYR59" s="557"/>
      <c r="CYS59" s="557"/>
      <c r="CYT59" s="557"/>
      <c r="CYU59" s="661"/>
      <c r="CYV59" s="556"/>
      <c r="CYW59" s="557"/>
      <c r="CYX59" s="557"/>
      <c r="CYY59" s="557"/>
      <c r="CYZ59" s="557"/>
      <c r="CZA59" s="557"/>
      <c r="CZB59" s="557"/>
      <c r="CZC59" s="557"/>
      <c r="CZD59" s="557"/>
      <c r="CZE59" s="557"/>
      <c r="CZF59" s="557"/>
      <c r="CZG59" s="557"/>
      <c r="CZH59" s="557"/>
      <c r="CZI59" s="557"/>
      <c r="CZJ59" s="557"/>
      <c r="CZK59" s="557"/>
      <c r="CZL59" s="557"/>
      <c r="CZM59" s="557"/>
      <c r="CZN59" s="557"/>
      <c r="CZO59" s="661"/>
      <c r="CZP59" s="556"/>
      <c r="CZQ59" s="557"/>
      <c r="CZR59" s="557"/>
      <c r="CZS59" s="557"/>
      <c r="CZT59" s="557"/>
      <c r="CZU59" s="557"/>
      <c r="CZV59" s="557"/>
      <c r="CZW59" s="557"/>
      <c r="CZX59" s="557"/>
      <c r="CZY59" s="557"/>
      <c r="CZZ59" s="557"/>
      <c r="DAA59" s="557"/>
      <c r="DAB59" s="557"/>
      <c r="DAC59" s="557"/>
      <c r="DAD59" s="557"/>
      <c r="DAE59" s="557"/>
      <c r="DAF59" s="557"/>
      <c r="DAG59" s="557"/>
      <c r="DAH59" s="557"/>
      <c r="DAI59" s="661"/>
      <c r="DAJ59" s="556"/>
      <c r="DAK59" s="557"/>
      <c r="DAL59" s="557"/>
      <c r="DAM59" s="557"/>
      <c r="DAN59" s="557"/>
      <c r="DAO59" s="557"/>
      <c r="DAP59" s="557"/>
      <c r="DAQ59" s="557"/>
      <c r="DAR59" s="557"/>
      <c r="DAS59" s="557"/>
      <c r="DAT59" s="557"/>
      <c r="DAU59" s="557"/>
      <c r="DAV59" s="557"/>
      <c r="DAW59" s="557"/>
      <c r="DAX59" s="557"/>
      <c r="DAY59" s="557"/>
      <c r="DAZ59" s="557"/>
      <c r="DBA59" s="557"/>
      <c r="DBB59" s="557"/>
      <c r="DBC59" s="661"/>
      <c r="DBD59" s="556"/>
      <c r="DBE59" s="557"/>
      <c r="DBF59" s="557"/>
      <c r="DBG59" s="557"/>
      <c r="DBH59" s="557"/>
      <c r="DBI59" s="557"/>
      <c r="DBJ59" s="557"/>
      <c r="DBK59" s="557"/>
      <c r="DBL59" s="557"/>
      <c r="DBM59" s="557"/>
      <c r="DBN59" s="557"/>
      <c r="DBO59" s="557"/>
      <c r="DBP59" s="557"/>
      <c r="DBQ59" s="557"/>
      <c r="DBR59" s="557"/>
      <c r="DBS59" s="557"/>
      <c r="DBT59" s="557"/>
      <c r="DBU59" s="557"/>
      <c r="DBV59" s="557"/>
      <c r="DBW59" s="661"/>
      <c r="DBX59" s="556"/>
      <c r="DBY59" s="557"/>
      <c r="DBZ59" s="557"/>
      <c r="DCA59" s="557"/>
      <c r="DCB59" s="557"/>
      <c r="DCC59" s="557"/>
      <c r="DCD59" s="557"/>
      <c r="DCE59" s="557"/>
      <c r="DCF59" s="557"/>
      <c r="DCG59" s="557"/>
      <c r="DCH59" s="557"/>
      <c r="DCI59" s="557"/>
      <c r="DCJ59" s="557"/>
      <c r="DCK59" s="557"/>
      <c r="DCL59" s="557"/>
      <c r="DCM59" s="557"/>
      <c r="DCN59" s="557"/>
      <c r="DCO59" s="557"/>
      <c r="DCP59" s="557"/>
      <c r="DCQ59" s="661"/>
      <c r="DCR59" s="556"/>
      <c r="DCS59" s="557"/>
      <c r="DCT59" s="557"/>
      <c r="DCU59" s="557"/>
      <c r="DCV59" s="557"/>
      <c r="DCW59" s="557"/>
      <c r="DCX59" s="557"/>
      <c r="DCY59" s="557"/>
      <c r="DCZ59" s="557"/>
      <c r="DDA59" s="557"/>
      <c r="DDB59" s="557"/>
      <c r="DDC59" s="557"/>
      <c r="DDD59" s="557"/>
      <c r="DDE59" s="557"/>
      <c r="DDF59" s="557"/>
      <c r="DDG59" s="557"/>
      <c r="DDH59" s="557"/>
      <c r="DDI59" s="557"/>
      <c r="DDJ59" s="557"/>
      <c r="DDK59" s="661"/>
      <c r="DDL59" s="556"/>
      <c r="DDM59" s="557"/>
      <c r="DDN59" s="557"/>
      <c r="DDO59" s="557"/>
      <c r="DDP59" s="557"/>
      <c r="DDQ59" s="557"/>
      <c r="DDR59" s="557"/>
      <c r="DDS59" s="557"/>
      <c r="DDT59" s="557"/>
      <c r="DDU59" s="557"/>
      <c r="DDV59" s="557"/>
      <c r="DDW59" s="557"/>
      <c r="DDX59" s="557"/>
      <c r="DDY59" s="557"/>
      <c r="DDZ59" s="557"/>
      <c r="DEA59" s="557"/>
      <c r="DEB59" s="557"/>
      <c r="DEC59" s="557"/>
      <c r="DED59" s="557"/>
      <c r="DEE59" s="661"/>
      <c r="DEF59" s="556"/>
      <c r="DEG59" s="557"/>
      <c r="DEH59" s="557"/>
      <c r="DEI59" s="557"/>
      <c r="DEJ59" s="557"/>
      <c r="DEK59" s="557"/>
      <c r="DEL59" s="557"/>
      <c r="DEM59" s="557"/>
      <c r="DEN59" s="557"/>
      <c r="DEO59" s="557"/>
      <c r="DEP59" s="557"/>
      <c r="DEQ59" s="557"/>
      <c r="DER59" s="557"/>
      <c r="DES59" s="557"/>
      <c r="DET59" s="557"/>
      <c r="DEU59" s="557"/>
      <c r="DEV59" s="557"/>
      <c r="DEW59" s="557"/>
      <c r="DEX59" s="557"/>
      <c r="DEY59" s="661"/>
      <c r="DEZ59" s="556"/>
      <c r="DFA59" s="557"/>
      <c r="DFB59" s="557"/>
      <c r="DFC59" s="557"/>
      <c r="DFD59" s="557"/>
      <c r="DFE59" s="557"/>
      <c r="DFF59" s="557"/>
      <c r="DFG59" s="557"/>
      <c r="DFH59" s="557"/>
      <c r="DFI59" s="557"/>
      <c r="DFJ59" s="557"/>
      <c r="DFK59" s="557"/>
      <c r="DFL59" s="557"/>
      <c r="DFM59" s="557"/>
      <c r="DFN59" s="557"/>
      <c r="DFO59" s="557"/>
      <c r="DFP59" s="557"/>
      <c r="DFQ59" s="557"/>
      <c r="DFR59" s="557"/>
      <c r="DFS59" s="661"/>
      <c r="DFT59" s="556"/>
      <c r="DFU59" s="557"/>
      <c r="DFV59" s="557"/>
      <c r="DFW59" s="557"/>
      <c r="DFX59" s="557"/>
      <c r="DFY59" s="557"/>
      <c r="DFZ59" s="557"/>
      <c r="DGA59" s="557"/>
      <c r="DGB59" s="557"/>
      <c r="DGC59" s="557"/>
      <c r="DGD59" s="557"/>
      <c r="DGE59" s="557"/>
      <c r="DGF59" s="557"/>
      <c r="DGG59" s="557"/>
      <c r="DGH59" s="557"/>
      <c r="DGI59" s="557"/>
      <c r="DGJ59" s="557"/>
      <c r="DGK59" s="557"/>
      <c r="DGL59" s="557"/>
      <c r="DGM59" s="661"/>
      <c r="DGN59" s="556"/>
      <c r="DGO59" s="557"/>
      <c r="DGP59" s="557"/>
      <c r="DGQ59" s="557"/>
      <c r="DGR59" s="557"/>
      <c r="DGS59" s="557"/>
      <c r="DGT59" s="557"/>
      <c r="DGU59" s="557"/>
      <c r="DGV59" s="557"/>
      <c r="DGW59" s="557"/>
      <c r="DGX59" s="557"/>
      <c r="DGY59" s="557"/>
      <c r="DGZ59" s="557"/>
      <c r="DHA59" s="557"/>
      <c r="DHB59" s="557"/>
      <c r="DHC59" s="557"/>
      <c r="DHD59" s="557"/>
      <c r="DHE59" s="557"/>
      <c r="DHF59" s="557"/>
      <c r="DHG59" s="661"/>
      <c r="DHH59" s="556"/>
      <c r="DHI59" s="557"/>
      <c r="DHJ59" s="557"/>
      <c r="DHK59" s="557"/>
      <c r="DHL59" s="557"/>
      <c r="DHM59" s="557"/>
      <c r="DHN59" s="557"/>
      <c r="DHO59" s="557"/>
      <c r="DHP59" s="557"/>
      <c r="DHQ59" s="557"/>
      <c r="DHR59" s="557"/>
      <c r="DHS59" s="557"/>
      <c r="DHT59" s="557"/>
      <c r="DHU59" s="557"/>
      <c r="DHV59" s="557"/>
      <c r="DHW59" s="557"/>
      <c r="DHX59" s="557"/>
      <c r="DHY59" s="557"/>
      <c r="DHZ59" s="557"/>
      <c r="DIA59" s="661"/>
      <c r="DIB59" s="556"/>
      <c r="DIC59" s="557"/>
      <c r="DID59" s="557"/>
      <c r="DIE59" s="557"/>
      <c r="DIF59" s="557"/>
      <c r="DIG59" s="557"/>
      <c r="DIH59" s="557"/>
      <c r="DII59" s="557"/>
      <c r="DIJ59" s="557"/>
      <c r="DIK59" s="557"/>
      <c r="DIL59" s="557"/>
      <c r="DIM59" s="557"/>
      <c r="DIN59" s="557"/>
      <c r="DIO59" s="557"/>
      <c r="DIP59" s="557"/>
      <c r="DIQ59" s="557"/>
      <c r="DIR59" s="557"/>
      <c r="DIS59" s="557"/>
      <c r="DIT59" s="557"/>
      <c r="DIU59" s="661"/>
      <c r="DIV59" s="556"/>
      <c r="DIW59" s="557"/>
      <c r="DIX59" s="557"/>
      <c r="DIY59" s="557"/>
      <c r="DIZ59" s="557"/>
      <c r="DJA59" s="557"/>
      <c r="DJB59" s="557"/>
      <c r="DJC59" s="557"/>
      <c r="DJD59" s="557"/>
      <c r="DJE59" s="557"/>
      <c r="DJF59" s="557"/>
      <c r="DJG59" s="557"/>
      <c r="DJH59" s="557"/>
      <c r="DJI59" s="557"/>
      <c r="DJJ59" s="557"/>
      <c r="DJK59" s="557"/>
      <c r="DJL59" s="557"/>
      <c r="DJM59" s="557"/>
      <c r="DJN59" s="557"/>
      <c r="DJO59" s="661"/>
      <c r="DJP59" s="556"/>
      <c r="DJQ59" s="557"/>
      <c r="DJR59" s="557"/>
      <c r="DJS59" s="557"/>
      <c r="DJT59" s="557"/>
      <c r="DJU59" s="557"/>
      <c r="DJV59" s="557"/>
      <c r="DJW59" s="557"/>
      <c r="DJX59" s="557"/>
      <c r="DJY59" s="557"/>
      <c r="DJZ59" s="557"/>
      <c r="DKA59" s="557"/>
      <c r="DKB59" s="557"/>
      <c r="DKC59" s="557"/>
      <c r="DKD59" s="557"/>
      <c r="DKE59" s="557"/>
      <c r="DKF59" s="557"/>
      <c r="DKG59" s="557"/>
      <c r="DKH59" s="557"/>
      <c r="DKI59" s="661"/>
      <c r="DKJ59" s="556"/>
      <c r="DKK59" s="557"/>
      <c r="DKL59" s="557"/>
      <c r="DKM59" s="557"/>
      <c r="DKN59" s="557"/>
      <c r="DKO59" s="557"/>
      <c r="DKP59" s="557"/>
      <c r="DKQ59" s="557"/>
      <c r="DKR59" s="557"/>
      <c r="DKS59" s="557"/>
      <c r="DKT59" s="557"/>
      <c r="DKU59" s="557"/>
      <c r="DKV59" s="557"/>
      <c r="DKW59" s="557"/>
      <c r="DKX59" s="557"/>
      <c r="DKY59" s="557"/>
      <c r="DKZ59" s="557"/>
      <c r="DLA59" s="557"/>
      <c r="DLB59" s="557"/>
      <c r="DLC59" s="661"/>
      <c r="DLD59" s="556"/>
      <c r="DLE59" s="557"/>
      <c r="DLF59" s="557"/>
      <c r="DLG59" s="557"/>
      <c r="DLH59" s="557"/>
      <c r="DLI59" s="557"/>
      <c r="DLJ59" s="557"/>
      <c r="DLK59" s="557"/>
      <c r="DLL59" s="557"/>
      <c r="DLM59" s="557"/>
      <c r="DLN59" s="557"/>
      <c r="DLO59" s="557"/>
      <c r="DLP59" s="557"/>
      <c r="DLQ59" s="557"/>
      <c r="DLR59" s="557"/>
      <c r="DLS59" s="557"/>
      <c r="DLT59" s="557"/>
      <c r="DLU59" s="557"/>
      <c r="DLV59" s="557"/>
      <c r="DLW59" s="661"/>
      <c r="DLX59" s="556"/>
      <c r="DLY59" s="557"/>
      <c r="DLZ59" s="557"/>
      <c r="DMA59" s="557"/>
      <c r="DMB59" s="557"/>
      <c r="DMC59" s="557"/>
      <c r="DMD59" s="557"/>
      <c r="DME59" s="557"/>
      <c r="DMF59" s="557"/>
      <c r="DMG59" s="557"/>
      <c r="DMH59" s="557"/>
      <c r="DMI59" s="557"/>
      <c r="DMJ59" s="557"/>
      <c r="DMK59" s="557"/>
      <c r="DML59" s="557"/>
      <c r="DMM59" s="557"/>
      <c r="DMN59" s="557"/>
      <c r="DMO59" s="557"/>
      <c r="DMP59" s="557"/>
      <c r="DMQ59" s="661"/>
      <c r="DMR59" s="556"/>
      <c r="DMS59" s="557"/>
      <c r="DMT59" s="557"/>
      <c r="DMU59" s="557"/>
      <c r="DMV59" s="557"/>
      <c r="DMW59" s="557"/>
      <c r="DMX59" s="557"/>
      <c r="DMY59" s="557"/>
      <c r="DMZ59" s="557"/>
      <c r="DNA59" s="557"/>
      <c r="DNB59" s="557"/>
      <c r="DNC59" s="557"/>
      <c r="DND59" s="557"/>
      <c r="DNE59" s="557"/>
      <c r="DNF59" s="557"/>
      <c r="DNG59" s="557"/>
      <c r="DNH59" s="557"/>
      <c r="DNI59" s="557"/>
      <c r="DNJ59" s="557"/>
      <c r="DNK59" s="661"/>
      <c r="DNL59" s="556"/>
      <c r="DNM59" s="557"/>
      <c r="DNN59" s="557"/>
      <c r="DNO59" s="557"/>
      <c r="DNP59" s="557"/>
      <c r="DNQ59" s="557"/>
      <c r="DNR59" s="557"/>
      <c r="DNS59" s="557"/>
      <c r="DNT59" s="557"/>
      <c r="DNU59" s="557"/>
      <c r="DNV59" s="557"/>
      <c r="DNW59" s="557"/>
      <c r="DNX59" s="557"/>
      <c r="DNY59" s="557"/>
      <c r="DNZ59" s="557"/>
      <c r="DOA59" s="557"/>
      <c r="DOB59" s="557"/>
      <c r="DOC59" s="557"/>
      <c r="DOD59" s="557"/>
      <c r="DOE59" s="661"/>
      <c r="DOF59" s="556"/>
      <c r="DOG59" s="557"/>
      <c r="DOH59" s="557"/>
      <c r="DOI59" s="557"/>
      <c r="DOJ59" s="557"/>
      <c r="DOK59" s="557"/>
      <c r="DOL59" s="557"/>
      <c r="DOM59" s="557"/>
      <c r="DON59" s="557"/>
      <c r="DOO59" s="557"/>
      <c r="DOP59" s="557"/>
      <c r="DOQ59" s="557"/>
      <c r="DOR59" s="557"/>
      <c r="DOS59" s="557"/>
      <c r="DOT59" s="557"/>
      <c r="DOU59" s="557"/>
      <c r="DOV59" s="557"/>
      <c r="DOW59" s="557"/>
      <c r="DOX59" s="557"/>
      <c r="DOY59" s="661"/>
      <c r="DOZ59" s="556"/>
      <c r="DPA59" s="557"/>
      <c r="DPB59" s="557"/>
      <c r="DPC59" s="557"/>
      <c r="DPD59" s="557"/>
      <c r="DPE59" s="557"/>
      <c r="DPF59" s="557"/>
      <c r="DPG59" s="557"/>
      <c r="DPH59" s="557"/>
      <c r="DPI59" s="557"/>
      <c r="DPJ59" s="557"/>
      <c r="DPK59" s="557"/>
      <c r="DPL59" s="557"/>
      <c r="DPM59" s="557"/>
      <c r="DPN59" s="557"/>
      <c r="DPO59" s="557"/>
      <c r="DPP59" s="557"/>
      <c r="DPQ59" s="557"/>
      <c r="DPR59" s="557"/>
      <c r="DPS59" s="661"/>
      <c r="DPT59" s="556"/>
      <c r="DPU59" s="557"/>
      <c r="DPV59" s="557"/>
      <c r="DPW59" s="557"/>
      <c r="DPX59" s="557"/>
      <c r="DPY59" s="557"/>
      <c r="DPZ59" s="557"/>
      <c r="DQA59" s="557"/>
      <c r="DQB59" s="557"/>
      <c r="DQC59" s="557"/>
      <c r="DQD59" s="557"/>
      <c r="DQE59" s="557"/>
      <c r="DQF59" s="557"/>
      <c r="DQG59" s="557"/>
      <c r="DQH59" s="557"/>
      <c r="DQI59" s="557"/>
      <c r="DQJ59" s="557"/>
      <c r="DQK59" s="557"/>
      <c r="DQL59" s="557"/>
      <c r="DQM59" s="661"/>
      <c r="DQN59" s="556"/>
      <c r="DQO59" s="557"/>
      <c r="DQP59" s="557"/>
      <c r="DQQ59" s="557"/>
      <c r="DQR59" s="557"/>
      <c r="DQS59" s="557"/>
      <c r="DQT59" s="557"/>
      <c r="DQU59" s="557"/>
      <c r="DQV59" s="557"/>
      <c r="DQW59" s="557"/>
      <c r="DQX59" s="557"/>
      <c r="DQY59" s="557"/>
      <c r="DQZ59" s="557"/>
      <c r="DRA59" s="557"/>
      <c r="DRB59" s="557"/>
      <c r="DRC59" s="557"/>
      <c r="DRD59" s="557"/>
      <c r="DRE59" s="557"/>
      <c r="DRF59" s="557"/>
      <c r="DRG59" s="661"/>
      <c r="DRH59" s="556"/>
      <c r="DRI59" s="557"/>
      <c r="DRJ59" s="557"/>
      <c r="DRK59" s="557"/>
      <c r="DRL59" s="557"/>
      <c r="DRM59" s="557"/>
      <c r="DRN59" s="557"/>
      <c r="DRO59" s="557"/>
      <c r="DRP59" s="557"/>
      <c r="DRQ59" s="557"/>
      <c r="DRR59" s="557"/>
      <c r="DRS59" s="557"/>
      <c r="DRT59" s="557"/>
      <c r="DRU59" s="557"/>
      <c r="DRV59" s="557"/>
      <c r="DRW59" s="557"/>
      <c r="DRX59" s="557"/>
      <c r="DRY59" s="557"/>
      <c r="DRZ59" s="557"/>
      <c r="DSA59" s="661"/>
      <c r="DSB59" s="556"/>
      <c r="DSC59" s="557"/>
      <c r="DSD59" s="557"/>
      <c r="DSE59" s="557"/>
      <c r="DSF59" s="557"/>
      <c r="DSG59" s="557"/>
      <c r="DSH59" s="557"/>
      <c r="DSI59" s="557"/>
      <c r="DSJ59" s="557"/>
      <c r="DSK59" s="557"/>
      <c r="DSL59" s="557"/>
      <c r="DSM59" s="557"/>
      <c r="DSN59" s="557"/>
      <c r="DSO59" s="557"/>
      <c r="DSP59" s="557"/>
      <c r="DSQ59" s="557"/>
      <c r="DSR59" s="557"/>
      <c r="DSS59" s="557"/>
      <c r="DST59" s="557"/>
      <c r="DSU59" s="661"/>
      <c r="DSV59" s="556"/>
      <c r="DSW59" s="557"/>
      <c r="DSX59" s="557"/>
      <c r="DSY59" s="557"/>
      <c r="DSZ59" s="557"/>
      <c r="DTA59" s="557"/>
      <c r="DTB59" s="557"/>
      <c r="DTC59" s="557"/>
      <c r="DTD59" s="557"/>
      <c r="DTE59" s="557"/>
      <c r="DTF59" s="557"/>
      <c r="DTG59" s="557"/>
      <c r="DTH59" s="557"/>
      <c r="DTI59" s="557"/>
      <c r="DTJ59" s="557"/>
      <c r="DTK59" s="557"/>
      <c r="DTL59" s="557"/>
      <c r="DTM59" s="557"/>
      <c r="DTN59" s="557"/>
      <c r="DTO59" s="661"/>
      <c r="DTP59" s="556"/>
      <c r="DTQ59" s="557"/>
      <c r="DTR59" s="557"/>
      <c r="DTS59" s="557"/>
      <c r="DTT59" s="557"/>
      <c r="DTU59" s="557"/>
      <c r="DTV59" s="557"/>
      <c r="DTW59" s="557"/>
      <c r="DTX59" s="557"/>
      <c r="DTY59" s="557"/>
      <c r="DTZ59" s="557"/>
      <c r="DUA59" s="557"/>
      <c r="DUB59" s="557"/>
      <c r="DUC59" s="557"/>
      <c r="DUD59" s="557"/>
      <c r="DUE59" s="557"/>
      <c r="DUF59" s="557"/>
      <c r="DUG59" s="557"/>
      <c r="DUH59" s="557"/>
      <c r="DUI59" s="661"/>
      <c r="DUJ59" s="556"/>
      <c r="DUK59" s="557"/>
      <c r="DUL59" s="557"/>
      <c r="DUM59" s="557"/>
      <c r="DUN59" s="557"/>
      <c r="DUO59" s="557"/>
      <c r="DUP59" s="557"/>
      <c r="DUQ59" s="557"/>
      <c r="DUR59" s="557"/>
      <c r="DUS59" s="557"/>
      <c r="DUT59" s="557"/>
      <c r="DUU59" s="557"/>
      <c r="DUV59" s="557"/>
      <c r="DUW59" s="557"/>
      <c r="DUX59" s="557"/>
      <c r="DUY59" s="557"/>
      <c r="DUZ59" s="557"/>
      <c r="DVA59" s="557"/>
      <c r="DVB59" s="557"/>
      <c r="DVC59" s="661"/>
      <c r="DVD59" s="556"/>
      <c r="DVE59" s="557"/>
      <c r="DVF59" s="557"/>
      <c r="DVG59" s="557"/>
      <c r="DVH59" s="557"/>
      <c r="DVI59" s="557"/>
      <c r="DVJ59" s="557"/>
      <c r="DVK59" s="557"/>
      <c r="DVL59" s="557"/>
      <c r="DVM59" s="557"/>
      <c r="DVN59" s="557"/>
      <c r="DVO59" s="557"/>
      <c r="DVP59" s="557"/>
      <c r="DVQ59" s="557"/>
      <c r="DVR59" s="557"/>
      <c r="DVS59" s="557"/>
      <c r="DVT59" s="557"/>
      <c r="DVU59" s="557"/>
      <c r="DVV59" s="557"/>
      <c r="DVW59" s="661"/>
      <c r="DVX59" s="556"/>
      <c r="DVY59" s="557"/>
      <c r="DVZ59" s="557"/>
      <c r="DWA59" s="557"/>
      <c r="DWB59" s="557"/>
      <c r="DWC59" s="557"/>
      <c r="DWD59" s="557"/>
      <c r="DWE59" s="557"/>
      <c r="DWF59" s="557"/>
      <c r="DWG59" s="557"/>
      <c r="DWH59" s="557"/>
      <c r="DWI59" s="557"/>
      <c r="DWJ59" s="557"/>
      <c r="DWK59" s="557"/>
      <c r="DWL59" s="557"/>
      <c r="DWM59" s="557"/>
      <c r="DWN59" s="557"/>
      <c r="DWO59" s="557"/>
      <c r="DWP59" s="557"/>
      <c r="DWQ59" s="661"/>
      <c r="DWR59" s="556"/>
      <c r="DWS59" s="557"/>
      <c r="DWT59" s="557"/>
      <c r="DWU59" s="557"/>
      <c r="DWV59" s="557"/>
      <c r="DWW59" s="557"/>
      <c r="DWX59" s="557"/>
      <c r="DWY59" s="557"/>
      <c r="DWZ59" s="557"/>
      <c r="DXA59" s="557"/>
      <c r="DXB59" s="557"/>
      <c r="DXC59" s="557"/>
      <c r="DXD59" s="557"/>
      <c r="DXE59" s="557"/>
      <c r="DXF59" s="557"/>
      <c r="DXG59" s="557"/>
      <c r="DXH59" s="557"/>
      <c r="DXI59" s="557"/>
      <c r="DXJ59" s="557"/>
      <c r="DXK59" s="661"/>
      <c r="DXL59" s="556"/>
      <c r="DXM59" s="557"/>
      <c r="DXN59" s="557"/>
      <c r="DXO59" s="557"/>
      <c r="DXP59" s="557"/>
      <c r="DXQ59" s="557"/>
      <c r="DXR59" s="557"/>
      <c r="DXS59" s="557"/>
      <c r="DXT59" s="557"/>
      <c r="DXU59" s="557"/>
      <c r="DXV59" s="557"/>
      <c r="DXW59" s="557"/>
      <c r="DXX59" s="557"/>
      <c r="DXY59" s="557"/>
      <c r="DXZ59" s="557"/>
      <c r="DYA59" s="557"/>
      <c r="DYB59" s="557"/>
      <c r="DYC59" s="557"/>
      <c r="DYD59" s="557"/>
      <c r="DYE59" s="661"/>
      <c r="DYF59" s="556"/>
      <c r="DYG59" s="557"/>
      <c r="DYH59" s="557"/>
      <c r="DYI59" s="557"/>
      <c r="DYJ59" s="557"/>
      <c r="DYK59" s="557"/>
      <c r="DYL59" s="557"/>
      <c r="DYM59" s="557"/>
      <c r="DYN59" s="557"/>
      <c r="DYO59" s="557"/>
      <c r="DYP59" s="557"/>
      <c r="DYQ59" s="557"/>
      <c r="DYR59" s="557"/>
      <c r="DYS59" s="557"/>
      <c r="DYT59" s="557"/>
      <c r="DYU59" s="557"/>
      <c r="DYV59" s="557"/>
      <c r="DYW59" s="557"/>
      <c r="DYX59" s="557"/>
      <c r="DYY59" s="661"/>
      <c r="DYZ59" s="556"/>
      <c r="DZA59" s="557"/>
      <c r="DZB59" s="557"/>
      <c r="DZC59" s="557"/>
      <c r="DZD59" s="557"/>
      <c r="DZE59" s="557"/>
      <c r="DZF59" s="557"/>
      <c r="DZG59" s="557"/>
      <c r="DZH59" s="557"/>
      <c r="DZI59" s="557"/>
      <c r="DZJ59" s="557"/>
      <c r="DZK59" s="557"/>
      <c r="DZL59" s="557"/>
      <c r="DZM59" s="557"/>
      <c r="DZN59" s="557"/>
      <c r="DZO59" s="557"/>
      <c r="DZP59" s="557"/>
      <c r="DZQ59" s="557"/>
      <c r="DZR59" s="557"/>
      <c r="DZS59" s="661"/>
      <c r="DZT59" s="556"/>
      <c r="DZU59" s="557"/>
      <c r="DZV59" s="557"/>
      <c r="DZW59" s="557"/>
      <c r="DZX59" s="557"/>
      <c r="DZY59" s="557"/>
      <c r="DZZ59" s="557"/>
      <c r="EAA59" s="557"/>
      <c r="EAB59" s="557"/>
      <c r="EAC59" s="557"/>
      <c r="EAD59" s="557"/>
      <c r="EAE59" s="557"/>
      <c r="EAF59" s="557"/>
      <c r="EAG59" s="557"/>
      <c r="EAH59" s="557"/>
      <c r="EAI59" s="557"/>
      <c r="EAJ59" s="557"/>
      <c r="EAK59" s="557"/>
      <c r="EAL59" s="557"/>
      <c r="EAM59" s="661"/>
      <c r="EAN59" s="556"/>
      <c r="EAO59" s="557"/>
      <c r="EAP59" s="557"/>
      <c r="EAQ59" s="557"/>
      <c r="EAR59" s="557"/>
      <c r="EAS59" s="557"/>
      <c r="EAT59" s="557"/>
      <c r="EAU59" s="557"/>
      <c r="EAV59" s="557"/>
      <c r="EAW59" s="557"/>
      <c r="EAX59" s="557"/>
      <c r="EAY59" s="557"/>
      <c r="EAZ59" s="557"/>
      <c r="EBA59" s="557"/>
      <c r="EBB59" s="557"/>
      <c r="EBC59" s="557"/>
      <c r="EBD59" s="557"/>
      <c r="EBE59" s="557"/>
      <c r="EBF59" s="557"/>
      <c r="EBG59" s="661"/>
      <c r="EBH59" s="556"/>
      <c r="EBI59" s="557"/>
      <c r="EBJ59" s="557"/>
      <c r="EBK59" s="557"/>
      <c r="EBL59" s="557"/>
      <c r="EBM59" s="557"/>
      <c r="EBN59" s="557"/>
      <c r="EBO59" s="557"/>
      <c r="EBP59" s="557"/>
      <c r="EBQ59" s="557"/>
      <c r="EBR59" s="557"/>
      <c r="EBS59" s="557"/>
      <c r="EBT59" s="557"/>
      <c r="EBU59" s="557"/>
      <c r="EBV59" s="557"/>
      <c r="EBW59" s="557"/>
      <c r="EBX59" s="557"/>
      <c r="EBY59" s="557"/>
      <c r="EBZ59" s="557"/>
      <c r="ECA59" s="661"/>
      <c r="ECB59" s="556"/>
      <c r="ECC59" s="557"/>
      <c r="ECD59" s="557"/>
      <c r="ECE59" s="557"/>
      <c r="ECF59" s="557"/>
      <c r="ECG59" s="557"/>
      <c r="ECH59" s="557"/>
      <c r="ECI59" s="557"/>
      <c r="ECJ59" s="557"/>
      <c r="ECK59" s="557"/>
      <c r="ECL59" s="557"/>
      <c r="ECM59" s="557"/>
      <c r="ECN59" s="557"/>
      <c r="ECO59" s="557"/>
      <c r="ECP59" s="557"/>
      <c r="ECQ59" s="557"/>
      <c r="ECR59" s="557"/>
      <c r="ECS59" s="557"/>
      <c r="ECT59" s="557"/>
      <c r="ECU59" s="661"/>
      <c r="ECV59" s="556"/>
      <c r="ECW59" s="557"/>
      <c r="ECX59" s="557"/>
      <c r="ECY59" s="557"/>
      <c r="ECZ59" s="557"/>
      <c r="EDA59" s="557"/>
      <c r="EDB59" s="557"/>
      <c r="EDC59" s="557"/>
      <c r="EDD59" s="557"/>
      <c r="EDE59" s="557"/>
      <c r="EDF59" s="557"/>
      <c r="EDG59" s="557"/>
      <c r="EDH59" s="557"/>
      <c r="EDI59" s="557"/>
      <c r="EDJ59" s="557"/>
      <c r="EDK59" s="557"/>
      <c r="EDL59" s="557"/>
      <c r="EDM59" s="557"/>
      <c r="EDN59" s="557"/>
      <c r="EDO59" s="661"/>
      <c r="EDP59" s="556"/>
      <c r="EDQ59" s="557"/>
      <c r="EDR59" s="557"/>
      <c r="EDS59" s="557"/>
      <c r="EDT59" s="557"/>
      <c r="EDU59" s="557"/>
      <c r="EDV59" s="557"/>
      <c r="EDW59" s="557"/>
      <c r="EDX59" s="557"/>
      <c r="EDY59" s="557"/>
      <c r="EDZ59" s="557"/>
      <c r="EEA59" s="557"/>
      <c r="EEB59" s="557"/>
      <c r="EEC59" s="557"/>
      <c r="EED59" s="557"/>
      <c r="EEE59" s="557"/>
      <c r="EEF59" s="557"/>
      <c r="EEG59" s="557"/>
      <c r="EEH59" s="557"/>
      <c r="EEI59" s="661"/>
      <c r="EEJ59" s="556"/>
      <c r="EEK59" s="557"/>
      <c r="EEL59" s="557"/>
      <c r="EEM59" s="557"/>
      <c r="EEN59" s="557"/>
      <c r="EEO59" s="557"/>
      <c r="EEP59" s="557"/>
      <c r="EEQ59" s="557"/>
      <c r="EER59" s="557"/>
      <c r="EES59" s="557"/>
      <c r="EET59" s="557"/>
      <c r="EEU59" s="557"/>
      <c r="EEV59" s="557"/>
      <c r="EEW59" s="557"/>
      <c r="EEX59" s="557"/>
      <c r="EEY59" s="557"/>
      <c r="EEZ59" s="557"/>
      <c r="EFA59" s="557"/>
      <c r="EFB59" s="557"/>
      <c r="EFC59" s="661"/>
      <c r="EFD59" s="556"/>
      <c r="EFE59" s="557"/>
      <c r="EFF59" s="557"/>
      <c r="EFG59" s="557"/>
      <c r="EFH59" s="557"/>
      <c r="EFI59" s="557"/>
      <c r="EFJ59" s="557"/>
      <c r="EFK59" s="557"/>
      <c r="EFL59" s="557"/>
      <c r="EFM59" s="557"/>
      <c r="EFN59" s="557"/>
      <c r="EFO59" s="557"/>
      <c r="EFP59" s="557"/>
      <c r="EFQ59" s="557"/>
      <c r="EFR59" s="557"/>
      <c r="EFS59" s="557"/>
      <c r="EFT59" s="557"/>
      <c r="EFU59" s="557"/>
      <c r="EFV59" s="557"/>
      <c r="EFW59" s="661"/>
      <c r="EFX59" s="556"/>
      <c r="EFY59" s="557"/>
      <c r="EFZ59" s="557"/>
      <c r="EGA59" s="557"/>
      <c r="EGB59" s="557"/>
      <c r="EGC59" s="557"/>
      <c r="EGD59" s="557"/>
      <c r="EGE59" s="557"/>
      <c r="EGF59" s="557"/>
      <c r="EGG59" s="557"/>
      <c r="EGH59" s="557"/>
      <c r="EGI59" s="557"/>
      <c r="EGJ59" s="557"/>
      <c r="EGK59" s="557"/>
      <c r="EGL59" s="557"/>
      <c r="EGM59" s="557"/>
      <c r="EGN59" s="557"/>
      <c r="EGO59" s="557"/>
      <c r="EGP59" s="557"/>
      <c r="EGQ59" s="661"/>
      <c r="EGR59" s="556"/>
      <c r="EGS59" s="557"/>
      <c r="EGT59" s="557"/>
      <c r="EGU59" s="557"/>
      <c r="EGV59" s="557"/>
      <c r="EGW59" s="557"/>
      <c r="EGX59" s="557"/>
      <c r="EGY59" s="557"/>
      <c r="EGZ59" s="557"/>
      <c r="EHA59" s="557"/>
      <c r="EHB59" s="557"/>
      <c r="EHC59" s="557"/>
      <c r="EHD59" s="557"/>
      <c r="EHE59" s="557"/>
      <c r="EHF59" s="557"/>
      <c r="EHG59" s="557"/>
      <c r="EHH59" s="557"/>
      <c r="EHI59" s="557"/>
      <c r="EHJ59" s="557"/>
      <c r="EHK59" s="661"/>
      <c r="EHL59" s="556"/>
      <c r="EHM59" s="557"/>
      <c r="EHN59" s="557"/>
      <c r="EHO59" s="557"/>
      <c r="EHP59" s="557"/>
      <c r="EHQ59" s="557"/>
      <c r="EHR59" s="557"/>
      <c r="EHS59" s="557"/>
      <c r="EHT59" s="557"/>
      <c r="EHU59" s="557"/>
      <c r="EHV59" s="557"/>
      <c r="EHW59" s="557"/>
      <c r="EHX59" s="557"/>
      <c r="EHY59" s="557"/>
      <c r="EHZ59" s="557"/>
      <c r="EIA59" s="557"/>
      <c r="EIB59" s="557"/>
      <c r="EIC59" s="557"/>
      <c r="EID59" s="557"/>
      <c r="EIE59" s="661"/>
      <c r="EIF59" s="556"/>
      <c r="EIG59" s="557"/>
      <c r="EIH59" s="557"/>
      <c r="EII59" s="557"/>
      <c r="EIJ59" s="557"/>
      <c r="EIK59" s="557"/>
      <c r="EIL59" s="557"/>
      <c r="EIM59" s="557"/>
      <c r="EIN59" s="557"/>
      <c r="EIO59" s="557"/>
      <c r="EIP59" s="557"/>
      <c r="EIQ59" s="557"/>
      <c r="EIR59" s="557"/>
      <c r="EIS59" s="557"/>
      <c r="EIT59" s="557"/>
      <c r="EIU59" s="557"/>
      <c r="EIV59" s="557"/>
      <c r="EIW59" s="557"/>
      <c r="EIX59" s="557"/>
      <c r="EIY59" s="661"/>
      <c r="EIZ59" s="556"/>
      <c r="EJA59" s="557"/>
      <c r="EJB59" s="557"/>
      <c r="EJC59" s="557"/>
      <c r="EJD59" s="557"/>
      <c r="EJE59" s="557"/>
      <c r="EJF59" s="557"/>
      <c r="EJG59" s="557"/>
      <c r="EJH59" s="557"/>
      <c r="EJI59" s="557"/>
      <c r="EJJ59" s="557"/>
      <c r="EJK59" s="557"/>
      <c r="EJL59" s="557"/>
      <c r="EJM59" s="557"/>
      <c r="EJN59" s="557"/>
      <c r="EJO59" s="557"/>
      <c r="EJP59" s="557"/>
      <c r="EJQ59" s="557"/>
      <c r="EJR59" s="557"/>
      <c r="EJS59" s="661"/>
      <c r="EJT59" s="556"/>
      <c r="EJU59" s="557"/>
      <c r="EJV59" s="557"/>
      <c r="EJW59" s="557"/>
      <c r="EJX59" s="557"/>
      <c r="EJY59" s="557"/>
      <c r="EJZ59" s="557"/>
      <c r="EKA59" s="557"/>
      <c r="EKB59" s="557"/>
      <c r="EKC59" s="557"/>
      <c r="EKD59" s="557"/>
      <c r="EKE59" s="557"/>
      <c r="EKF59" s="557"/>
      <c r="EKG59" s="557"/>
      <c r="EKH59" s="557"/>
      <c r="EKI59" s="557"/>
      <c r="EKJ59" s="557"/>
      <c r="EKK59" s="557"/>
      <c r="EKL59" s="557"/>
      <c r="EKM59" s="661"/>
      <c r="EKN59" s="556"/>
      <c r="EKO59" s="557"/>
      <c r="EKP59" s="557"/>
      <c r="EKQ59" s="557"/>
      <c r="EKR59" s="557"/>
      <c r="EKS59" s="557"/>
      <c r="EKT59" s="557"/>
      <c r="EKU59" s="557"/>
      <c r="EKV59" s="557"/>
      <c r="EKW59" s="557"/>
      <c r="EKX59" s="557"/>
      <c r="EKY59" s="557"/>
      <c r="EKZ59" s="557"/>
      <c r="ELA59" s="557"/>
      <c r="ELB59" s="557"/>
      <c r="ELC59" s="557"/>
      <c r="ELD59" s="557"/>
      <c r="ELE59" s="557"/>
      <c r="ELF59" s="557"/>
      <c r="ELG59" s="661"/>
      <c r="ELH59" s="556"/>
      <c r="ELI59" s="557"/>
      <c r="ELJ59" s="557"/>
      <c r="ELK59" s="557"/>
      <c r="ELL59" s="557"/>
      <c r="ELM59" s="557"/>
      <c r="ELN59" s="557"/>
      <c r="ELO59" s="557"/>
      <c r="ELP59" s="557"/>
      <c r="ELQ59" s="557"/>
      <c r="ELR59" s="557"/>
      <c r="ELS59" s="557"/>
      <c r="ELT59" s="557"/>
      <c r="ELU59" s="557"/>
      <c r="ELV59" s="557"/>
      <c r="ELW59" s="557"/>
      <c r="ELX59" s="557"/>
      <c r="ELY59" s="557"/>
      <c r="ELZ59" s="557"/>
      <c r="EMA59" s="661"/>
      <c r="EMB59" s="556"/>
      <c r="EMC59" s="557"/>
      <c r="EMD59" s="557"/>
      <c r="EME59" s="557"/>
      <c r="EMF59" s="557"/>
      <c r="EMG59" s="557"/>
      <c r="EMH59" s="557"/>
      <c r="EMI59" s="557"/>
      <c r="EMJ59" s="557"/>
      <c r="EMK59" s="557"/>
      <c r="EML59" s="557"/>
      <c r="EMM59" s="557"/>
      <c r="EMN59" s="557"/>
      <c r="EMO59" s="557"/>
      <c r="EMP59" s="557"/>
      <c r="EMQ59" s="557"/>
      <c r="EMR59" s="557"/>
      <c r="EMS59" s="557"/>
      <c r="EMT59" s="557"/>
      <c r="EMU59" s="661"/>
      <c r="EMV59" s="556"/>
      <c r="EMW59" s="557"/>
      <c r="EMX59" s="557"/>
      <c r="EMY59" s="557"/>
      <c r="EMZ59" s="557"/>
      <c r="ENA59" s="557"/>
      <c r="ENB59" s="557"/>
      <c r="ENC59" s="557"/>
      <c r="END59" s="557"/>
      <c r="ENE59" s="557"/>
      <c r="ENF59" s="557"/>
      <c r="ENG59" s="557"/>
      <c r="ENH59" s="557"/>
      <c r="ENI59" s="557"/>
      <c r="ENJ59" s="557"/>
      <c r="ENK59" s="557"/>
      <c r="ENL59" s="557"/>
      <c r="ENM59" s="557"/>
      <c r="ENN59" s="557"/>
      <c r="ENO59" s="661"/>
      <c r="ENP59" s="556"/>
      <c r="ENQ59" s="557"/>
      <c r="ENR59" s="557"/>
      <c r="ENS59" s="557"/>
      <c r="ENT59" s="557"/>
      <c r="ENU59" s="557"/>
      <c r="ENV59" s="557"/>
      <c r="ENW59" s="557"/>
      <c r="ENX59" s="557"/>
      <c r="ENY59" s="557"/>
      <c r="ENZ59" s="557"/>
      <c r="EOA59" s="557"/>
      <c r="EOB59" s="557"/>
      <c r="EOC59" s="557"/>
      <c r="EOD59" s="557"/>
      <c r="EOE59" s="557"/>
      <c r="EOF59" s="557"/>
      <c r="EOG59" s="557"/>
      <c r="EOH59" s="557"/>
      <c r="EOI59" s="661"/>
      <c r="EOJ59" s="556"/>
      <c r="EOK59" s="557"/>
      <c r="EOL59" s="557"/>
      <c r="EOM59" s="557"/>
      <c r="EON59" s="557"/>
      <c r="EOO59" s="557"/>
      <c r="EOP59" s="557"/>
      <c r="EOQ59" s="557"/>
      <c r="EOR59" s="557"/>
      <c r="EOS59" s="557"/>
      <c r="EOT59" s="557"/>
      <c r="EOU59" s="557"/>
      <c r="EOV59" s="557"/>
      <c r="EOW59" s="557"/>
      <c r="EOX59" s="557"/>
      <c r="EOY59" s="557"/>
      <c r="EOZ59" s="557"/>
      <c r="EPA59" s="557"/>
      <c r="EPB59" s="557"/>
      <c r="EPC59" s="661"/>
      <c r="EPD59" s="556"/>
      <c r="EPE59" s="557"/>
      <c r="EPF59" s="557"/>
      <c r="EPG59" s="557"/>
      <c r="EPH59" s="557"/>
      <c r="EPI59" s="557"/>
      <c r="EPJ59" s="557"/>
      <c r="EPK59" s="557"/>
      <c r="EPL59" s="557"/>
      <c r="EPM59" s="557"/>
      <c r="EPN59" s="557"/>
      <c r="EPO59" s="557"/>
      <c r="EPP59" s="557"/>
      <c r="EPQ59" s="557"/>
      <c r="EPR59" s="557"/>
      <c r="EPS59" s="557"/>
      <c r="EPT59" s="557"/>
      <c r="EPU59" s="557"/>
      <c r="EPV59" s="557"/>
      <c r="EPW59" s="661"/>
      <c r="EPX59" s="556"/>
      <c r="EPY59" s="557"/>
      <c r="EPZ59" s="557"/>
      <c r="EQA59" s="557"/>
      <c r="EQB59" s="557"/>
      <c r="EQC59" s="557"/>
      <c r="EQD59" s="557"/>
      <c r="EQE59" s="557"/>
      <c r="EQF59" s="557"/>
      <c r="EQG59" s="557"/>
      <c r="EQH59" s="557"/>
      <c r="EQI59" s="557"/>
      <c r="EQJ59" s="557"/>
      <c r="EQK59" s="557"/>
      <c r="EQL59" s="557"/>
      <c r="EQM59" s="557"/>
      <c r="EQN59" s="557"/>
      <c r="EQO59" s="557"/>
      <c r="EQP59" s="557"/>
      <c r="EQQ59" s="661"/>
      <c r="EQR59" s="556"/>
      <c r="EQS59" s="557"/>
      <c r="EQT59" s="557"/>
      <c r="EQU59" s="557"/>
      <c r="EQV59" s="557"/>
      <c r="EQW59" s="557"/>
      <c r="EQX59" s="557"/>
      <c r="EQY59" s="557"/>
      <c r="EQZ59" s="557"/>
      <c r="ERA59" s="557"/>
      <c r="ERB59" s="557"/>
      <c r="ERC59" s="557"/>
      <c r="ERD59" s="557"/>
      <c r="ERE59" s="557"/>
      <c r="ERF59" s="557"/>
      <c r="ERG59" s="557"/>
      <c r="ERH59" s="557"/>
      <c r="ERI59" s="557"/>
      <c r="ERJ59" s="557"/>
      <c r="ERK59" s="661"/>
      <c r="ERL59" s="556"/>
      <c r="ERM59" s="557"/>
      <c r="ERN59" s="557"/>
      <c r="ERO59" s="557"/>
      <c r="ERP59" s="557"/>
      <c r="ERQ59" s="557"/>
      <c r="ERR59" s="557"/>
      <c r="ERS59" s="557"/>
      <c r="ERT59" s="557"/>
      <c r="ERU59" s="557"/>
      <c r="ERV59" s="557"/>
      <c r="ERW59" s="557"/>
      <c r="ERX59" s="557"/>
      <c r="ERY59" s="557"/>
      <c r="ERZ59" s="557"/>
      <c r="ESA59" s="557"/>
      <c r="ESB59" s="557"/>
      <c r="ESC59" s="557"/>
      <c r="ESD59" s="557"/>
      <c r="ESE59" s="661"/>
      <c r="ESF59" s="556"/>
      <c r="ESG59" s="557"/>
      <c r="ESH59" s="557"/>
      <c r="ESI59" s="557"/>
      <c r="ESJ59" s="557"/>
      <c r="ESK59" s="557"/>
      <c r="ESL59" s="557"/>
      <c r="ESM59" s="557"/>
      <c r="ESN59" s="557"/>
      <c r="ESO59" s="557"/>
      <c r="ESP59" s="557"/>
      <c r="ESQ59" s="557"/>
      <c r="ESR59" s="557"/>
      <c r="ESS59" s="557"/>
      <c r="EST59" s="557"/>
      <c r="ESU59" s="557"/>
      <c r="ESV59" s="557"/>
      <c r="ESW59" s="557"/>
      <c r="ESX59" s="557"/>
      <c r="ESY59" s="661"/>
      <c r="ESZ59" s="556"/>
      <c r="ETA59" s="557"/>
      <c r="ETB59" s="557"/>
      <c r="ETC59" s="557"/>
      <c r="ETD59" s="557"/>
      <c r="ETE59" s="557"/>
      <c r="ETF59" s="557"/>
      <c r="ETG59" s="557"/>
      <c r="ETH59" s="557"/>
      <c r="ETI59" s="557"/>
      <c r="ETJ59" s="557"/>
      <c r="ETK59" s="557"/>
      <c r="ETL59" s="557"/>
      <c r="ETM59" s="557"/>
      <c r="ETN59" s="557"/>
      <c r="ETO59" s="557"/>
      <c r="ETP59" s="557"/>
      <c r="ETQ59" s="557"/>
      <c r="ETR59" s="557"/>
      <c r="ETS59" s="661"/>
      <c r="ETT59" s="556"/>
      <c r="ETU59" s="557"/>
      <c r="ETV59" s="557"/>
      <c r="ETW59" s="557"/>
      <c r="ETX59" s="557"/>
      <c r="ETY59" s="557"/>
      <c r="ETZ59" s="557"/>
      <c r="EUA59" s="557"/>
      <c r="EUB59" s="557"/>
      <c r="EUC59" s="557"/>
      <c r="EUD59" s="557"/>
      <c r="EUE59" s="557"/>
      <c r="EUF59" s="557"/>
      <c r="EUG59" s="557"/>
      <c r="EUH59" s="557"/>
      <c r="EUI59" s="557"/>
      <c r="EUJ59" s="557"/>
      <c r="EUK59" s="557"/>
      <c r="EUL59" s="557"/>
      <c r="EUM59" s="661"/>
      <c r="EUN59" s="556"/>
      <c r="EUO59" s="557"/>
      <c r="EUP59" s="557"/>
      <c r="EUQ59" s="557"/>
      <c r="EUR59" s="557"/>
      <c r="EUS59" s="557"/>
      <c r="EUT59" s="557"/>
      <c r="EUU59" s="557"/>
      <c r="EUV59" s="557"/>
      <c r="EUW59" s="557"/>
      <c r="EUX59" s="557"/>
      <c r="EUY59" s="557"/>
      <c r="EUZ59" s="557"/>
      <c r="EVA59" s="557"/>
      <c r="EVB59" s="557"/>
      <c r="EVC59" s="557"/>
      <c r="EVD59" s="557"/>
      <c r="EVE59" s="557"/>
      <c r="EVF59" s="557"/>
      <c r="EVG59" s="661"/>
      <c r="EVH59" s="556"/>
      <c r="EVI59" s="557"/>
      <c r="EVJ59" s="557"/>
      <c r="EVK59" s="557"/>
      <c r="EVL59" s="557"/>
      <c r="EVM59" s="557"/>
      <c r="EVN59" s="557"/>
      <c r="EVO59" s="557"/>
      <c r="EVP59" s="557"/>
      <c r="EVQ59" s="557"/>
      <c r="EVR59" s="557"/>
      <c r="EVS59" s="557"/>
      <c r="EVT59" s="557"/>
      <c r="EVU59" s="557"/>
      <c r="EVV59" s="557"/>
      <c r="EVW59" s="557"/>
      <c r="EVX59" s="557"/>
      <c r="EVY59" s="557"/>
      <c r="EVZ59" s="557"/>
      <c r="EWA59" s="661"/>
      <c r="EWB59" s="556"/>
      <c r="EWC59" s="557"/>
      <c r="EWD59" s="557"/>
      <c r="EWE59" s="557"/>
      <c r="EWF59" s="557"/>
      <c r="EWG59" s="557"/>
      <c r="EWH59" s="557"/>
      <c r="EWI59" s="557"/>
      <c r="EWJ59" s="557"/>
      <c r="EWK59" s="557"/>
      <c r="EWL59" s="557"/>
      <c r="EWM59" s="557"/>
      <c r="EWN59" s="557"/>
      <c r="EWO59" s="557"/>
      <c r="EWP59" s="557"/>
      <c r="EWQ59" s="557"/>
      <c r="EWR59" s="557"/>
      <c r="EWS59" s="557"/>
      <c r="EWT59" s="557"/>
      <c r="EWU59" s="661"/>
      <c r="EWV59" s="556"/>
      <c r="EWW59" s="557"/>
      <c r="EWX59" s="557"/>
      <c r="EWY59" s="557"/>
      <c r="EWZ59" s="557"/>
      <c r="EXA59" s="557"/>
      <c r="EXB59" s="557"/>
      <c r="EXC59" s="557"/>
      <c r="EXD59" s="557"/>
      <c r="EXE59" s="557"/>
      <c r="EXF59" s="557"/>
      <c r="EXG59" s="557"/>
      <c r="EXH59" s="557"/>
      <c r="EXI59" s="557"/>
      <c r="EXJ59" s="557"/>
      <c r="EXK59" s="557"/>
      <c r="EXL59" s="557"/>
      <c r="EXM59" s="557"/>
      <c r="EXN59" s="557"/>
      <c r="EXO59" s="661"/>
      <c r="EXP59" s="556"/>
      <c r="EXQ59" s="557"/>
      <c r="EXR59" s="557"/>
      <c r="EXS59" s="557"/>
      <c r="EXT59" s="557"/>
      <c r="EXU59" s="557"/>
      <c r="EXV59" s="557"/>
      <c r="EXW59" s="557"/>
      <c r="EXX59" s="557"/>
      <c r="EXY59" s="557"/>
      <c r="EXZ59" s="557"/>
      <c r="EYA59" s="557"/>
      <c r="EYB59" s="557"/>
      <c r="EYC59" s="557"/>
      <c r="EYD59" s="557"/>
      <c r="EYE59" s="557"/>
      <c r="EYF59" s="557"/>
      <c r="EYG59" s="557"/>
      <c r="EYH59" s="557"/>
      <c r="EYI59" s="661"/>
      <c r="EYJ59" s="556"/>
      <c r="EYK59" s="557"/>
      <c r="EYL59" s="557"/>
      <c r="EYM59" s="557"/>
      <c r="EYN59" s="557"/>
      <c r="EYO59" s="557"/>
      <c r="EYP59" s="557"/>
      <c r="EYQ59" s="557"/>
      <c r="EYR59" s="557"/>
      <c r="EYS59" s="557"/>
      <c r="EYT59" s="557"/>
      <c r="EYU59" s="557"/>
      <c r="EYV59" s="557"/>
      <c r="EYW59" s="557"/>
      <c r="EYX59" s="557"/>
      <c r="EYY59" s="557"/>
      <c r="EYZ59" s="557"/>
      <c r="EZA59" s="557"/>
      <c r="EZB59" s="557"/>
      <c r="EZC59" s="661"/>
      <c r="EZD59" s="556"/>
      <c r="EZE59" s="557"/>
      <c r="EZF59" s="557"/>
      <c r="EZG59" s="557"/>
      <c r="EZH59" s="557"/>
      <c r="EZI59" s="557"/>
      <c r="EZJ59" s="557"/>
      <c r="EZK59" s="557"/>
      <c r="EZL59" s="557"/>
      <c r="EZM59" s="557"/>
      <c r="EZN59" s="557"/>
      <c r="EZO59" s="557"/>
      <c r="EZP59" s="557"/>
      <c r="EZQ59" s="557"/>
      <c r="EZR59" s="557"/>
      <c r="EZS59" s="557"/>
      <c r="EZT59" s="557"/>
      <c r="EZU59" s="557"/>
      <c r="EZV59" s="557"/>
      <c r="EZW59" s="661"/>
      <c r="EZX59" s="556"/>
      <c r="EZY59" s="557"/>
      <c r="EZZ59" s="557"/>
      <c r="FAA59" s="557"/>
      <c r="FAB59" s="557"/>
      <c r="FAC59" s="557"/>
      <c r="FAD59" s="557"/>
      <c r="FAE59" s="557"/>
      <c r="FAF59" s="557"/>
      <c r="FAG59" s="557"/>
      <c r="FAH59" s="557"/>
      <c r="FAI59" s="557"/>
      <c r="FAJ59" s="557"/>
      <c r="FAK59" s="557"/>
      <c r="FAL59" s="557"/>
      <c r="FAM59" s="557"/>
      <c r="FAN59" s="557"/>
      <c r="FAO59" s="557"/>
      <c r="FAP59" s="557"/>
      <c r="FAQ59" s="661"/>
      <c r="FAR59" s="556"/>
      <c r="FAS59" s="557"/>
      <c r="FAT59" s="557"/>
      <c r="FAU59" s="557"/>
      <c r="FAV59" s="557"/>
      <c r="FAW59" s="557"/>
      <c r="FAX59" s="557"/>
      <c r="FAY59" s="557"/>
      <c r="FAZ59" s="557"/>
      <c r="FBA59" s="557"/>
      <c r="FBB59" s="557"/>
      <c r="FBC59" s="557"/>
      <c r="FBD59" s="557"/>
      <c r="FBE59" s="557"/>
      <c r="FBF59" s="557"/>
      <c r="FBG59" s="557"/>
      <c r="FBH59" s="557"/>
      <c r="FBI59" s="557"/>
      <c r="FBJ59" s="557"/>
      <c r="FBK59" s="661"/>
      <c r="FBL59" s="556"/>
      <c r="FBM59" s="557"/>
      <c r="FBN59" s="557"/>
      <c r="FBO59" s="557"/>
      <c r="FBP59" s="557"/>
      <c r="FBQ59" s="557"/>
      <c r="FBR59" s="557"/>
      <c r="FBS59" s="557"/>
      <c r="FBT59" s="557"/>
      <c r="FBU59" s="557"/>
      <c r="FBV59" s="557"/>
      <c r="FBW59" s="557"/>
      <c r="FBX59" s="557"/>
      <c r="FBY59" s="557"/>
      <c r="FBZ59" s="557"/>
      <c r="FCA59" s="557"/>
      <c r="FCB59" s="557"/>
      <c r="FCC59" s="557"/>
      <c r="FCD59" s="557"/>
      <c r="FCE59" s="661"/>
      <c r="FCF59" s="556"/>
      <c r="FCG59" s="557"/>
      <c r="FCH59" s="557"/>
      <c r="FCI59" s="557"/>
      <c r="FCJ59" s="557"/>
      <c r="FCK59" s="557"/>
      <c r="FCL59" s="557"/>
      <c r="FCM59" s="557"/>
      <c r="FCN59" s="557"/>
      <c r="FCO59" s="557"/>
      <c r="FCP59" s="557"/>
      <c r="FCQ59" s="557"/>
      <c r="FCR59" s="557"/>
      <c r="FCS59" s="557"/>
      <c r="FCT59" s="557"/>
      <c r="FCU59" s="557"/>
      <c r="FCV59" s="557"/>
      <c r="FCW59" s="557"/>
      <c r="FCX59" s="557"/>
      <c r="FCY59" s="661"/>
      <c r="FCZ59" s="556"/>
      <c r="FDA59" s="557"/>
      <c r="FDB59" s="557"/>
      <c r="FDC59" s="557"/>
      <c r="FDD59" s="557"/>
      <c r="FDE59" s="557"/>
      <c r="FDF59" s="557"/>
      <c r="FDG59" s="557"/>
      <c r="FDH59" s="557"/>
      <c r="FDI59" s="557"/>
      <c r="FDJ59" s="557"/>
      <c r="FDK59" s="557"/>
      <c r="FDL59" s="557"/>
      <c r="FDM59" s="557"/>
      <c r="FDN59" s="557"/>
      <c r="FDO59" s="557"/>
      <c r="FDP59" s="557"/>
      <c r="FDQ59" s="557"/>
      <c r="FDR59" s="557"/>
      <c r="FDS59" s="661"/>
      <c r="FDT59" s="556"/>
      <c r="FDU59" s="557"/>
      <c r="FDV59" s="557"/>
      <c r="FDW59" s="557"/>
      <c r="FDX59" s="557"/>
      <c r="FDY59" s="557"/>
      <c r="FDZ59" s="557"/>
      <c r="FEA59" s="557"/>
      <c r="FEB59" s="557"/>
      <c r="FEC59" s="557"/>
      <c r="FED59" s="557"/>
      <c r="FEE59" s="557"/>
      <c r="FEF59" s="557"/>
      <c r="FEG59" s="557"/>
      <c r="FEH59" s="557"/>
      <c r="FEI59" s="557"/>
      <c r="FEJ59" s="557"/>
      <c r="FEK59" s="557"/>
      <c r="FEL59" s="557"/>
      <c r="FEM59" s="661"/>
      <c r="FEN59" s="556"/>
      <c r="FEO59" s="557"/>
      <c r="FEP59" s="557"/>
      <c r="FEQ59" s="557"/>
      <c r="FER59" s="557"/>
      <c r="FES59" s="557"/>
      <c r="FET59" s="557"/>
      <c r="FEU59" s="557"/>
      <c r="FEV59" s="557"/>
      <c r="FEW59" s="557"/>
      <c r="FEX59" s="557"/>
      <c r="FEY59" s="557"/>
      <c r="FEZ59" s="557"/>
      <c r="FFA59" s="557"/>
      <c r="FFB59" s="557"/>
      <c r="FFC59" s="557"/>
      <c r="FFD59" s="557"/>
      <c r="FFE59" s="557"/>
      <c r="FFF59" s="557"/>
      <c r="FFG59" s="661"/>
      <c r="FFH59" s="556"/>
      <c r="FFI59" s="557"/>
      <c r="FFJ59" s="557"/>
      <c r="FFK59" s="557"/>
      <c r="FFL59" s="557"/>
      <c r="FFM59" s="557"/>
      <c r="FFN59" s="557"/>
      <c r="FFO59" s="557"/>
      <c r="FFP59" s="557"/>
      <c r="FFQ59" s="557"/>
      <c r="FFR59" s="557"/>
      <c r="FFS59" s="557"/>
      <c r="FFT59" s="557"/>
      <c r="FFU59" s="557"/>
      <c r="FFV59" s="557"/>
      <c r="FFW59" s="557"/>
      <c r="FFX59" s="557"/>
      <c r="FFY59" s="557"/>
      <c r="FFZ59" s="557"/>
      <c r="FGA59" s="661"/>
      <c r="FGB59" s="556"/>
      <c r="FGC59" s="557"/>
      <c r="FGD59" s="557"/>
      <c r="FGE59" s="557"/>
      <c r="FGF59" s="557"/>
      <c r="FGG59" s="557"/>
      <c r="FGH59" s="557"/>
      <c r="FGI59" s="557"/>
      <c r="FGJ59" s="557"/>
      <c r="FGK59" s="557"/>
      <c r="FGL59" s="557"/>
      <c r="FGM59" s="557"/>
      <c r="FGN59" s="557"/>
      <c r="FGO59" s="557"/>
      <c r="FGP59" s="557"/>
      <c r="FGQ59" s="557"/>
      <c r="FGR59" s="557"/>
      <c r="FGS59" s="557"/>
      <c r="FGT59" s="557"/>
      <c r="FGU59" s="661"/>
      <c r="FGV59" s="556"/>
      <c r="FGW59" s="557"/>
      <c r="FGX59" s="557"/>
      <c r="FGY59" s="557"/>
      <c r="FGZ59" s="557"/>
      <c r="FHA59" s="557"/>
      <c r="FHB59" s="557"/>
      <c r="FHC59" s="557"/>
      <c r="FHD59" s="557"/>
      <c r="FHE59" s="557"/>
      <c r="FHF59" s="557"/>
      <c r="FHG59" s="557"/>
      <c r="FHH59" s="557"/>
      <c r="FHI59" s="557"/>
      <c r="FHJ59" s="557"/>
      <c r="FHK59" s="557"/>
      <c r="FHL59" s="557"/>
      <c r="FHM59" s="557"/>
      <c r="FHN59" s="557"/>
      <c r="FHO59" s="661"/>
      <c r="FHP59" s="556"/>
      <c r="FHQ59" s="557"/>
      <c r="FHR59" s="557"/>
      <c r="FHS59" s="557"/>
      <c r="FHT59" s="557"/>
      <c r="FHU59" s="557"/>
      <c r="FHV59" s="557"/>
      <c r="FHW59" s="557"/>
      <c r="FHX59" s="557"/>
      <c r="FHY59" s="557"/>
      <c r="FHZ59" s="557"/>
      <c r="FIA59" s="557"/>
      <c r="FIB59" s="557"/>
      <c r="FIC59" s="557"/>
      <c r="FID59" s="557"/>
      <c r="FIE59" s="557"/>
      <c r="FIF59" s="557"/>
      <c r="FIG59" s="557"/>
      <c r="FIH59" s="557"/>
      <c r="FII59" s="661"/>
      <c r="FIJ59" s="556"/>
      <c r="FIK59" s="557"/>
      <c r="FIL59" s="557"/>
      <c r="FIM59" s="557"/>
      <c r="FIN59" s="557"/>
      <c r="FIO59" s="557"/>
      <c r="FIP59" s="557"/>
      <c r="FIQ59" s="557"/>
      <c r="FIR59" s="557"/>
      <c r="FIS59" s="557"/>
      <c r="FIT59" s="557"/>
      <c r="FIU59" s="557"/>
      <c r="FIV59" s="557"/>
      <c r="FIW59" s="557"/>
      <c r="FIX59" s="557"/>
      <c r="FIY59" s="557"/>
      <c r="FIZ59" s="557"/>
      <c r="FJA59" s="557"/>
      <c r="FJB59" s="557"/>
      <c r="FJC59" s="661"/>
      <c r="FJD59" s="556"/>
      <c r="FJE59" s="557"/>
      <c r="FJF59" s="557"/>
      <c r="FJG59" s="557"/>
      <c r="FJH59" s="557"/>
      <c r="FJI59" s="557"/>
      <c r="FJJ59" s="557"/>
      <c r="FJK59" s="557"/>
      <c r="FJL59" s="557"/>
      <c r="FJM59" s="557"/>
      <c r="FJN59" s="557"/>
      <c r="FJO59" s="557"/>
      <c r="FJP59" s="557"/>
      <c r="FJQ59" s="557"/>
      <c r="FJR59" s="557"/>
      <c r="FJS59" s="557"/>
      <c r="FJT59" s="557"/>
      <c r="FJU59" s="557"/>
      <c r="FJV59" s="557"/>
      <c r="FJW59" s="661"/>
      <c r="FJX59" s="556"/>
      <c r="FJY59" s="557"/>
      <c r="FJZ59" s="557"/>
      <c r="FKA59" s="557"/>
      <c r="FKB59" s="557"/>
      <c r="FKC59" s="557"/>
      <c r="FKD59" s="557"/>
      <c r="FKE59" s="557"/>
      <c r="FKF59" s="557"/>
      <c r="FKG59" s="557"/>
      <c r="FKH59" s="557"/>
      <c r="FKI59" s="557"/>
      <c r="FKJ59" s="557"/>
      <c r="FKK59" s="557"/>
      <c r="FKL59" s="557"/>
      <c r="FKM59" s="557"/>
      <c r="FKN59" s="557"/>
      <c r="FKO59" s="557"/>
      <c r="FKP59" s="557"/>
      <c r="FKQ59" s="661"/>
      <c r="FKR59" s="556"/>
      <c r="FKS59" s="557"/>
      <c r="FKT59" s="557"/>
      <c r="FKU59" s="557"/>
      <c r="FKV59" s="557"/>
      <c r="FKW59" s="557"/>
      <c r="FKX59" s="557"/>
      <c r="FKY59" s="557"/>
      <c r="FKZ59" s="557"/>
      <c r="FLA59" s="557"/>
      <c r="FLB59" s="557"/>
      <c r="FLC59" s="557"/>
      <c r="FLD59" s="557"/>
      <c r="FLE59" s="557"/>
      <c r="FLF59" s="557"/>
      <c r="FLG59" s="557"/>
      <c r="FLH59" s="557"/>
      <c r="FLI59" s="557"/>
      <c r="FLJ59" s="557"/>
      <c r="FLK59" s="661"/>
      <c r="FLL59" s="556"/>
      <c r="FLM59" s="557"/>
      <c r="FLN59" s="557"/>
      <c r="FLO59" s="557"/>
      <c r="FLP59" s="557"/>
      <c r="FLQ59" s="557"/>
      <c r="FLR59" s="557"/>
      <c r="FLS59" s="557"/>
      <c r="FLT59" s="557"/>
      <c r="FLU59" s="557"/>
      <c r="FLV59" s="557"/>
      <c r="FLW59" s="557"/>
      <c r="FLX59" s="557"/>
      <c r="FLY59" s="557"/>
      <c r="FLZ59" s="557"/>
      <c r="FMA59" s="557"/>
      <c r="FMB59" s="557"/>
      <c r="FMC59" s="557"/>
      <c r="FMD59" s="557"/>
      <c r="FME59" s="661"/>
      <c r="FMF59" s="556"/>
      <c r="FMG59" s="557"/>
      <c r="FMH59" s="557"/>
      <c r="FMI59" s="557"/>
      <c r="FMJ59" s="557"/>
      <c r="FMK59" s="557"/>
      <c r="FML59" s="557"/>
      <c r="FMM59" s="557"/>
      <c r="FMN59" s="557"/>
      <c r="FMO59" s="557"/>
      <c r="FMP59" s="557"/>
      <c r="FMQ59" s="557"/>
      <c r="FMR59" s="557"/>
      <c r="FMS59" s="557"/>
      <c r="FMT59" s="557"/>
      <c r="FMU59" s="557"/>
      <c r="FMV59" s="557"/>
      <c r="FMW59" s="557"/>
      <c r="FMX59" s="557"/>
      <c r="FMY59" s="661"/>
      <c r="FMZ59" s="556"/>
      <c r="FNA59" s="557"/>
      <c r="FNB59" s="557"/>
      <c r="FNC59" s="557"/>
      <c r="FND59" s="557"/>
      <c r="FNE59" s="557"/>
      <c r="FNF59" s="557"/>
      <c r="FNG59" s="557"/>
      <c r="FNH59" s="557"/>
      <c r="FNI59" s="557"/>
      <c r="FNJ59" s="557"/>
      <c r="FNK59" s="557"/>
      <c r="FNL59" s="557"/>
      <c r="FNM59" s="557"/>
      <c r="FNN59" s="557"/>
      <c r="FNO59" s="557"/>
      <c r="FNP59" s="557"/>
      <c r="FNQ59" s="557"/>
      <c r="FNR59" s="557"/>
      <c r="FNS59" s="661"/>
      <c r="FNT59" s="556"/>
      <c r="FNU59" s="557"/>
      <c r="FNV59" s="557"/>
      <c r="FNW59" s="557"/>
      <c r="FNX59" s="557"/>
      <c r="FNY59" s="557"/>
      <c r="FNZ59" s="557"/>
      <c r="FOA59" s="557"/>
      <c r="FOB59" s="557"/>
      <c r="FOC59" s="557"/>
      <c r="FOD59" s="557"/>
      <c r="FOE59" s="557"/>
      <c r="FOF59" s="557"/>
      <c r="FOG59" s="557"/>
      <c r="FOH59" s="557"/>
      <c r="FOI59" s="557"/>
      <c r="FOJ59" s="557"/>
      <c r="FOK59" s="557"/>
      <c r="FOL59" s="557"/>
      <c r="FOM59" s="661"/>
      <c r="FON59" s="556"/>
      <c r="FOO59" s="557"/>
      <c r="FOP59" s="557"/>
      <c r="FOQ59" s="557"/>
      <c r="FOR59" s="557"/>
      <c r="FOS59" s="557"/>
      <c r="FOT59" s="557"/>
      <c r="FOU59" s="557"/>
      <c r="FOV59" s="557"/>
      <c r="FOW59" s="557"/>
      <c r="FOX59" s="557"/>
      <c r="FOY59" s="557"/>
      <c r="FOZ59" s="557"/>
      <c r="FPA59" s="557"/>
      <c r="FPB59" s="557"/>
      <c r="FPC59" s="557"/>
      <c r="FPD59" s="557"/>
      <c r="FPE59" s="557"/>
      <c r="FPF59" s="557"/>
      <c r="FPG59" s="661"/>
      <c r="FPH59" s="556"/>
      <c r="FPI59" s="557"/>
      <c r="FPJ59" s="557"/>
      <c r="FPK59" s="557"/>
      <c r="FPL59" s="557"/>
      <c r="FPM59" s="557"/>
      <c r="FPN59" s="557"/>
      <c r="FPO59" s="557"/>
      <c r="FPP59" s="557"/>
      <c r="FPQ59" s="557"/>
      <c r="FPR59" s="557"/>
      <c r="FPS59" s="557"/>
      <c r="FPT59" s="557"/>
      <c r="FPU59" s="557"/>
      <c r="FPV59" s="557"/>
      <c r="FPW59" s="557"/>
      <c r="FPX59" s="557"/>
      <c r="FPY59" s="557"/>
      <c r="FPZ59" s="557"/>
      <c r="FQA59" s="661"/>
      <c r="FQB59" s="556"/>
      <c r="FQC59" s="557"/>
      <c r="FQD59" s="557"/>
      <c r="FQE59" s="557"/>
      <c r="FQF59" s="557"/>
      <c r="FQG59" s="557"/>
      <c r="FQH59" s="557"/>
      <c r="FQI59" s="557"/>
      <c r="FQJ59" s="557"/>
      <c r="FQK59" s="557"/>
      <c r="FQL59" s="557"/>
      <c r="FQM59" s="557"/>
      <c r="FQN59" s="557"/>
      <c r="FQO59" s="557"/>
      <c r="FQP59" s="557"/>
      <c r="FQQ59" s="557"/>
      <c r="FQR59" s="557"/>
      <c r="FQS59" s="557"/>
      <c r="FQT59" s="557"/>
      <c r="FQU59" s="661"/>
      <c r="FQV59" s="556"/>
      <c r="FQW59" s="557"/>
      <c r="FQX59" s="557"/>
      <c r="FQY59" s="557"/>
      <c r="FQZ59" s="557"/>
      <c r="FRA59" s="557"/>
      <c r="FRB59" s="557"/>
      <c r="FRC59" s="557"/>
      <c r="FRD59" s="557"/>
      <c r="FRE59" s="557"/>
      <c r="FRF59" s="557"/>
      <c r="FRG59" s="557"/>
      <c r="FRH59" s="557"/>
      <c r="FRI59" s="557"/>
      <c r="FRJ59" s="557"/>
      <c r="FRK59" s="557"/>
      <c r="FRL59" s="557"/>
      <c r="FRM59" s="557"/>
      <c r="FRN59" s="557"/>
      <c r="FRO59" s="661"/>
      <c r="FRP59" s="556"/>
      <c r="FRQ59" s="557"/>
      <c r="FRR59" s="557"/>
      <c r="FRS59" s="557"/>
      <c r="FRT59" s="557"/>
      <c r="FRU59" s="557"/>
      <c r="FRV59" s="557"/>
      <c r="FRW59" s="557"/>
      <c r="FRX59" s="557"/>
      <c r="FRY59" s="557"/>
      <c r="FRZ59" s="557"/>
      <c r="FSA59" s="557"/>
      <c r="FSB59" s="557"/>
      <c r="FSC59" s="557"/>
      <c r="FSD59" s="557"/>
      <c r="FSE59" s="557"/>
      <c r="FSF59" s="557"/>
      <c r="FSG59" s="557"/>
      <c r="FSH59" s="557"/>
      <c r="FSI59" s="661"/>
      <c r="FSJ59" s="556"/>
      <c r="FSK59" s="557"/>
      <c r="FSL59" s="557"/>
      <c r="FSM59" s="557"/>
      <c r="FSN59" s="557"/>
      <c r="FSO59" s="557"/>
      <c r="FSP59" s="557"/>
      <c r="FSQ59" s="557"/>
      <c r="FSR59" s="557"/>
      <c r="FSS59" s="557"/>
      <c r="FST59" s="557"/>
      <c r="FSU59" s="557"/>
      <c r="FSV59" s="557"/>
      <c r="FSW59" s="557"/>
      <c r="FSX59" s="557"/>
      <c r="FSY59" s="557"/>
      <c r="FSZ59" s="557"/>
      <c r="FTA59" s="557"/>
      <c r="FTB59" s="557"/>
      <c r="FTC59" s="661"/>
      <c r="FTD59" s="556"/>
      <c r="FTE59" s="557"/>
      <c r="FTF59" s="557"/>
      <c r="FTG59" s="557"/>
      <c r="FTH59" s="557"/>
      <c r="FTI59" s="557"/>
      <c r="FTJ59" s="557"/>
      <c r="FTK59" s="557"/>
      <c r="FTL59" s="557"/>
      <c r="FTM59" s="557"/>
      <c r="FTN59" s="557"/>
      <c r="FTO59" s="557"/>
      <c r="FTP59" s="557"/>
      <c r="FTQ59" s="557"/>
      <c r="FTR59" s="557"/>
      <c r="FTS59" s="557"/>
      <c r="FTT59" s="557"/>
      <c r="FTU59" s="557"/>
      <c r="FTV59" s="557"/>
      <c r="FTW59" s="661"/>
      <c r="FTX59" s="556"/>
      <c r="FTY59" s="557"/>
      <c r="FTZ59" s="557"/>
      <c r="FUA59" s="557"/>
      <c r="FUB59" s="557"/>
      <c r="FUC59" s="557"/>
      <c r="FUD59" s="557"/>
      <c r="FUE59" s="557"/>
      <c r="FUF59" s="557"/>
      <c r="FUG59" s="557"/>
      <c r="FUH59" s="557"/>
      <c r="FUI59" s="557"/>
      <c r="FUJ59" s="557"/>
      <c r="FUK59" s="557"/>
      <c r="FUL59" s="557"/>
      <c r="FUM59" s="557"/>
      <c r="FUN59" s="557"/>
      <c r="FUO59" s="557"/>
      <c r="FUP59" s="557"/>
      <c r="FUQ59" s="661"/>
      <c r="FUR59" s="556"/>
      <c r="FUS59" s="557"/>
      <c r="FUT59" s="557"/>
      <c r="FUU59" s="557"/>
      <c r="FUV59" s="557"/>
      <c r="FUW59" s="557"/>
      <c r="FUX59" s="557"/>
      <c r="FUY59" s="557"/>
      <c r="FUZ59" s="557"/>
      <c r="FVA59" s="557"/>
      <c r="FVB59" s="557"/>
      <c r="FVC59" s="557"/>
      <c r="FVD59" s="557"/>
      <c r="FVE59" s="557"/>
      <c r="FVF59" s="557"/>
      <c r="FVG59" s="557"/>
      <c r="FVH59" s="557"/>
      <c r="FVI59" s="557"/>
      <c r="FVJ59" s="557"/>
      <c r="FVK59" s="661"/>
      <c r="FVL59" s="556"/>
      <c r="FVM59" s="557"/>
      <c r="FVN59" s="557"/>
      <c r="FVO59" s="557"/>
      <c r="FVP59" s="557"/>
      <c r="FVQ59" s="557"/>
      <c r="FVR59" s="557"/>
      <c r="FVS59" s="557"/>
      <c r="FVT59" s="557"/>
      <c r="FVU59" s="557"/>
      <c r="FVV59" s="557"/>
      <c r="FVW59" s="557"/>
      <c r="FVX59" s="557"/>
      <c r="FVY59" s="557"/>
      <c r="FVZ59" s="557"/>
      <c r="FWA59" s="557"/>
      <c r="FWB59" s="557"/>
      <c r="FWC59" s="557"/>
      <c r="FWD59" s="557"/>
      <c r="FWE59" s="661"/>
      <c r="FWF59" s="556"/>
      <c r="FWG59" s="557"/>
      <c r="FWH59" s="557"/>
      <c r="FWI59" s="557"/>
      <c r="FWJ59" s="557"/>
      <c r="FWK59" s="557"/>
      <c r="FWL59" s="557"/>
      <c r="FWM59" s="557"/>
      <c r="FWN59" s="557"/>
      <c r="FWO59" s="557"/>
      <c r="FWP59" s="557"/>
      <c r="FWQ59" s="557"/>
      <c r="FWR59" s="557"/>
      <c r="FWS59" s="557"/>
      <c r="FWT59" s="557"/>
      <c r="FWU59" s="557"/>
      <c r="FWV59" s="557"/>
      <c r="FWW59" s="557"/>
      <c r="FWX59" s="557"/>
      <c r="FWY59" s="661"/>
      <c r="FWZ59" s="556"/>
      <c r="FXA59" s="557"/>
      <c r="FXB59" s="557"/>
      <c r="FXC59" s="557"/>
      <c r="FXD59" s="557"/>
      <c r="FXE59" s="557"/>
      <c r="FXF59" s="557"/>
      <c r="FXG59" s="557"/>
      <c r="FXH59" s="557"/>
      <c r="FXI59" s="557"/>
      <c r="FXJ59" s="557"/>
      <c r="FXK59" s="557"/>
      <c r="FXL59" s="557"/>
      <c r="FXM59" s="557"/>
      <c r="FXN59" s="557"/>
      <c r="FXO59" s="557"/>
      <c r="FXP59" s="557"/>
      <c r="FXQ59" s="557"/>
      <c r="FXR59" s="557"/>
      <c r="FXS59" s="661"/>
      <c r="FXT59" s="556"/>
      <c r="FXU59" s="557"/>
      <c r="FXV59" s="557"/>
      <c r="FXW59" s="557"/>
      <c r="FXX59" s="557"/>
      <c r="FXY59" s="557"/>
      <c r="FXZ59" s="557"/>
      <c r="FYA59" s="557"/>
      <c r="FYB59" s="557"/>
      <c r="FYC59" s="557"/>
      <c r="FYD59" s="557"/>
      <c r="FYE59" s="557"/>
      <c r="FYF59" s="557"/>
      <c r="FYG59" s="557"/>
      <c r="FYH59" s="557"/>
      <c r="FYI59" s="557"/>
      <c r="FYJ59" s="557"/>
      <c r="FYK59" s="557"/>
      <c r="FYL59" s="557"/>
      <c r="FYM59" s="661"/>
      <c r="FYN59" s="556"/>
      <c r="FYO59" s="557"/>
      <c r="FYP59" s="557"/>
      <c r="FYQ59" s="557"/>
      <c r="FYR59" s="557"/>
      <c r="FYS59" s="557"/>
      <c r="FYT59" s="557"/>
      <c r="FYU59" s="557"/>
      <c r="FYV59" s="557"/>
      <c r="FYW59" s="557"/>
      <c r="FYX59" s="557"/>
      <c r="FYY59" s="557"/>
      <c r="FYZ59" s="557"/>
      <c r="FZA59" s="557"/>
      <c r="FZB59" s="557"/>
      <c r="FZC59" s="557"/>
      <c r="FZD59" s="557"/>
      <c r="FZE59" s="557"/>
      <c r="FZF59" s="557"/>
      <c r="FZG59" s="661"/>
      <c r="FZH59" s="556"/>
      <c r="FZI59" s="557"/>
      <c r="FZJ59" s="557"/>
      <c r="FZK59" s="557"/>
      <c r="FZL59" s="557"/>
      <c r="FZM59" s="557"/>
      <c r="FZN59" s="557"/>
      <c r="FZO59" s="557"/>
      <c r="FZP59" s="557"/>
      <c r="FZQ59" s="557"/>
      <c r="FZR59" s="557"/>
      <c r="FZS59" s="557"/>
      <c r="FZT59" s="557"/>
      <c r="FZU59" s="557"/>
      <c r="FZV59" s="557"/>
      <c r="FZW59" s="557"/>
      <c r="FZX59" s="557"/>
      <c r="FZY59" s="557"/>
      <c r="FZZ59" s="557"/>
      <c r="GAA59" s="661"/>
      <c r="GAB59" s="556"/>
      <c r="GAC59" s="557"/>
      <c r="GAD59" s="557"/>
      <c r="GAE59" s="557"/>
      <c r="GAF59" s="557"/>
      <c r="GAG59" s="557"/>
      <c r="GAH59" s="557"/>
      <c r="GAI59" s="557"/>
      <c r="GAJ59" s="557"/>
      <c r="GAK59" s="557"/>
      <c r="GAL59" s="557"/>
      <c r="GAM59" s="557"/>
      <c r="GAN59" s="557"/>
      <c r="GAO59" s="557"/>
      <c r="GAP59" s="557"/>
      <c r="GAQ59" s="557"/>
      <c r="GAR59" s="557"/>
      <c r="GAS59" s="557"/>
      <c r="GAT59" s="557"/>
      <c r="GAU59" s="661"/>
      <c r="GAV59" s="556"/>
      <c r="GAW59" s="557"/>
      <c r="GAX59" s="557"/>
      <c r="GAY59" s="557"/>
      <c r="GAZ59" s="557"/>
      <c r="GBA59" s="557"/>
      <c r="GBB59" s="557"/>
      <c r="GBC59" s="557"/>
      <c r="GBD59" s="557"/>
      <c r="GBE59" s="557"/>
      <c r="GBF59" s="557"/>
      <c r="GBG59" s="557"/>
      <c r="GBH59" s="557"/>
      <c r="GBI59" s="557"/>
      <c r="GBJ59" s="557"/>
      <c r="GBK59" s="557"/>
      <c r="GBL59" s="557"/>
      <c r="GBM59" s="557"/>
      <c r="GBN59" s="557"/>
      <c r="GBO59" s="661"/>
      <c r="GBP59" s="556"/>
      <c r="GBQ59" s="557"/>
      <c r="GBR59" s="557"/>
      <c r="GBS59" s="557"/>
      <c r="GBT59" s="557"/>
      <c r="GBU59" s="557"/>
      <c r="GBV59" s="557"/>
      <c r="GBW59" s="557"/>
      <c r="GBX59" s="557"/>
      <c r="GBY59" s="557"/>
      <c r="GBZ59" s="557"/>
      <c r="GCA59" s="557"/>
      <c r="GCB59" s="557"/>
      <c r="GCC59" s="557"/>
      <c r="GCD59" s="557"/>
      <c r="GCE59" s="557"/>
      <c r="GCF59" s="557"/>
      <c r="GCG59" s="557"/>
      <c r="GCH59" s="557"/>
      <c r="GCI59" s="661"/>
      <c r="GCJ59" s="556"/>
      <c r="GCK59" s="557"/>
      <c r="GCL59" s="557"/>
      <c r="GCM59" s="557"/>
      <c r="GCN59" s="557"/>
      <c r="GCO59" s="557"/>
      <c r="GCP59" s="557"/>
      <c r="GCQ59" s="557"/>
      <c r="GCR59" s="557"/>
      <c r="GCS59" s="557"/>
      <c r="GCT59" s="557"/>
      <c r="GCU59" s="557"/>
      <c r="GCV59" s="557"/>
      <c r="GCW59" s="557"/>
      <c r="GCX59" s="557"/>
      <c r="GCY59" s="557"/>
      <c r="GCZ59" s="557"/>
      <c r="GDA59" s="557"/>
      <c r="GDB59" s="557"/>
      <c r="GDC59" s="661"/>
      <c r="GDD59" s="556"/>
      <c r="GDE59" s="557"/>
      <c r="GDF59" s="557"/>
      <c r="GDG59" s="557"/>
      <c r="GDH59" s="557"/>
      <c r="GDI59" s="557"/>
      <c r="GDJ59" s="557"/>
      <c r="GDK59" s="557"/>
      <c r="GDL59" s="557"/>
      <c r="GDM59" s="557"/>
      <c r="GDN59" s="557"/>
      <c r="GDO59" s="557"/>
      <c r="GDP59" s="557"/>
      <c r="GDQ59" s="557"/>
      <c r="GDR59" s="557"/>
      <c r="GDS59" s="557"/>
      <c r="GDT59" s="557"/>
      <c r="GDU59" s="557"/>
      <c r="GDV59" s="557"/>
      <c r="GDW59" s="661"/>
      <c r="GDX59" s="556"/>
      <c r="GDY59" s="557"/>
      <c r="GDZ59" s="557"/>
      <c r="GEA59" s="557"/>
      <c r="GEB59" s="557"/>
      <c r="GEC59" s="557"/>
      <c r="GED59" s="557"/>
      <c r="GEE59" s="557"/>
      <c r="GEF59" s="557"/>
      <c r="GEG59" s="557"/>
      <c r="GEH59" s="557"/>
      <c r="GEI59" s="557"/>
      <c r="GEJ59" s="557"/>
      <c r="GEK59" s="557"/>
      <c r="GEL59" s="557"/>
      <c r="GEM59" s="557"/>
      <c r="GEN59" s="557"/>
      <c r="GEO59" s="557"/>
      <c r="GEP59" s="557"/>
      <c r="GEQ59" s="661"/>
      <c r="GER59" s="556"/>
      <c r="GES59" s="557"/>
      <c r="GET59" s="557"/>
      <c r="GEU59" s="557"/>
      <c r="GEV59" s="557"/>
      <c r="GEW59" s="557"/>
      <c r="GEX59" s="557"/>
      <c r="GEY59" s="557"/>
      <c r="GEZ59" s="557"/>
      <c r="GFA59" s="557"/>
      <c r="GFB59" s="557"/>
      <c r="GFC59" s="557"/>
      <c r="GFD59" s="557"/>
      <c r="GFE59" s="557"/>
      <c r="GFF59" s="557"/>
      <c r="GFG59" s="557"/>
      <c r="GFH59" s="557"/>
      <c r="GFI59" s="557"/>
      <c r="GFJ59" s="557"/>
      <c r="GFK59" s="661"/>
      <c r="GFL59" s="556"/>
      <c r="GFM59" s="557"/>
      <c r="GFN59" s="557"/>
      <c r="GFO59" s="557"/>
      <c r="GFP59" s="557"/>
      <c r="GFQ59" s="557"/>
      <c r="GFR59" s="557"/>
      <c r="GFS59" s="557"/>
      <c r="GFT59" s="557"/>
      <c r="GFU59" s="557"/>
      <c r="GFV59" s="557"/>
      <c r="GFW59" s="557"/>
      <c r="GFX59" s="557"/>
      <c r="GFY59" s="557"/>
      <c r="GFZ59" s="557"/>
      <c r="GGA59" s="557"/>
      <c r="GGB59" s="557"/>
      <c r="GGC59" s="557"/>
      <c r="GGD59" s="557"/>
      <c r="GGE59" s="661"/>
      <c r="GGF59" s="556"/>
      <c r="GGG59" s="557"/>
      <c r="GGH59" s="557"/>
      <c r="GGI59" s="557"/>
      <c r="GGJ59" s="557"/>
      <c r="GGK59" s="557"/>
      <c r="GGL59" s="557"/>
      <c r="GGM59" s="557"/>
      <c r="GGN59" s="557"/>
      <c r="GGO59" s="557"/>
      <c r="GGP59" s="557"/>
      <c r="GGQ59" s="557"/>
      <c r="GGR59" s="557"/>
      <c r="GGS59" s="557"/>
      <c r="GGT59" s="557"/>
      <c r="GGU59" s="557"/>
      <c r="GGV59" s="557"/>
      <c r="GGW59" s="557"/>
      <c r="GGX59" s="557"/>
      <c r="GGY59" s="661"/>
      <c r="GGZ59" s="556"/>
      <c r="GHA59" s="557"/>
      <c r="GHB59" s="557"/>
      <c r="GHC59" s="557"/>
      <c r="GHD59" s="557"/>
      <c r="GHE59" s="557"/>
      <c r="GHF59" s="557"/>
      <c r="GHG59" s="557"/>
      <c r="GHH59" s="557"/>
      <c r="GHI59" s="557"/>
      <c r="GHJ59" s="557"/>
      <c r="GHK59" s="557"/>
      <c r="GHL59" s="557"/>
      <c r="GHM59" s="557"/>
      <c r="GHN59" s="557"/>
      <c r="GHO59" s="557"/>
      <c r="GHP59" s="557"/>
      <c r="GHQ59" s="557"/>
      <c r="GHR59" s="557"/>
      <c r="GHS59" s="661"/>
      <c r="GHT59" s="556"/>
      <c r="GHU59" s="557"/>
      <c r="GHV59" s="557"/>
      <c r="GHW59" s="557"/>
      <c r="GHX59" s="557"/>
      <c r="GHY59" s="557"/>
      <c r="GHZ59" s="557"/>
      <c r="GIA59" s="557"/>
      <c r="GIB59" s="557"/>
      <c r="GIC59" s="557"/>
      <c r="GID59" s="557"/>
      <c r="GIE59" s="557"/>
      <c r="GIF59" s="557"/>
      <c r="GIG59" s="557"/>
      <c r="GIH59" s="557"/>
      <c r="GII59" s="557"/>
      <c r="GIJ59" s="557"/>
      <c r="GIK59" s="557"/>
      <c r="GIL59" s="557"/>
      <c r="GIM59" s="661"/>
      <c r="GIN59" s="556"/>
      <c r="GIO59" s="557"/>
      <c r="GIP59" s="557"/>
      <c r="GIQ59" s="557"/>
      <c r="GIR59" s="557"/>
      <c r="GIS59" s="557"/>
      <c r="GIT59" s="557"/>
      <c r="GIU59" s="557"/>
      <c r="GIV59" s="557"/>
      <c r="GIW59" s="557"/>
      <c r="GIX59" s="557"/>
      <c r="GIY59" s="557"/>
      <c r="GIZ59" s="557"/>
      <c r="GJA59" s="557"/>
      <c r="GJB59" s="557"/>
      <c r="GJC59" s="557"/>
      <c r="GJD59" s="557"/>
      <c r="GJE59" s="557"/>
      <c r="GJF59" s="557"/>
      <c r="GJG59" s="661"/>
      <c r="GJH59" s="556"/>
      <c r="GJI59" s="557"/>
      <c r="GJJ59" s="557"/>
      <c r="GJK59" s="557"/>
      <c r="GJL59" s="557"/>
      <c r="GJM59" s="557"/>
      <c r="GJN59" s="557"/>
      <c r="GJO59" s="557"/>
      <c r="GJP59" s="557"/>
      <c r="GJQ59" s="557"/>
      <c r="GJR59" s="557"/>
      <c r="GJS59" s="557"/>
      <c r="GJT59" s="557"/>
      <c r="GJU59" s="557"/>
      <c r="GJV59" s="557"/>
      <c r="GJW59" s="557"/>
      <c r="GJX59" s="557"/>
      <c r="GJY59" s="557"/>
      <c r="GJZ59" s="557"/>
      <c r="GKA59" s="661"/>
      <c r="GKB59" s="556"/>
      <c r="GKC59" s="557"/>
      <c r="GKD59" s="557"/>
      <c r="GKE59" s="557"/>
      <c r="GKF59" s="557"/>
      <c r="GKG59" s="557"/>
      <c r="GKH59" s="557"/>
      <c r="GKI59" s="557"/>
      <c r="GKJ59" s="557"/>
      <c r="GKK59" s="557"/>
      <c r="GKL59" s="557"/>
      <c r="GKM59" s="557"/>
      <c r="GKN59" s="557"/>
      <c r="GKO59" s="557"/>
      <c r="GKP59" s="557"/>
      <c r="GKQ59" s="557"/>
      <c r="GKR59" s="557"/>
      <c r="GKS59" s="557"/>
      <c r="GKT59" s="557"/>
      <c r="GKU59" s="661"/>
      <c r="GKV59" s="556"/>
      <c r="GKW59" s="557"/>
      <c r="GKX59" s="557"/>
      <c r="GKY59" s="557"/>
      <c r="GKZ59" s="557"/>
      <c r="GLA59" s="557"/>
      <c r="GLB59" s="557"/>
      <c r="GLC59" s="557"/>
      <c r="GLD59" s="557"/>
      <c r="GLE59" s="557"/>
      <c r="GLF59" s="557"/>
      <c r="GLG59" s="557"/>
      <c r="GLH59" s="557"/>
      <c r="GLI59" s="557"/>
      <c r="GLJ59" s="557"/>
      <c r="GLK59" s="557"/>
      <c r="GLL59" s="557"/>
      <c r="GLM59" s="557"/>
      <c r="GLN59" s="557"/>
      <c r="GLO59" s="661"/>
      <c r="GLP59" s="556"/>
      <c r="GLQ59" s="557"/>
      <c r="GLR59" s="557"/>
      <c r="GLS59" s="557"/>
      <c r="GLT59" s="557"/>
      <c r="GLU59" s="557"/>
      <c r="GLV59" s="557"/>
      <c r="GLW59" s="557"/>
      <c r="GLX59" s="557"/>
      <c r="GLY59" s="557"/>
      <c r="GLZ59" s="557"/>
      <c r="GMA59" s="557"/>
      <c r="GMB59" s="557"/>
      <c r="GMC59" s="557"/>
      <c r="GMD59" s="557"/>
      <c r="GME59" s="557"/>
      <c r="GMF59" s="557"/>
      <c r="GMG59" s="557"/>
      <c r="GMH59" s="557"/>
      <c r="GMI59" s="661"/>
      <c r="GMJ59" s="556"/>
      <c r="GMK59" s="557"/>
      <c r="GML59" s="557"/>
      <c r="GMM59" s="557"/>
      <c r="GMN59" s="557"/>
      <c r="GMO59" s="557"/>
      <c r="GMP59" s="557"/>
      <c r="GMQ59" s="557"/>
      <c r="GMR59" s="557"/>
      <c r="GMS59" s="557"/>
      <c r="GMT59" s="557"/>
      <c r="GMU59" s="557"/>
      <c r="GMV59" s="557"/>
      <c r="GMW59" s="557"/>
      <c r="GMX59" s="557"/>
      <c r="GMY59" s="557"/>
      <c r="GMZ59" s="557"/>
      <c r="GNA59" s="557"/>
      <c r="GNB59" s="557"/>
      <c r="GNC59" s="661"/>
      <c r="GND59" s="556"/>
      <c r="GNE59" s="557"/>
      <c r="GNF59" s="557"/>
      <c r="GNG59" s="557"/>
      <c r="GNH59" s="557"/>
      <c r="GNI59" s="557"/>
      <c r="GNJ59" s="557"/>
      <c r="GNK59" s="557"/>
      <c r="GNL59" s="557"/>
      <c r="GNM59" s="557"/>
      <c r="GNN59" s="557"/>
      <c r="GNO59" s="557"/>
      <c r="GNP59" s="557"/>
      <c r="GNQ59" s="557"/>
      <c r="GNR59" s="557"/>
      <c r="GNS59" s="557"/>
      <c r="GNT59" s="557"/>
      <c r="GNU59" s="557"/>
      <c r="GNV59" s="557"/>
      <c r="GNW59" s="661"/>
      <c r="GNX59" s="556"/>
      <c r="GNY59" s="557"/>
      <c r="GNZ59" s="557"/>
      <c r="GOA59" s="557"/>
      <c r="GOB59" s="557"/>
      <c r="GOC59" s="557"/>
      <c r="GOD59" s="557"/>
      <c r="GOE59" s="557"/>
      <c r="GOF59" s="557"/>
      <c r="GOG59" s="557"/>
      <c r="GOH59" s="557"/>
      <c r="GOI59" s="557"/>
      <c r="GOJ59" s="557"/>
      <c r="GOK59" s="557"/>
      <c r="GOL59" s="557"/>
      <c r="GOM59" s="557"/>
      <c r="GON59" s="557"/>
      <c r="GOO59" s="557"/>
      <c r="GOP59" s="557"/>
      <c r="GOQ59" s="661"/>
      <c r="GOR59" s="556"/>
      <c r="GOS59" s="557"/>
      <c r="GOT59" s="557"/>
      <c r="GOU59" s="557"/>
      <c r="GOV59" s="557"/>
      <c r="GOW59" s="557"/>
      <c r="GOX59" s="557"/>
      <c r="GOY59" s="557"/>
      <c r="GOZ59" s="557"/>
      <c r="GPA59" s="557"/>
      <c r="GPB59" s="557"/>
      <c r="GPC59" s="557"/>
      <c r="GPD59" s="557"/>
      <c r="GPE59" s="557"/>
      <c r="GPF59" s="557"/>
      <c r="GPG59" s="557"/>
      <c r="GPH59" s="557"/>
      <c r="GPI59" s="557"/>
      <c r="GPJ59" s="557"/>
      <c r="GPK59" s="661"/>
      <c r="GPL59" s="556"/>
      <c r="GPM59" s="557"/>
      <c r="GPN59" s="557"/>
      <c r="GPO59" s="557"/>
      <c r="GPP59" s="557"/>
      <c r="GPQ59" s="557"/>
      <c r="GPR59" s="557"/>
      <c r="GPS59" s="557"/>
      <c r="GPT59" s="557"/>
      <c r="GPU59" s="557"/>
      <c r="GPV59" s="557"/>
      <c r="GPW59" s="557"/>
      <c r="GPX59" s="557"/>
      <c r="GPY59" s="557"/>
      <c r="GPZ59" s="557"/>
      <c r="GQA59" s="557"/>
      <c r="GQB59" s="557"/>
      <c r="GQC59" s="557"/>
      <c r="GQD59" s="557"/>
      <c r="GQE59" s="661"/>
      <c r="GQF59" s="556"/>
      <c r="GQG59" s="557"/>
      <c r="GQH59" s="557"/>
      <c r="GQI59" s="557"/>
      <c r="GQJ59" s="557"/>
      <c r="GQK59" s="557"/>
      <c r="GQL59" s="557"/>
      <c r="GQM59" s="557"/>
      <c r="GQN59" s="557"/>
      <c r="GQO59" s="557"/>
      <c r="GQP59" s="557"/>
      <c r="GQQ59" s="557"/>
      <c r="GQR59" s="557"/>
      <c r="GQS59" s="557"/>
      <c r="GQT59" s="557"/>
      <c r="GQU59" s="557"/>
      <c r="GQV59" s="557"/>
      <c r="GQW59" s="557"/>
      <c r="GQX59" s="557"/>
      <c r="GQY59" s="661"/>
      <c r="GQZ59" s="556"/>
      <c r="GRA59" s="557"/>
      <c r="GRB59" s="557"/>
      <c r="GRC59" s="557"/>
      <c r="GRD59" s="557"/>
      <c r="GRE59" s="557"/>
      <c r="GRF59" s="557"/>
      <c r="GRG59" s="557"/>
      <c r="GRH59" s="557"/>
      <c r="GRI59" s="557"/>
      <c r="GRJ59" s="557"/>
      <c r="GRK59" s="557"/>
      <c r="GRL59" s="557"/>
      <c r="GRM59" s="557"/>
      <c r="GRN59" s="557"/>
      <c r="GRO59" s="557"/>
      <c r="GRP59" s="557"/>
      <c r="GRQ59" s="557"/>
      <c r="GRR59" s="557"/>
      <c r="GRS59" s="661"/>
      <c r="GRT59" s="556"/>
      <c r="GRU59" s="557"/>
      <c r="GRV59" s="557"/>
      <c r="GRW59" s="557"/>
      <c r="GRX59" s="557"/>
      <c r="GRY59" s="557"/>
      <c r="GRZ59" s="557"/>
      <c r="GSA59" s="557"/>
      <c r="GSB59" s="557"/>
      <c r="GSC59" s="557"/>
      <c r="GSD59" s="557"/>
      <c r="GSE59" s="557"/>
      <c r="GSF59" s="557"/>
      <c r="GSG59" s="557"/>
      <c r="GSH59" s="557"/>
      <c r="GSI59" s="557"/>
      <c r="GSJ59" s="557"/>
      <c r="GSK59" s="557"/>
      <c r="GSL59" s="557"/>
      <c r="GSM59" s="661"/>
      <c r="GSN59" s="556"/>
      <c r="GSO59" s="557"/>
      <c r="GSP59" s="557"/>
      <c r="GSQ59" s="557"/>
      <c r="GSR59" s="557"/>
      <c r="GSS59" s="557"/>
      <c r="GST59" s="557"/>
      <c r="GSU59" s="557"/>
      <c r="GSV59" s="557"/>
      <c r="GSW59" s="557"/>
      <c r="GSX59" s="557"/>
      <c r="GSY59" s="557"/>
      <c r="GSZ59" s="557"/>
      <c r="GTA59" s="557"/>
      <c r="GTB59" s="557"/>
      <c r="GTC59" s="557"/>
      <c r="GTD59" s="557"/>
      <c r="GTE59" s="557"/>
      <c r="GTF59" s="557"/>
      <c r="GTG59" s="661"/>
      <c r="GTH59" s="556"/>
      <c r="GTI59" s="557"/>
      <c r="GTJ59" s="557"/>
      <c r="GTK59" s="557"/>
      <c r="GTL59" s="557"/>
      <c r="GTM59" s="557"/>
      <c r="GTN59" s="557"/>
      <c r="GTO59" s="557"/>
      <c r="GTP59" s="557"/>
      <c r="GTQ59" s="557"/>
      <c r="GTR59" s="557"/>
      <c r="GTS59" s="557"/>
      <c r="GTT59" s="557"/>
      <c r="GTU59" s="557"/>
      <c r="GTV59" s="557"/>
      <c r="GTW59" s="557"/>
      <c r="GTX59" s="557"/>
      <c r="GTY59" s="557"/>
      <c r="GTZ59" s="557"/>
      <c r="GUA59" s="661"/>
      <c r="GUB59" s="556"/>
      <c r="GUC59" s="557"/>
      <c r="GUD59" s="557"/>
      <c r="GUE59" s="557"/>
      <c r="GUF59" s="557"/>
      <c r="GUG59" s="557"/>
      <c r="GUH59" s="557"/>
      <c r="GUI59" s="557"/>
      <c r="GUJ59" s="557"/>
      <c r="GUK59" s="557"/>
      <c r="GUL59" s="557"/>
      <c r="GUM59" s="557"/>
      <c r="GUN59" s="557"/>
      <c r="GUO59" s="557"/>
      <c r="GUP59" s="557"/>
      <c r="GUQ59" s="557"/>
      <c r="GUR59" s="557"/>
      <c r="GUS59" s="557"/>
      <c r="GUT59" s="557"/>
      <c r="GUU59" s="661"/>
      <c r="GUV59" s="556"/>
      <c r="GUW59" s="557"/>
      <c r="GUX59" s="557"/>
      <c r="GUY59" s="557"/>
      <c r="GUZ59" s="557"/>
      <c r="GVA59" s="557"/>
      <c r="GVB59" s="557"/>
      <c r="GVC59" s="557"/>
      <c r="GVD59" s="557"/>
      <c r="GVE59" s="557"/>
      <c r="GVF59" s="557"/>
      <c r="GVG59" s="557"/>
      <c r="GVH59" s="557"/>
      <c r="GVI59" s="557"/>
      <c r="GVJ59" s="557"/>
      <c r="GVK59" s="557"/>
      <c r="GVL59" s="557"/>
      <c r="GVM59" s="557"/>
      <c r="GVN59" s="557"/>
      <c r="GVO59" s="661"/>
      <c r="GVP59" s="556"/>
      <c r="GVQ59" s="557"/>
      <c r="GVR59" s="557"/>
      <c r="GVS59" s="557"/>
      <c r="GVT59" s="557"/>
      <c r="GVU59" s="557"/>
      <c r="GVV59" s="557"/>
      <c r="GVW59" s="557"/>
      <c r="GVX59" s="557"/>
      <c r="GVY59" s="557"/>
      <c r="GVZ59" s="557"/>
      <c r="GWA59" s="557"/>
      <c r="GWB59" s="557"/>
      <c r="GWC59" s="557"/>
      <c r="GWD59" s="557"/>
      <c r="GWE59" s="557"/>
      <c r="GWF59" s="557"/>
      <c r="GWG59" s="557"/>
      <c r="GWH59" s="557"/>
      <c r="GWI59" s="661"/>
      <c r="GWJ59" s="556"/>
      <c r="GWK59" s="557"/>
      <c r="GWL59" s="557"/>
      <c r="GWM59" s="557"/>
      <c r="GWN59" s="557"/>
      <c r="GWO59" s="557"/>
      <c r="GWP59" s="557"/>
      <c r="GWQ59" s="557"/>
      <c r="GWR59" s="557"/>
      <c r="GWS59" s="557"/>
      <c r="GWT59" s="557"/>
      <c r="GWU59" s="557"/>
      <c r="GWV59" s="557"/>
      <c r="GWW59" s="557"/>
      <c r="GWX59" s="557"/>
      <c r="GWY59" s="557"/>
      <c r="GWZ59" s="557"/>
      <c r="GXA59" s="557"/>
      <c r="GXB59" s="557"/>
      <c r="GXC59" s="661"/>
      <c r="GXD59" s="556"/>
      <c r="GXE59" s="557"/>
      <c r="GXF59" s="557"/>
      <c r="GXG59" s="557"/>
      <c r="GXH59" s="557"/>
      <c r="GXI59" s="557"/>
      <c r="GXJ59" s="557"/>
      <c r="GXK59" s="557"/>
      <c r="GXL59" s="557"/>
      <c r="GXM59" s="557"/>
      <c r="GXN59" s="557"/>
      <c r="GXO59" s="557"/>
      <c r="GXP59" s="557"/>
      <c r="GXQ59" s="557"/>
      <c r="GXR59" s="557"/>
      <c r="GXS59" s="557"/>
      <c r="GXT59" s="557"/>
      <c r="GXU59" s="557"/>
      <c r="GXV59" s="557"/>
      <c r="GXW59" s="661"/>
      <c r="GXX59" s="556"/>
      <c r="GXY59" s="557"/>
      <c r="GXZ59" s="557"/>
      <c r="GYA59" s="557"/>
      <c r="GYB59" s="557"/>
      <c r="GYC59" s="557"/>
      <c r="GYD59" s="557"/>
      <c r="GYE59" s="557"/>
      <c r="GYF59" s="557"/>
      <c r="GYG59" s="557"/>
      <c r="GYH59" s="557"/>
      <c r="GYI59" s="557"/>
      <c r="GYJ59" s="557"/>
      <c r="GYK59" s="557"/>
      <c r="GYL59" s="557"/>
      <c r="GYM59" s="557"/>
      <c r="GYN59" s="557"/>
      <c r="GYO59" s="557"/>
      <c r="GYP59" s="557"/>
      <c r="GYQ59" s="661"/>
      <c r="GYR59" s="556"/>
      <c r="GYS59" s="557"/>
      <c r="GYT59" s="557"/>
      <c r="GYU59" s="557"/>
      <c r="GYV59" s="557"/>
      <c r="GYW59" s="557"/>
      <c r="GYX59" s="557"/>
      <c r="GYY59" s="557"/>
      <c r="GYZ59" s="557"/>
      <c r="GZA59" s="557"/>
      <c r="GZB59" s="557"/>
      <c r="GZC59" s="557"/>
      <c r="GZD59" s="557"/>
      <c r="GZE59" s="557"/>
      <c r="GZF59" s="557"/>
      <c r="GZG59" s="557"/>
      <c r="GZH59" s="557"/>
      <c r="GZI59" s="557"/>
      <c r="GZJ59" s="557"/>
      <c r="GZK59" s="661"/>
      <c r="GZL59" s="556"/>
      <c r="GZM59" s="557"/>
      <c r="GZN59" s="557"/>
      <c r="GZO59" s="557"/>
      <c r="GZP59" s="557"/>
      <c r="GZQ59" s="557"/>
      <c r="GZR59" s="557"/>
      <c r="GZS59" s="557"/>
      <c r="GZT59" s="557"/>
      <c r="GZU59" s="557"/>
      <c r="GZV59" s="557"/>
      <c r="GZW59" s="557"/>
      <c r="GZX59" s="557"/>
      <c r="GZY59" s="557"/>
      <c r="GZZ59" s="557"/>
      <c r="HAA59" s="557"/>
      <c r="HAB59" s="557"/>
      <c r="HAC59" s="557"/>
      <c r="HAD59" s="557"/>
      <c r="HAE59" s="661"/>
      <c r="HAF59" s="556"/>
      <c r="HAG59" s="557"/>
      <c r="HAH59" s="557"/>
      <c r="HAI59" s="557"/>
      <c r="HAJ59" s="557"/>
      <c r="HAK59" s="557"/>
      <c r="HAL59" s="557"/>
      <c r="HAM59" s="557"/>
      <c r="HAN59" s="557"/>
      <c r="HAO59" s="557"/>
      <c r="HAP59" s="557"/>
      <c r="HAQ59" s="557"/>
      <c r="HAR59" s="557"/>
      <c r="HAS59" s="557"/>
      <c r="HAT59" s="557"/>
      <c r="HAU59" s="557"/>
      <c r="HAV59" s="557"/>
      <c r="HAW59" s="557"/>
      <c r="HAX59" s="557"/>
      <c r="HAY59" s="661"/>
      <c r="HAZ59" s="556"/>
      <c r="HBA59" s="557"/>
      <c r="HBB59" s="557"/>
      <c r="HBC59" s="557"/>
      <c r="HBD59" s="557"/>
      <c r="HBE59" s="557"/>
      <c r="HBF59" s="557"/>
      <c r="HBG59" s="557"/>
      <c r="HBH59" s="557"/>
      <c r="HBI59" s="557"/>
      <c r="HBJ59" s="557"/>
      <c r="HBK59" s="557"/>
      <c r="HBL59" s="557"/>
      <c r="HBM59" s="557"/>
      <c r="HBN59" s="557"/>
      <c r="HBO59" s="557"/>
      <c r="HBP59" s="557"/>
      <c r="HBQ59" s="557"/>
      <c r="HBR59" s="557"/>
      <c r="HBS59" s="661"/>
      <c r="HBT59" s="556"/>
      <c r="HBU59" s="557"/>
      <c r="HBV59" s="557"/>
      <c r="HBW59" s="557"/>
      <c r="HBX59" s="557"/>
      <c r="HBY59" s="557"/>
      <c r="HBZ59" s="557"/>
      <c r="HCA59" s="557"/>
      <c r="HCB59" s="557"/>
      <c r="HCC59" s="557"/>
      <c r="HCD59" s="557"/>
      <c r="HCE59" s="557"/>
      <c r="HCF59" s="557"/>
      <c r="HCG59" s="557"/>
      <c r="HCH59" s="557"/>
      <c r="HCI59" s="557"/>
      <c r="HCJ59" s="557"/>
      <c r="HCK59" s="557"/>
      <c r="HCL59" s="557"/>
      <c r="HCM59" s="661"/>
      <c r="HCN59" s="556"/>
      <c r="HCO59" s="557"/>
      <c r="HCP59" s="557"/>
      <c r="HCQ59" s="557"/>
      <c r="HCR59" s="557"/>
      <c r="HCS59" s="557"/>
      <c r="HCT59" s="557"/>
      <c r="HCU59" s="557"/>
      <c r="HCV59" s="557"/>
      <c r="HCW59" s="557"/>
      <c r="HCX59" s="557"/>
      <c r="HCY59" s="557"/>
      <c r="HCZ59" s="557"/>
      <c r="HDA59" s="557"/>
      <c r="HDB59" s="557"/>
      <c r="HDC59" s="557"/>
      <c r="HDD59" s="557"/>
      <c r="HDE59" s="557"/>
      <c r="HDF59" s="557"/>
      <c r="HDG59" s="661"/>
      <c r="HDH59" s="556"/>
      <c r="HDI59" s="557"/>
      <c r="HDJ59" s="557"/>
      <c r="HDK59" s="557"/>
      <c r="HDL59" s="557"/>
      <c r="HDM59" s="557"/>
      <c r="HDN59" s="557"/>
      <c r="HDO59" s="557"/>
      <c r="HDP59" s="557"/>
      <c r="HDQ59" s="557"/>
      <c r="HDR59" s="557"/>
      <c r="HDS59" s="557"/>
      <c r="HDT59" s="557"/>
      <c r="HDU59" s="557"/>
      <c r="HDV59" s="557"/>
      <c r="HDW59" s="557"/>
      <c r="HDX59" s="557"/>
      <c r="HDY59" s="557"/>
      <c r="HDZ59" s="557"/>
      <c r="HEA59" s="661"/>
      <c r="HEB59" s="556"/>
      <c r="HEC59" s="557"/>
      <c r="HED59" s="557"/>
      <c r="HEE59" s="557"/>
      <c r="HEF59" s="557"/>
      <c r="HEG59" s="557"/>
      <c r="HEH59" s="557"/>
      <c r="HEI59" s="557"/>
      <c r="HEJ59" s="557"/>
      <c r="HEK59" s="557"/>
      <c r="HEL59" s="557"/>
      <c r="HEM59" s="557"/>
      <c r="HEN59" s="557"/>
      <c r="HEO59" s="557"/>
      <c r="HEP59" s="557"/>
      <c r="HEQ59" s="557"/>
      <c r="HER59" s="557"/>
      <c r="HES59" s="557"/>
      <c r="HET59" s="557"/>
      <c r="HEU59" s="661"/>
      <c r="HEV59" s="556"/>
      <c r="HEW59" s="557"/>
      <c r="HEX59" s="557"/>
      <c r="HEY59" s="557"/>
      <c r="HEZ59" s="557"/>
      <c r="HFA59" s="557"/>
      <c r="HFB59" s="557"/>
      <c r="HFC59" s="557"/>
      <c r="HFD59" s="557"/>
      <c r="HFE59" s="557"/>
      <c r="HFF59" s="557"/>
      <c r="HFG59" s="557"/>
      <c r="HFH59" s="557"/>
      <c r="HFI59" s="557"/>
      <c r="HFJ59" s="557"/>
      <c r="HFK59" s="557"/>
      <c r="HFL59" s="557"/>
      <c r="HFM59" s="557"/>
      <c r="HFN59" s="557"/>
      <c r="HFO59" s="661"/>
      <c r="HFP59" s="556"/>
      <c r="HFQ59" s="557"/>
      <c r="HFR59" s="557"/>
      <c r="HFS59" s="557"/>
      <c r="HFT59" s="557"/>
      <c r="HFU59" s="557"/>
      <c r="HFV59" s="557"/>
      <c r="HFW59" s="557"/>
      <c r="HFX59" s="557"/>
      <c r="HFY59" s="557"/>
      <c r="HFZ59" s="557"/>
      <c r="HGA59" s="557"/>
      <c r="HGB59" s="557"/>
      <c r="HGC59" s="557"/>
      <c r="HGD59" s="557"/>
      <c r="HGE59" s="557"/>
      <c r="HGF59" s="557"/>
      <c r="HGG59" s="557"/>
      <c r="HGH59" s="557"/>
      <c r="HGI59" s="661"/>
      <c r="HGJ59" s="556"/>
      <c r="HGK59" s="557"/>
      <c r="HGL59" s="557"/>
      <c r="HGM59" s="557"/>
      <c r="HGN59" s="557"/>
      <c r="HGO59" s="557"/>
      <c r="HGP59" s="557"/>
      <c r="HGQ59" s="557"/>
      <c r="HGR59" s="557"/>
      <c r="HGS59" s="557"/>
      <c r="HGT59" s="557"/>
      <c r="HGU59" s="557"/>
      <c r="HGV59" s="557"/>
      <c r="HGW59" s="557"/>
      <c r="HGX59" s="557"/>
      <c r="HGY59" s="557"/>
      <c r="HGZ59" s="557"/>
      <c r="HHA59" s="557"/>
      <c r="HHB59" s="557"/>
      <c r="HHC59" s="661"/>
      <c r="HHD59" s="556"/>
      <c r="HHE59" s="557"/>
      <c r="HHF59" s="557"/>
      <c r="HHG59" s="557"/>
      <c r="HHH59" s="557"/>
      <c r="HHI59" s="557"/>
      <c r="HHJ59" s="557"/>
      <c r="HHK59" s="557"/>
      <c r="HHL59" s="557"/>
      <c r="HHM59" s="557"/>
      <c r="HHN59" s="557"/>
      <c r="HHO59" s="557"/>
      <c r="HHP59" s="557"/>
      <c r="HHQ59" s="557"/>
      <c r="HHR59" s="557"/>
      <c r="HHS59" s="557"/>
      <c r="HHT59" s="557"/>
      <c r="HHU59" s="557"/>
      <c r="HHV59" s="557"/>
      <c r="HHW59" s="661"/>
      <c r="HHX59" s="556"/>
      <c r="HHY59" s="557"/>
      <c r="HHZ59" s="557"/>
      <c r="HIA59" s="557"/>
      <c r="HIB59" s="557"/>
      <c r="HIC59" s="557"/>
      <c r="HID59" s="557"/>
      <c r="HIE59" s="557"/>
      <c r="HIF59" s="557"/>
      <c r="HIG59" s="557"/>
      <c r="HIH59" s="557"/>
      <c r="HII59" s="557"/>
      <c r="HIJ59" s="557"/>
      <c r="HIK59" s="557"/>
      <c r="HIL59" s="557"/>
      <c r="HIM59" s="557"/>
      <c r="HIN59" s="557"/>
      <c r="HIO59" s="557"/>
      <c r="HIP59" s="557"/>
      <c r="HIQ59" s="661"/>
      <c r="HIR59" s="556"/>
      <c r="HIS59" s="557"/>
      <c r="HIT59" s="557"/>
      <c r="HIU59" s="557"/>
      <c r="HIV59" s="557"/>
      <c r="HIW59" s="557"/>
      <c r="HIX59" s="557"/>
      <c r="HIY59" s="557"/>
      <c r="HIZ59" s="557"/>
      <c r="HJA59" s="557"/>
      <c r="HJB59" s="557"/>
      <c r="HJC59" s="557"/>
      <c r="HJD59" s="557"/>
      <c r="HJE59" s="557"/>
      <c r="HJF59" s="557"/>
      <c r="HJG59" s="557"/>
      <c r="HJH59" s="557"/>
      <c r="HJI59" s="557"/>
      <c r="HJJ59" s="557"/>
      <c r="HJK59" s="661"/>
      <c r="HJL59" s="556"/>
      <c r="HJM59" s="557"/>
      <c r="HJN59" s="557"/>
      <c r="HJO59" s="557"/>
      <c r="HJP59" s="557"/>
      <c r="HJQ59" s="557"/>
      <c r="HJR59" s="557"/>
      <c r="HJS59" s="557"/>
      <c r="HJT59" s="557"/>
      <c r="HJU59" s="557"/>
      <c r="HJV59" s="557"/>
      <c r="HJW59" s="557"/>
      <c r="HJX59" s="557"/>
      <c r="HJY59" s="557"/>
      <c r="HJZ59" s="557"/>
      <c r="HKA59" s="557"/>
      <c r="HKB59" s="557"/>
      <c r="HKC59" s="557"/>
      <c r="HKD59" s="557"/>
      <c r="HKE59" s="661"/>
      <c r="HKF59" s="556"/>
      <c r="HKG59" s="557"/>
      <c r="HKH59" s="557"/>
      <c r="HKI59" s="557"/>
      <c r="HKJ59" s="557"/>
      <c r="HKK59" s="557"/>
      <c r="HKL59" s="557"/>
      <c r="HKM59" s="557"/>
      <c r="HKN59" s="557"/>
      <c r="HKO59" s="557"/>
      <c r="HKP59" s="557"/>
      <c r="HKQ59" s="557"/>
      <c r="HKR59" s="557"/>
      <c r="HKS59" s="557"/>
      <c r="HKT59" s="557"/>
      <c r="HKU59" s="557"/>
      <c r="HKV59" s="557"/>
      <c r="HKW59" s="557"/>
      <c r="HKX59" s="557"/>
      <c r="HKY59" s="661"/>
      <c r="HKZ59" s="556"/>
      <c r="HLA59" s="557"/>
      <c r="HLB59" s="557"/>
      <c r="HLC59" s="557"/>
      <c r="HLD59" s="557"/>
      <c r="HLE59" s="557"/>
      <c r="HLF59" s="557"/>
      <c r="HLG59" s="557"/>
      <c r="HLH59" s="557"/>
      <c r="HLI59" s="557"/>
      <c r="HLJ59" s="557"/>
      <c r="HLK59" s="557"/>
      <c r="HLL59" s="557"/>
      <c r="HLM59" s="557"/>
      <c r="HLN59" s="557"/>
      <c r="HLO59" s="557"/>
      <c r="HLP59" s="557"/>
      <c r="HLQ59" s="557"/>
      <c r="HLR59" s="557"/>
      <c r="HLS59" s="661"/>
      <c r="HLT59" s="556"/>
      <c r="HLU59" s="557"/>
      <c r="HLV59" s="557"/>
      <c r="HLW59" s="557"/>
      <c r="HLX59" s="557"/>
      <c r="HLY59" s="557"/>
      <c r="HLZ59" s="557"/>
      <c r="HMA59" s="557"/>
      <c r="HMB59" s="557"/>
      <c r="HMC59" s="557"/>
      <c r="HMD59" s="557"/>
      <c r="HME59" s="557"/>
      <c r="HMF59" s="557"/>
      <c r="HMG59" s="557"/>
      <c r="HMH59" s="557"/>
      <c r="HMI59" s="557"/>
      <c r="HMJ59" s="557"/>
      <c r="HMK59" s="557"/>
      <c r="HML59" s="557"/>
      <c r="HMM59" s="661"/>
      <c r="HMN59" s="556"/>
      <c r="HMO59" s="557"/>
      <c r="HMP59" s="557"/>
      <c r="HMQ59" s="557"/>
      <c r="HMR59" s="557"/>
      <c r="HMS59" s="557"/>
      <c r="HMT59" s="557"/>
      <c r="HMU59" s="557"/>
      <c r="HMV59" s="557"/>
      <c r="HMW59" s="557"/>
      <c r="HMX59" s="557"/>
      <c r="HMY59" s="557"/>
      <c r="HMZ59" s="557"/>
      <c r="HNA59" s="557"/>
      <c r="HNB59" s="557"/>
      <c r="HNC59" s="557"/>
      <c r="HND59" s="557"/>
      <c r="HNE59" s="557"/>
      <c r="HNF59" s="557"/>
      <c r="HNG59" s="661"/>
      <c r="HNH59" s="556"/>
      <c r="HNI59" s="557"/>
      <c r="HNJ59" s="557"/>
      <c r="HNK59" s="557"/>
      <c r="HNL59" s="557"/>
      <c r="HNM59" s="557"/>
      <c r="HNN59" s="557"/>
      <c r="HNO59" s="557"/>
      <c r="HNP59" s="557"/>
      <c r="HNQ59" s="557"/>
      <c r="HNR59" s="557"/>
      <c r="HNS59" s="557"/>
      <c r="HNT59" s="557"/>
      <c r="HNU59" s="557"/>
      <c r="HNV59" s="557"/>
      <c r="HNW59" s="557"/>
      <c r="HNX59" s="557"/>
      <c r="HNY59" s="557"/>
      <c r="HNZ59" s="557"/>
      <c r="HOA59" s="661"/>
      <c r="HOB59" s="556"/>
      <c r="HOC59" s="557"/>
      <c r="HOD59" s="557"/>
      <c r="HOE59" s="557"/>
      <c r="HOF59" s="557"/>
      <c r="HOG59" s="557"/>
      <c r="HOH59" s="557"/>
      <c r="HOI59" s="557"/>
      <c r="HOJ59" s="557"/>
      <c r="HOK59" s="557"/>
      <c r="HOL59" s="557"/>
      <c r="HOM59" s="557"/>
      <c r="HON59" s="557"/>
      <c r="HOO59" s="557"/>
      <c r="HOP59" s="557"/>
      <c r="HOQ59" s="557"/>
      <c r="HOR59" s="557"/>
      <c r="HOS59" s="557"/>
      <c r="HOT59" s="557"/>
      <c r="HOU59" s="661"/>
      <c r="HOV59" s="556"/>
      <c r="HOW59" s="557"/>
      <c r="HOX59" s="557"/>
      <c r="HOY59" s="557"/>
      <c r="HOZ59" s="557"/>
      <c r="HPA59" s="557"/>
      <c r="HPB59" s="557"/>
      <c r="HPC59" s="557"/>
      <c r="HPD59" s="557"/>
      <c r="HPE59" s="557"/>
      <c r="HPF59" s="557"/>
      <c r="HPG59" s="557"/>
      <c r="HPH59" s="557"/>
      <c r="HPI59" s="557"/>
      <c r="HPJ59" s="557"/>
      <c r="HPK59" s="557"/>
      <c r="HPL59" s="557"/>
      <c r="HPM59" s="557"/>
      <c r="HPN59" s="557"/>
      <c r="HPO59" s="661"/>
      <c r="HPP59" s="556"/>
      <c r="HPQ59" s="557"/>
      <c r="HPR59" s="557"/>
      <c r="HPS59" s="557"/>
      <c r="HPT59" s="557"/>
      <c r="HPU59" s="557"/>
      <c r="HPV59" s="557"/>
      <c r="HPW59" s="557"/>
      <c r="HPX59" s="557"/>
      <c r="HPY59" s="557"/>
      <c r="HPZ59" s="557"/>
      <c r="HQA59" s="557"/>
      <c r="HQB59" s="557"/>
      <c r="HQC59" s="557"/>
      <c r="HQD59" s="557"/>
      <c r="HQE59" s="557"/>
      <c r="HQF59" s="557"/>
      <c r="HQG59" s="557"/>
      <c r="HQH59" s="557"/>
      <c r="HQI59" s="661"/>
      <c r="HQJ59" s="556"/>
      <c r="HQK59" s="557"/>
      <c r="HQL59" s="557"/>
      <c r="HQM59" s="557"/>
      <c r="HQN59" s="557"/>
      <c r="HQO59" s="557"/>
      <c r="HQP59" s="557"/>
      <c r="HQQ59" s="557"/>
      <c r="HQR59" s="557"/>
      <c r="HQS59" s="557"/>
      <c r="HQT59" s="557"/>
      <c r="HQU59" s="557"/>
      <c r="HQV59" s="557"/>
      <c r="HQW59" s="557"/>
      <c r="HQX59" s="557"/>
      <c r="HQY59" s="557"/>
      <c r="HQZ59" s="557"/>
      <c r="HRA59" s="557"/>
      <c r="HRB59" s="557"/>
      <c r="HRC59" s="661"/>
      <c r="HRD59" s="556"/>
      <c r="HRE59" s="557"/>
      <c r="HRF59" s="557"/>
      <c r="HRG59" s="557"/>
      <c r="HRH59" s="557"/>
      <c r="HRI59" s="557"/>
      <c r="HRJ59" s="557"/>
      <c r="HRK59" s="557"/>
      <c r="HRL59" s="557"/>
      <c r="HRM59" s="557"/>
      <c r="HRN59" s="557"/>
      <c r="HRO59" s="557"/>
      <c r="HRP59" s="557"/>
      <c r="HRQ59" s="557"/>
      <c r="HRR59" s="557"/>
      <c r="HRS59" s="557"/>
      <c r="HRT59" s="557"/>
      <c r="HRU59" s="557"/>
      <c r="HRV59" s="557"/>
      <c r="HRW59" s="661"/>
      <c r="HRX59" s="556"/>
      <c r="HRY59" s="557"/>
      <c r="HRZ59" s="557"/>
      <c r="HSA59" s="557"/>
      <c r="HSB59" s="557"/>
      <c r="HSC59" s="557"/>
      <c r="HSD59" s="557"/>
      <c r="HSE59" s="557"/>
      <c r="HSF59" s="557"/>
      <c r="HSG59" s="557"/>
      <c r="HSH59" s="557"/>
      <c r="HSI59" s="557"/>
      <c r="HSJ59" s="557"/>
      <c r="HSK59" s="557"/>
      <c r="HSL59" s="557"/>
      <c r="HSM59" s="557"/>
      <c r="HSN59" s="557"/>
      <c r="HSO59" s="557"/>
      <c r="HSP59" s="557"/>
      <c r="HSQ59" s="661"/>
      <c r="HSR59" s="556"/>
      <c r="HSS59" s="557"/>
      <c r="HST59" s="557"/>
      <c r="HSU59" s="557"/>
      <c r="HSV59" s="557"/>
      <c r="HSW59" s="557"/>
      <c r="HSX59" s="557"/>
      <c r="HSY59" s="557"/>
      <c r="HSZ59" s="557"/>
      <c r="HTA59" s="557"/>
      <c r="HTB59" s="557"/>
      <c r="HTC59" s="557"/>
      <c r="HTD59" s="557"/>
      <c r="HTE59" s="557"/>
      <c r="HTF59" s="557"/>
      <c r="HTG59" s="557"/>
      <c r="HTH59" s="557"/>
      <c r="HTI59" s="557"/>
      <c r="HTJ59" s="557"/>
      <c r="HTK59" s="661"/>
      <c r="HTL59" s="556"/>
      <c r="HTM59" s="557"/>
      <c r="HTN59" s="557"/>
      <c r="HTO59" s="557"/>
      <c r="HTP59" s="557"/>
      <c r="HTQ59" s="557"/>
      <c r="HTR59" s="557"/>
      <c r="HTS59" s="557"/>
      <c r="HTT59" s="557"/>
      <c r="HTU59" s="557"/>
      <c r="HTV59" s="557"/>
      <c r="HTW59" s="557"/>
      <c r="HTX59" s="557"/>
      <c r="HTY59" s="557"/>
      <c r="HTZ59" s="557"/>
      <c r="HUA59" s="557"/>
      <c r="HUB59" s="557"/>
      <c r="HUC59" s="557"/>
      <c r="HUD59" s="557"/>
      <c r="HUE59" s="661"/>
      <c r="HUF59" s="556"/>
      <c r="HUG59" s="557"/>
      <c r="HUH59" s="557"/>
      <c r="HUI59" s="557"/>
      <c r="HUJ59" s="557"/>
      <c r="HUK59" s="557"/>
      <c r="HUL59" s="557"/>
      <c r="HUM59" s="557"/>
      <c r="HUN59" s="557"/>
      <c r="HUO59" s="557"/>
      <c r="HUP59" s="557"/>
      <c r="HUQ59" s="557"/>
      <c r="HUR59" s="557"/>
      <c r="HUS59" s="557"/>
      <c r="HUT59" s="557"/>
      <c r="HUU59" s="557"/>
      <c r="HUV59" s="557"/>
      <c r="HUW59" s="557"/>
      <c r="HUX59" s="557"/>
      <c r="HUY59" s="661"/>
      <c r="HUZ59" s="556"/>
      <c r="HVA59" s="557"/>
      <c r="HVB59" s="557"/>
      <c r="HVC59" s="557"/>
      <c r="HVD59" s="557"/>
      <c r="HVE59" s="557"/>
      <c r="HVF59" s="557"/>
      <c r="HVG59" s="557"/>
      <c r="HVH59" s="557"/>
      <c r="HVI59" s="557"/>
      <c r="HVJ59" s="557"/>
      <c r="HVK59" s="557"/>
      <c r="HVL59" s="557"/>
      <c r="HVM59" s="557"/>
      <c r="HVN59" s="557"/>
      <c r="HVO59" s="557"/>
      <c r="HVP59" s="557"/>
      <c r="HVQ59" s="557"/>
      <c r="HVR59" s="557"/>
      <c r="HVS59" s="661"/>
      <c r="HVT59" s="556"/>
      <c r="HVU59" s="557"/>
      <c r="HVV59" s="557"/>
      <c r="HVW59" s="557"/>
      <c r="HVX59" s="557"/>
      <c r="HVY59" s="557"/>
      <c r="HVZ59" s="557"/>
      <c r="HWA59" s="557"/>
      <c r="HWB59" s="557"/>
      <c r="HWC59" s="557"/>
      <c r="HWD59" s="557"/>
      <c r="HWE59" s="557"/>
      <c r="HWF59" s="557"/>
      <c r="HWG59" s="557"/>
      <c r="HWH59" s="557"/>
      <c r="HWI59" s="557"/>
      <c r="HWJ59" s="557"/>
      <c r="HWK59" s="557"/>
      <c r="HWL59" s="557"/>
      <c r="HWM59" s="661"/>
      <c r="HWN59" s="556"/>
      <c r="HWO59" s="557"/>
      <c r="HWP59" s="557"/>
      <c r="HWQ59" s="557"/>
      <c r="HWR59" s="557"/>
      <c r="HWS59" s="557"/>
      <c r="HWT59" s="557"/>
      <c r="HWU59" s="557"/>
      <c r="HWV59" s="557"/>
      <c r="HWW59" s="557"/>
      <c r="HWX59" s="557"/>
      <c r="HWY59" s="557"/>
      <c r="HWZ59" s="557"/>
      <c r="HXA59" s="557"/>
      <c r="HXB59" s="557"/>
      <c r="HXC59" s="557"/>
      <c r="HXD59" s="557"/>
      <c r="HXE59" s="557"/>
      <c r="HXF59" s="557"/>
      <c r="HXG59" s="661"/>
      <c r="HXH59" s="556"/>
      <c r="HXI59" s="557"/>
      <c r="HXJ59" s="557"/>
      <c r="HXK59" s="557"/>
      <c r="HXL59" s="557"/>
      <c r="HXM59" s="557"/>
      <c r="HXN59" s="557"/>
      <c r="HXO59" s="557"/>
      <c r="HXP59" s="557"/>
      <c r="HXQ59" s="557"/>
      <c r="HXR59" s="557"/>
      <c r="HXS59" s="557"/>
      <c r="HXT59" s="557"/>
      <c r="HXU59" s="557"/>
      <c r="HXV59" s="557"/>
      <c r="HXW59" s="557"/>
      <c r="HXX59" s="557"/>
      <c r="HXY59" s="557"/>
      <c r="HXZ59" s="557"/>
      <c r="HYA59" s="661"/>
      <c r="HYB59" s="556"/>
      <c r="HYC59" s="557"/>
      <c r="HYD59" s="557"/>
      <c r="HYE59" s="557"/>
      <c r="HYF59" s="557"/>
      <c r="HYG59" s="557"/>
      <c r="HYH59" s="557"/>
      <c r="HYI59" s="557"/>
      <c r="HYJ59" s="557"/>
      <c r="HYK59" s="557"/>
      <c r="HYL59" s="557"/>
      <c r="HYM59" s="557"/>
      <c r="HYN59" s="557"/>
      <c r="HYO59" s="557"/>
      <c r="HYP59" s="557"/>
      <c r="HYQ59" s="557"/>
      <c r="HYR59" s="557"/>
      <c r="HYS59" s="557"/>
      <c r="HYT59" s="557"/>
      <c r="HYU59" s="661"/>
      <c r="HYV59" s="556"/>
      <c r="HYW59" s="557"/>
      <c r="HYX59" s="557"/>
      <c r="HYY59" s="557"/>
      <c r="HYZ59" s="557"/>
      <c r="HZA59" s="557"/>
      <c r="HZB59" s="557"/>
      <c r="HZC59" s="557"/>
      <c r="HZD59" s="557"/>
      <c r="HZE59" s="557"/>
      <c r="HZF59" s="557"/>
      <c r="HZG59" s="557"/>
      <c r="HZH59" s="557"/>
      <c r="HZI59" s="557"/>
      <c r="HZJ59" s="557"/>
      <c r="HZK59" s="557"/>
      <c r="HZL59" s="557"/>
      <c r="HZM59" s="557"/>
      <c r="HZN59" s="557"/>
      <c r="HZO59" s="661"/>
      <c r="HZP59" s="556"/>
      <c r="HZQ59" s="557"/>
      <c r="HZR59" s="557"/>
      <c r="HZS59" s="557"/>
      <c r="HZT59" s="557"/>
      <c r="HZU59" s="557"/>
      <c r="HZV59" s="557"/>
      <c r="HZW59" s="557"/>
      <c r="HZX59" s="557"/>
      <c r="HZY59" s="557"/>
      <c r="HZZ59" s="557"/>
      <c r="IAA59" s="557"/>
      <c r="IAB59" s="557"/>
      <c r="IAC59" s="557"/>
      <c r="IAD59" s="557"/>
      <c r="IAE59" s="557"/>
      <c r="IAF59" s="557"/>
      <c r="IAG59" s="557"/>
      <c r="IAH59" s="557"/>
      <c r="IAI59" s="661"/>
      <c r="IAJ59" s="556"/>
      <c r="IAK59" s="557"/>
      <c r="IAL59" s="557"/>
      <c r="IAM59" s="557"/>
      <c r="IAN59" s="557"/>
      <c r="IAO59" s="557"/>
      <c r="IAP59" s="557"/>
      <c r="IAQ59" s="557"/>
      <c r="IAR59" s="557"/>
      <c r="IAS59" s="557"/>
      <c r="IAT59" s="557"/>
      <c r="IAU59" s="557"/>
      <c r="IAV59" s="557"/>
      <c r="IAW59" s="557"/>
      <c r="IAX59" s="557"/>
      <c r="IAY59" s="557"/>
      <c r="IAZ59" s="557"/>
      <c r="IBA59" s="557"/>
      <c r="IBB59" s="557"/>
      <c r="IBC59" s="661"/>
      <c r="IBD59" s="556"/>
      <c r="IBE59" s="557"/>
      <c r="IBF59" s="557"/>
      <c r="IBG59" s="557"/>
      <c r="IBH59" s="557"/>
      <c r="IBI59" s="557"/>
      <c r="IBJ59" s="557"/>
      <c r="IBK59" s="557"/>
      <c r="IBL59" s="557"/>
      <c r="IBM59" s="557"/>
      <c r="IBN59" s="557"/>
      <c r="IBO59" s="557"/>
      <c r="IBP59" s="557"/>
      <c r="IBQ59" s="557"/>
      <c r="IBR59" s="557"/>
      <c r="IBS59" s="557"/>
      <c r="IBT59" s="557"/>
      <c r="IBU59" s="557"/>
      <c r="IBV59" s="557"/>
      <c r="IBW59" s="661"/>
      <c r="IBX59" s="556"/>
      <c r="IBY59" s="557"/>
      <c r="IBZ59" s="557"/>
      <c r="ICA59" s="557"/>
      <c r="ICB59" s="557"/>
      <c r="ICC59" s="557"/>
      <c r="ICD59" s="557"/>
      <c r="ICE59" s="557"/>
      <c r="ICF59" s="557"/>
      <c r="ICG59" s="557"/>
      <c r="ICH59" s="557"/>
      <c r="ICI59" s="557"/>
      <c r="ICJ59" s="557"/>
      <c r="ICK59" s="557"/>
      <c r="ICL59" s="557"/>
      <c r="ICM59" s="557"/>
      <c r="ICN59" s="557"/>
      <c r="ICO59" s="557"/>
      <c r="ICP59" s="557"/>
      <c r="ICQ59" s="661"/>
      <c r="ICR59" s="556"/>
      <c r="ICS59" s="557"/>
      <c r="ICT59" s="557"/>
      <c r="ICU59" s="557"/>
      <c r="ICV59" s="557"/>
      <c r="ICW59" s="557"/>
      <c r="ICX59" s="557"/>
      <c r="ICY59" s="557"/>
      <c r="ICZ59" s="557"/>
      <c r="IDA59" s="557"/>
      <c r="IDB59" s="557"/>
      <c r="IDC59" s="557"/>
      <c r="IDD59" s="557"/>
      <c r="IDE59" s="557"/>
      <c r="IDF59" s="557"/>
      <c r="IDG59" s="557"/>
      <c r="IDH59" s="557"/>
      <c r="IDI59" s="557"/>
      <c r="IDJ59" s="557"/>
      <c r="IDK59" s="661"/>
      <c r="IDL59" s="556"/>
      <c r="IDM59" s="557"/>
      <c r="IDN59" s="557"/>
      <c r="IDO59" s="557"/>
      <c r="IDP59" s="557"/>
      <c r="IDQ59" s="557"/>
      <c r="IDR59" s="557"/>
      <c r="IDS59" s="557"/>
      <c r="IDT59" s="557"/>
      <c r="IDU59" s="557"/>
      <c r="IDV59" s="557"/>
      <c r="IDW59" s="557"/>
      <c r="IDX59" s="557"/>
      <c r="IDY59" s="557"/>
      <c r="IDZ59" s="557"/>
      <c r="IEA59" s="557"/>
      <c r="IEB59" s="557"/>
      <c r="IEC59" s="557"/>
      <c r="IED59" s="557"/>
      <c r="IEE59" s="661"/>
      <c r="IEF59" s="556"/>
      <c r="IEG59" s="557"/>
      <c r="IEH59" s="557"/>
      <c r="IEI59" s="557"/>
      <c r="IEJ59" s="557"/>
      <c r="IEK59" s="557"/>
      <c r="IEL59" s="557"/>
      <c r="IEM59" s="557"/>
      <c r="IEN59" s="557"/>
      <c r="IEO59" s="557"/>
      <c r="IEP59" s="557"/>
      <c r="IEQ59" s="557"/>
      <c r="IER59" s="557"/>
      <c r="IES59" s="557"/>
      <c r="IET59" s="557"/>
      <c r="IEU59" s="557"/>
      <c r="IEV59" s="557"/>
      <c r="IEW59" s="557"/>
      <c r="IEX59" s="557"/>
      <c r="IEY59" s="661"/>
      <c r="IEZ59" s="556"/>
      <c r="IFA59" s="557"/>
      <c r="IFB59" s="557"/>
      <c r="IFC59" s="557"/>
      <c r="IFD59" s="557"/>
      <c r="IFE59" s="557"/>
      <c r="IFF59" s="557"/>
      <c r="IFG59" s="557"/>
      <c r="IFH59" s="557"/>
      <c r="IFI59" s="557"/>
      <c r="IFJ59" s="557"/>
      <c r="IFK59" s="557"/>
      <c r="IFL59" s="557"/>
      <c r="IFM59" s="557"/>
      <c r="IFN59" s="557"/>
      <c r="IFO59" s="557"/>
      <c r="IFP59" s="557"/>
      <c r="IFQ59" s="557"/>
      <c r="IFR59" s="557"/>
      <c r="IFS59" s="661"/>
      <c r="IFT59" s="556"/>
      <c r="IFU59" s="557"/>
      <c r="IFV59" s="557"/>
      <c r="IFW59" s="557"/>
      <c r="IFX59" s="557"/>
      <c r="IFY59" s="557"/>
      <c r="IFZ59" s="557"/>
      <c r="IGA59" s="557"/>
      <c r="IGB59" s="557"/>
      <c r="IGC59" s="557"/>
      <c r="IGD59" s="557"/>
      <c r="IGE59" s="557"/>
      <c r="IGF59" s="557"/>
      <c r="IGG59" s="557"/>
      <c r="IGH59" s="557"/>
      <c r="IGI59" s="557"/>
      <c r="IGJ59" s="557"/>
      <c r="IGK59" s="557"/>
      <c r="IGL59" s="557"/>
      <c r="IGM59" s="661"/>
      <c r="IGN59" s="556"/>
      <c r="IGO59" s="557"/>
      <c r="IGP59" s="557"/>
      <c r="IGQ59" s="557"/>
      <c r="IGR59" s="557"/>
      <c r="IGS59" s="557"/>
      <c r="IGT59" s="557"/>
      <c r="IGU59" s="557"/>
      <c r="IGV59" s="557"/>
      <c r="IGW59" s="557"/>
      <c r="IGX59" s="557"/>
      <c r="IGY59" s="557"/>
      <c r="IGZ59" s="557"/>
      <c r="IHA59" s="557"/>
      <c r="IHB59" s="557"/>
      <c r="IHC59" s="557"/>
      <c r="IHD59" s="557"/>
      <c r="IHE59" s="557"/>
      <c r="IHF59" s="557"/>
      <c r="IHG59" s="661"/>
      <c r="IHH59" s="556"/>
      <c r="IHI59" s="557"/>
      <c r="IHJ59" s="557"/>
      <c r="IHK59" s="557"/>
      <c r="IHL59" s="557"/>
      <c r="IHM59" s="557"/>
      <c r="IHN59" s="557"/>
      <c r="IHO59" s="557"/>
      <c r="IHP59" s="557"/>
      <c r="IHQ59" s="557"/>
      <c r="IHR59" s="557"/>
      <c r="IHS59" s="557"/>
      <c r="IHT59" s="557"/>
      <c r="IHU59" s="557"/>
      <c r="IHV59" s="557"/>
      <c r="IHW59" s="557"/>
      <c r="IHX59" s="557"/>
      <c r="IHY59" s="557"/>
      <c r="IHZ59" s="557"/>
      <c r="IIA59" s="661"/>
      <c r="IIB59" s="556"/>
      <c r="IIC59" s="557"/>
      <c r="IID59" s="557"/>
      <c r="IIE59" s="557"/>
      <c r="IIF59" s="557"/>
      <c r="IIG59" s="557"/>
      <c r="IIH59" s="557"/>
      <c r="III59" s="557"/>
      <c r="IIJ59" s="557"/>
      <c r="IIK59" s="557"/>
      <c r="IIL59" s="557"/>
      <c r="IIM59" s="557"/>
      <c r="IIN59" s="557"/>
      <c r="IIO59" s="557"/>
      <c r="IIP59" s="557"/>
      <c r="IIQ59" s="557"/>
      <c r="IIR59" s="557"/>
      <c r="IIS59" s="557"/>
      <c r="IIT59" s="557"/>
      <c r="IIU59" s="661"/>
      <c r="IIV59" s="556"/>
      <c r="IIW59" s="557"/>
      <c r="IIX59" s="557"/>
      <c r="IIY59" s="557"/>
      <c r="IIZ59" s="557"/>
      <c r="IJA59" s="557"/>
      <c r="IJB59" s="557"/>
      <c r="IJC59" s="557"/>
      <c r="IJD59" s="557"/>
      <c r="IJE59" s="557"/>
      <c r="IJF59" s="557"/>
      <c r="IJG59" s="557"/>
      <c r="IJH59" s="557"/>
      <c r="IJI59" s="557"/>
      <c r="IJJ59" s="557"/>
      <c r="IJK59" s="557"/>
      <c r="IJL59" s="557"/>
      <c r="IJM59" s="557"/>
      <c r="IJN59" s="557"/>
      <c r="IJO59" s="661"/>
      <c r="IJP59" s="556"/>
      <c r="IJQ59" s="557"/>
      <c r="IJR59" s="557"/>
      <c r="IJS59" s="557"/>
      <c r="IJT59" s="557"/>
      <c r="IJU59" s="557"/>
      <c r="IJV59" s="557"/>
      <c r="IJW59" s="557"/>
      <c r="IJX59" s="557"/>
      <c r="IJY59" s="557"/>
      <c r="IJZ59" s="557"/>
      <c r="IKA59" s="557"/>
      <c r="IKB59" s="557"/>
      <c r="IKC59" s="557"/>
      <c r="IKD59" s="557"/>
      <c r="IKE59" s="557"/>
      <c r="IKF59" s="557"/>
      <c r="IKG59" s="557"/>
      <c r="IKH59" s="557"/>
      <c r="IKI59" s="661"/>
      <c r="IKJ59" s="556"/>
      <c r="IKK59" s="557"/>
      <c r="IKL59" s="557"/>
      <c r="IKM59" s="557"/>
      <c r="IKN59" s="557"/>
      <c r="IKO59" s="557"/>
      <c r="IKP59" s="557"/>
      <c r="IKQ59" s="557"/>
      <c r="IKR59" s="557"/>
      <c r="IKS59" s="557"/>
      <c r="IKT59" s="557"/>
      <c r="IKU59" s="557"/>
      <c r="IKV59" s="557"/>
      <c r="IKW59" s="557"/>
      <c r="IKX59" s="557"/>
      <c r="IKY59" s="557"/>
      <c r="IKZ59" s="557"/>
      <c r="ILA59" s="557"/>
      <c r="ILB59" s="557"/>
      <c r="ILC59" s="661"/>
      <c r="ILD59" s="556"/>
      <c r="ILE59" s="557"/>
      <c r="ILF59" s="557"/>
      <c r="ILG59" s="557"/>
      <c r="ILH59" s="557"/>
      <c r="ILI59" s="557"/>
      <c r="ILJ59" s="557"/>
      <c r="ILK59" s="557"/>
      <c r="ILL59" s="557"/>
      <c r="ILM59" s="557"/>
      <c r="ILN59" s="557"/>
      <c r="ILO59" s="557"/>
      <c r="ILP59" s="557"/>
      <c r="ILQ59" s="557"/>
      <c r="ILR59" s="557"/>
      <c r="ILS59" s="557"/>
      <c r="ILT59" s="557"/>
      <c r="ILU59" s="557"/>
      <c r="ILV59" s="557"/>
      <c r="ILW59" s="661"/>
      <c r="ILX59" s="556"/>
      <c r="ILY59" s="557"/>
      <c r="ILZ59" s="557"/>
      <c r="IMA59" s="557"/>
      <c r="IMB59" s="557"/>
      <c r="IMC59" s="557"/>
      <c r="IMD59" s="557"/>
      <c r="IME59" s="557"/>
      <c r="IMF59" s="557"/>
      <c r="IMG59" s="557"/>
      <c r="IMH59" s="557"/>
      <c r="IMI59" s="557"/>
      <c r="IMJ59" s="557"/>
      <c r="IMK59" s="557"/>
      <c r="IML59" s="557"/>
      <c r="IMM59" s="557"/>
      <c r="IMN59" s="557"/>
      <c r="IMO59" s="557"/>
      <c r="IMP59" s="557"/>
      <c r="IMQ59" s="661"/>
      <c r="IMR59" s="556"/>
      <c r="IMS59" s="557"/>
      <c r="IMT59" s="557"/>
      <c r="IMU59" s="557"/>
      <c r="IMV59" s="557"/>
      <c r="IMW59" s="557"/>
      <c r="IMX59" s="557"/>
      <c r="IMY59" s="557"/>
      <c r="IMZ59" s="557"/>
      <c r="INA59" s="557"/>
      <c r="INB59" s="557"/>
      <c r="INC59" s="557"/>
      <c r="IND59" s="557"/>
      <c r="INE59" s="557"/>
      <c r="INF59" s="557"/>
      <c r="ING59" s="557"/>
      <c r="INH59" s="557"/>
      <c r="INI59" s="557"/>
      <c r="INJ59" s="557"/>
      <c r="INK59" s="661"/>
      <c r="INL59" s="556"/>
      <c r="INM59" s="557"/>
      <c r="INN59" s="557"/>
      <c r="INO59" s="557"/>
      <c r="INP59" s="557"/>
      <c r="INQ59" s="557"/>
      <c r="INR59" s="557"/>
      <c r="INS59" s="557"/>
      <c r="INT59" s="557"/>
      <c r="INU59" s="557"/>
      <c r="INV59" s="557"/>
      <c r="INW59" s="557"/>
      <c r="INX59" s="557"/>
      <c r="INY59" s="557"/>
      <c r="INZ59" s="557"/>
      <c r="IOA59" s="557"/>
      <c r="IOB59" s="557"/>
      <c r="IOC59" s="557"/>
      <c r="IOD59" s="557"/>
      <c r="IOE59" s="661"/>
      <c r="IOF59" s="556"/>
      <c r="IOG59" s="557"/>
      <c r="IOH59" s="557"/>
      <c r="IOI59" s="557"/>
      <c r="IOJ59" s="557"/>
      <c r="IOK59" s="557"/>
      <c r="IOL59" s="557"/>
      <c r="IOM59" s="557"/>
      <c r="ION59" s="557"/>
      <c r="IOO59" s="557"/>
      <c r="IOP59" s="557"/>
      <c r="IOQ59" s="557"/>
      <c r="IOR59" s="557"/>
      <c r="IOS59" s="557"/>
      <c r="IOT59" s="557"/>
      <c r="IOU59" s="557"/>
      <c r="IOV59" s="557"/>
      <c r="IOW59" s="557"/>
      <c r="IOX59" s="557"/>
      <c r="IOY59" s="661"/>
      <c r="IOZ59" s="556"/>
      <c r="IPA59" s="557"/>
      <c r="IPB59" s="557"/>
      <c r="IPC59" s="557"/>
      <c r="IPD59" s="557"/>
      <c r="IPE59" s="557"/>
      <c r="IPF59" s="557"/>
      <c r="IPG59" s="557"/>
      <c r="IPH59" s="557"/>
      <c r="IPI59" s="557"/>
      <c r="IPJ59" s="557"/>
      <c r="IPK59" s="557"/>
      <c r="IPL59" s="557"/>
      <c r="IPM59" s="557"/>
      <c r="IPN59" s="557"/>
      <c r="IPO59" s="557"/>
      <c r="IPP59" s="557"/>
      <c r="IPQ59" s="557"/>
      <c r="IPR59" s="557"/>
      <c r="IPS59" s="661"/>
      <c r="IPT59" s="556"/>
      <c r="IPU59" s="557"/>
      <c r="IPV59" s="557"/>
      <c r="IPW59" s="557"/>
      <c r="IPX59" s="557"/>
      <c r="IPY59" s="557"/>
      <c r="IPZ59" s="557"/>
      <c r="IQA59" s="557"/>
      <c r="IQB59" s="557"/>
      <c r="IQC59" s="557"/>
      <c r="IQD59" s="557"/>
      <c r="IQE59" s="557"/>
      <c r="IQF59" s="557"/>
      <c r="IQG59" s="557"/>
      <c r="IQH59" s="557"/>
      <c r="IQI59" s="557"/>
      <c r="IQJ59" s="557"/>
      <c r="IQK59" s="557"/>
      <c r="IQL59" s="557"/>
      <c r="IQM59" s="661"/>
      <c r="IQN59" s="556"/>
      <c r="IQO59" s="557"/>
      <c r="IQP59" s="557"/>
      <c r="IQQ59" s="557"/>
      <c r="IQR59" s="557"/>
      <c r="IQS59" s="557"/>
      <c r="IQT59" s="557"/>
      <c r="IQU59" s="557"/>
      <c r="IQV59" s="557"/>
      <c r="IQW59" s="557"/>
      <c r="IQX59" s="557"/>
      <c r="IQY59" s="557"/>
      <c r="IQZ59" s="557"/>
      <c r="IRA59" s="557"/>
      <c r="IRB59" s="557"/>
      <c r="IRC59" s="557"/>
      <c r="IRD59" s="557"/>
      <c r="IRE59" s="557"/>
      <c r="IRF59" s="557"/>
      <c r="IRG59" s="661"/>
      <c r="IRH59" s="556"/>
      <c r="IRI59" s="557"/>
      <c r="IRJ59" s="557"/>
      <c r="IRK59" s="557"/>
      <c r="IRL59" s="557"/>
      <c r="IRM59" s="557"/>
      <c r="IRN59" s="557"/>
      <c r="IRO59" s="557"/>
      <c r="IRP59" s="557"/>
      <c r="IRQ59" s="557"/>
      <c r="IRR59" s="557"/>
      <c r="IRS59" s="557"/>
      <c r="IRT59" s="557"/>
      <c r="IRU59" s="557"/>
      <c r="IRV59" s="557"/>
      <c r="IRW59" s="557"/>
      <c r="IRX59" s="557"/>
      <c r="IRY59" s="557"/>
      <c r="IRZ59" s="557"/>
      <c r="ISA59" s="661"/>
      <c r="ISB59" s="556"/>
      <c r="ISC59" s="557"/>
      <c r="ISD59" s="557"/>
      <c r="ISE59" s="557"/>
      <c r="ISF59" s="557"/>
      <c r="ISG59" s="557"/>
      <c r="ISH59" s="557"/>
      <c r="ISI59" s="557"/>
      <c r="ISJ59" s="557"/>
      <c r="ISK59" s="557"/>
      <c r="ISL59" s="557"/>
      <c r="ISM59" s="557"/>
      <c r="ISN59" s="557"/>
      <c r="ISO59" s="557"/>
      <c r="ISP59" s="557"/>
      <c r="ISQ59" s="557"/>
      <c r="ISR59" s="557"/>
      <c r="ISS59" s="557"/>
      <c r="IST59" s="557"/>
      <c r="ISU59" s="661"/>
      <c r="ISV59" s="556"/>
      <c r="ISW59" s="557"/>
      <c r="ISX59" s="557"/>
      <c r="ISY59" s="557"/>
      <c r="ISZ59" s="557"/>
      <c r="ITA59" s="557"/>
      <c r="ITB59" s="557"/>
      <c r="ITC59" s="557"/>
      <c r="ITD59" s="557"/>
      <c r="ITE59" s="557"/>
      <c r="ITF59" s="557"/>
      <c r="ITG59" s="557"/>
      <c r="ITH59" s="557"/>
      <c r="ITI59" s="557"/>
      <c r="ITJ59" s="557"/>
      <c r="ITK59" s="557"/>
      <c r="ITL59" s="557"/>
      <c r="ITM59" s="557"/>
      <c r="ITN59" s="557"/>
      <c r="ITO59" s="661"/>
      <c r="ITP59" s="556"/>
      <c r="ITQ59" s="557"/>
      <c r="ITR59" s="557"/>
      <c r="ITS59" s="557"/>
      <c r="ITT59" s="557"/>
      <c r="ITU59" s="557"/>
      <c r="ITV59" s="557"/>
      <c r="ITW59" s="557"/>
      <c r="ITX59" s="557"/>
      <c r="ITY59" s="557"/>
      <c r="ITZ59" s="557"/>
      <c r="IUA59" s="557"/>
      <c r="IUB59" s="557"/>
      <c r="IUC59" s="557"/>
      <c r="IUD59" s="557"/>
      <c r="IUE59" s="557"/>
      <c r="IUF59" s="557"/>
      <c r="IUG59" s="557"/>
      <c r="IUH59" s="557"/>
      <c r="IUI59" s="661"/>
      <c r="IUJ59" s="556"/>
      <c r="IUK59" s="557"/>
      <c r="IUL59" s="557"/>
      <c r="IUM59" s="557"/>
      <c r="IUN59" s="557"/>
      <c r="IUO59" s="557"/>
      <c r="IUP59" s="557"/>
      <c r="IUQ59" s="557"/>
      <c r="IUR59" s="557"/>
      <c r="IUS59" s="557"/>
      <c r="IUT59" s="557"/>
      <c r="IUU59" s="557"/>
      <c r="IUV59" s="557"/>
      <c r="IUW59" s="557"/>
      <c r="IUX59" s="557"/>
      <c r="IUY59" s="557"/>
      <c r="IUZ59" s="557"/>
      <c r="IVA59" s="557"/>
      <c r="IVB59" s="557"/>
      <c r="IVC59" s="661"/>
      <c r="IVD59" s="556"/>
      <c r="IVE59" s="557"/>
      <c r="IVF59" s="557"/>
      <c r="IVG59" s="557"/>
      <c r="IVH59" s="557"/>
      <c r="IVI59" s="557"/>
      <c r="IVJ59" s="557"/>
      <c r="IVK59" s="557"/>
      <c r="IVL59" s="557"/>
      <c r="IVM59" s="557"/>
      <c r="IVN59" s="557"/>
      <c r="IVO59" s="557"/>
      <c r="IVP59" s="557"/>
      <c r="IVQ59" s="557"/>
      <c r="IVR59" s="557"/>
      <c r="IVS59" s="557"/>
      <c r="IVT59" s="557"/>
      <c r="IVU59" s="557"/>
      <c r="IVV59" s="557"/>
      <c r="IVW59" s="661"/>
      <c r="IVX59" s="556"/>
      <c r="IVY59" s="557"/>
      <c r="IVZ59" s="557"/>
      <c r="IWA59" s="557"/>
      <c r="IWB59" s="557"/>
      <c r="IWC59" s="557"/>
      <c r="IWD59" s="557"/>
      <c r="IWE59" s="557"/>
      <c r="IWF59" s="557"/>
      <c r="IWG59" s="557"/>
      <c r="IWH59" s="557"/>
      <c r="IWI59" s="557"/>
      <c r="IWJ59" s="557"/>
      <c r="IWK59" s="557"/>
      <c r="IWL59" s="557"/>
      <c r="IWM59" s="557"/>
      <c r="IWN59" s="557"/>
      <c r="IWO59" s="557"/>
      <c r="IWP59" s="557"/>
      <c r="IWQ59" s="661"/>
      <c r="IWR59" s="556"/>
      <c r="IWS59" s="557"/>
      <c r="IWT59" s="557"/>
      <c r="IWU59" s="557"/>
      <c r="IWV59" s="557"/>
      <c r="IWW59" s="557"/>
      <c r="IWX59" s="557"/>
      <c r="IWY59" s="557"/>
      <c r="IWZ59" s="557"/>
      <c r="IXA59" s="557"/>
      <c r="IXB59" s="557"/>
      <c r="IXC59" s="557"/>
      <c r="IXD59" s="557"/>
      <c r="IXE59" s="557"/>
      <c r="IXF59" s="557"/>
      <c r="IXG59" s="557"/>
      <c r="IXH59" s="557"/>
      <c r="IXI59" s="557"/>
      <c r="IXJ59" s="557"/>
      <c r="IXK59" s="661"/>
      <c r="IXL59" s="556"/>
      <c r="IXM59" s="557"/>
      <c r="IXN59" s="557"/>
      <c r="IXO59" s="557"/>
      <c r="IXP59" s="557"/>
      <c r="IXQ59" s="557"/>
      <c r="IXR59" s="557"/>
      <c r="IXS59" s="557"/>
      <c r="IXT59" s="557"/>
      <c r="IXU59" s="557"/>
      <c r="IXV59" s="557"/>
      <c r="IXW59" s="557"/>
      <c r="IXX59" s="557"/>
      <c r="IXY59" s="557"/>
      <c r="IXZ59" s="557"/>
      <c r="IYA59" s="557"/>
      <c r="IYB59" s="557"/>
      <c r="IYC59" s="557"/>
      <c r="IYD59" s="557"/>
      <c r="IYE59" s="661"/>
      <c r="IYF59" s="556"/>
      <c r="IYG59" s="557"/>
      <c r="IYH59" s="557"/>
      <c r="IYI59" s="557"/>
      <c r="IYJ59" s="557"/>
      <c r="IYK59" s="557"/>
      <c r="IYL59" s="557"/>
      <c r="IYM59" s="557"/>
      <c r="IYN59" s="557"/>
      <c r="IYO59" s="557"/>
      <c r="IYP59" s="557"/>
      <c r="IYQ59" s="557"/>
      <c r="IYR59" s="557"/>
      <c r="IYS59" s="557"/>
      <c r="IYT59" s="557"/>
      <c r="IYU59" s="557"/>
      <c r="IYV59" s="557"/>
      <c r="IYW59" s="557"/>
      <c r="IYX59" s="557"/>
      <c r="IYY59" s="661"/>
      <c r="IYZ59" s="556"/>
      <c r="IZA59" s="557"/>
      <c r="IZB59" s="557"/>
      <c r="IZC59" s="557"/>
      <c r="IZD59" s="557"/>
      <c r="IZE59" s="557"/>
      <c r="IZF59" s="557"/>
      <c r="IZG59" s="557"/>
      <c r="IZH59" s="557"/>
      <c r="IZI59" s="557"/>
      <c r="IZJ59" s="557"/>
      <c r="IZK59" s="557"/>
      <c r="IZL59" s="557"/>
      <c r="IZM59" s="557"/>
      <c r="IZN59" s="557"/>
      <c r="IZO59" s="557"/>
      <c r="IZP59" s="557"/>
      <c r="IZQ59" s="557"/>
      <c r="IZR59" s="557"/>
      <c r="IZS59" s="661"/>
      <c r="IZT59" s="556"/>
      <c r="IZU59" s="557"/>
      <c r="IZV59" s="557"/>
      <c r="IZW59" s="557"/>
      <c r="IZX59" s="557"/>
      <c r="IZY59" s="557"/>
      <c r="IZZ59" s="557"/>
      <c r="JAA59" s="557"/>
      <c r="JAB59" s="557"/>
      <c r="JAC59" s="557"/>
      <c r="JAD59" s="557"/>
      <c r="JAE59" s="557"/>
      <c r="JAF59" s="557"/>
      <c r="JAG59" s="557"/>
      <c r="JAH59" s="557"/>
      <c r="JAI59" s="557"/>
      <c r="JAJ59" s="557"/>
      <c r="JAK59" s="557"/>
      <c r="JAL59" s="557"/>
      <c r="JAM59" s="661"/>
      <c r="JAN59" s="556"/>
      <c r="JAO59" s="557"/>
      <c r="JAP59" s="557"/>
      <c r="JAQ59" s="557"/>
      <c r="JAR59" s="557"/>
      <c r="JAS59" s="557"/>
      <c r="JAT59" s="557"/>
      <c r="JAU59" s="557"/>
      <c r="JAV59" s="557"/>
      <c r="JAW59" s="557"/>
      <c r="JAX59" s="557"/>
      <c r="JAY59" s="557"/>
      <c r="JAZ59" s="557"/>
      <c r="JBA59" s="557"/>
      <c r="JBB59" s="557"/>
      <c r="JBC59" s="557"/>
      <c r="JBD59" s="557"/>
      <c r="JBE59" s="557"/>
      <c r="JBF59" s="557"/>
      <c r="JBG59" s="661"/>
      <c r="JBH59" s="556"/>
      <c r="JBI59" s="557"/>
      <c r="JBJ59" s="557"/>
      <c r="JBK59" s="557"/>
      <c r="JBL59" s="557"/>
      <c r="JBM59" s="557"/>
      <c r="JBN59" s="557"/>
      <c r="JBO59" s="557"/>
      <c r="JBP59" s="557"/>
      <c r="JBQ59" s="557"/>
      <c r="JBR59" s="557"/>
      <c r="JBS59" s="557"/>
      <c r="JBT59" s="557"/>
      <c r="JBU59" s="557"/>
      <c r="JBV59" s="557"/>
      <c r="JBW59" s="557"/>
      <c r="JBX59" s="557"/>
      <c r="JBY59" s="557"/>
      <c r="JBZ59" s="557"/>
      <c r="JCA59" s="661"/>
      <c r="JCB59" s="556"/>
      <c r="JCC59" s="557"/>
      <c r="JCD59" s="557"/>
      <c r="JCE59" s="557"/>
      <c r="JCF59" s="557"/>
      <c r="JCG59" s="557"/>
      <c r="JCH59" s="557"/>
      <c r="JCI59" s="557"/>
      <c r="JCJ59" s="557"/>
      <c r="JCK59" s="557"/>
      <c r="JCL59" s="557"/>
      <c r="JCM59" s="557"/>
      <c r="JCN59" s="557"/>
      <c r="JCO59" s="557"/>
      <c r="JCP59" s="557"/>
      <c r="JCQ59" s="557"/>
      <c r="JCR59" s="557"/>
      <c r="JCS59" s="557"/>
      <c r="JCT59" s="557"/>
      <c r="JCU59" s="661"/>
      <c r="JCV59" s="556"/>
      <c r="JCW59" s="557"/>
      <c r="JCX59" s="557"/>
      <c r="JCY59" s="557"/>
      <c r="JCZ59" s="557"/>
      <c r="JDA59" s="557"/>
      <c r="JDB59" s="557"/>
      <c r="JDC59" s="557"/>
      <c r="JDD59" s="557"/>
      <c r="JDE59" s="557"/>
      <c r="JDF59" s="557"/>
      <c r="JDG59" s="557"/>
      <c r="JDH59" s="557"/>
      <c r="JDI59" s="557"/>
      <c r="JDJ59" s="557"/>
      <c r="JDK59" s="557"/>
      <c r="JDL59" s="557"/>
      <c r="JDM59" s="557"/>
      <c r="JDN59" s="557"/>
      <c r="JDO59" s="661"/>
      <c r="JDP59" s="556"/>
      <c r="JDQ59" s="557"/>
      <c r="JDR59" s="557"/>
      <c r="JDS59" s="557"/>
      <c r="JDT59" s="557"/>
      <c r="JDU59" s="557"/>
      <c r="JDV59" s="557"/>
      <c r="JDW59" s="557"/>
      <c r="JDX59" s="557"/>
      <c r="JDY59" s="557"/>
      <c r="JDZ59" s="557"/>
      <c r="JEA59" s="557"/>
      <c r="JEB59" s="557"/>
      <c r="JEC59" s="557"/>
      <c r="JED59" s="557"/>
      <c r="JEE59" s="557"/>
      <c r="JEF59" s="557"/>
      <c r="JEG59" s="557"/>
      <c r="JEH59" s="557"/>
      <c r="JEI59" s="661"/>
      <c r="JEJ59" s="556"/>
      <c r="JEK59" s="557"/>
      <c r="JEL59" s="557"/>
      <c r="JEM59" s="557"/>
      <c r="JEN59" s="557"/>
      <c r="JEO59" s="557"/>
      <c r="JEP59" s="557"/>
      <c r="JEQ59" s="557"/>
      <c r="JER59" s="557"/>
      <c r="JES59" s="557"/>
      <c r="JET59" s="557"/>
      <c r="JEU59" s="557"/>
      <c r="JEV59" s="557"/>
      <c r="JEW59" s="557"/>
      <c r="JEX59" s="557"/>
      <c r="JEY59" s="557"/>
      <c r="JEZ59" s="557"/>
      <c r="JFA59" s="557"/>
      <c r="JFB59" s="557"/>
      <c r="JFC59" s="661"/>
      <c r="JFD59" s="556"/>
      <c r="JFE59" s="557"/>
      <c r="JFF59" s="557"/>
      <c r="JFG59" s="557"/>
      <c r="JFH59" s="557"/>
      <c r="JFI59" s="557"/>
      <c r="JFJ59" s="557"/>
      <c r="JFK59" s="557"/>
      <c r="JFL59" s="557"/>
      <c r="JFM59" s="557"/>
      <c r="JFN59" s="557"/>
      <c r="JFO59" s="557"/>
      <c r="JFP59" s="557"/>
      <c r="JFQ59" s="557"/>
      <c r="JFR59" s="557"/>
      <c r="JFS59" s="557"/>
      <c r="JFT59" s="557"/>
      <c r="JFU59" s="557"/>
      <c r="JFV59" s="557"/>
      <c r="JFW59" s="661"/>
      <c r="JFX59" s="556"/>
      <c r="JFY59" s="557"/>
      <c r="JFZ59" s="557"/>
      <c r="JGA59" s="557"/>
      <c r="JGB59" s="557"/>
      <c r="JGC59" s="557"/>
      <c r="JGD59" s="557"/>
      <c r="JGE59" s="557"/>
      <c r="JGF59" s="557"/>
      <c r="JGG59" s="557"/>
      <c r="JGH59" s="557"/>
      <c r="JGI59" s="557"/>
      <c r="JGJ59" s="557"/>
      <c r="JGK59" s="557"/>
      <c r="JGL59" s="557"/>
      <c r="JGM59" s="557"/>
      <c r="JGN59" s="557"/>
      <c r="JGO59" s="557"/>
      <c r="JGP59" s="557"/>
      <c r="JGQ59" s="661"/>
      <c r="JGR59" s="556"/>
      <c r="JGS59" s="557"/>
      <c r="JGT59" s="557"/>
      <c r="JGU59" s="557"/>
      <c r="JGV59" s="557"/>
      <c r="JGW59" s="557"/>
      <c r="JGX59" s="557"/>
      <c r="JGY59" s="557"/>
      <c r="JGZ59" s="557"/>
      <c r="JHA59" s="557"/>
      <c r="JHB59" s="557"/>
      <c r="JHC59" s="557"/>
      <c r="JHD59" s="557"/>
      <c r="JHE59" s="557"/>
      <c r="JHF59" s="557"/>
      <c r="JHG59" s="557"/>
      <c r="JHH59" s="557"/>
      <c r="JHI59" s="557"/>
      <c r="JHJ59" s="557"/>
      <c r="JHK59" s="661"/>
      <c r="JHL59" s="556"/>
      <c r="JHM59" s="557"/>
      <c r="JHN59" s="557"/>
      <c r="JHO59" s="557"/>
      <c r="JHP59" s="557"/>
      <c r="JHQ59" s="557"/>
      <c r="JHR59" s="557"/>
      <c r="JHS59" s="557"/>
      <c r="JHT59" s="557"/>
      <c r="JHU59" s="557"/>
      <c r="JHV59" s="557"/>
      <c r="JHW59" s="557"/>
      <c r="JHX59" s="557"/>
      <c r="JHY59" s="557"/>
      <c r="JHZ59" s="557"/>
      <c r="JIA59" s="557"/>
      <c r="JIB59" s="557"/>
      <c r="JIC59" s="557"/>
      <c r="JID59" s="557"/>
      <c r="JIE59" s="661"/>
      <c r="JIF59" s="556"/>
      <c r="JIG59" s="557"/>
      <c r="JIH59" s="557"/>
      <c r="JII59" s="557"/>
      <c r="JIJ59" s="557"/>
      <c r="JIK59" s="557"/>
      <c r="JIL59" s="557"/>
      <c r="JIM59" s="557"/>
      <c r="JIN59" s="557"/>
      <c r="JIO59" s="557"/>
      <c r="JIP59" s="557"/>
      <c r="JIQ59" s="557"/>
      <c r="JIR59" s="557"/>
      <c r="JIS59" s="557"/>
      <c r="JIT59" s="557"/>
      <c r="JIU59" s="557"/>
      <c r="JIV59" s="557"/>
      <c r="JIW59" s="557"/>
      <c r="JIX59" s="557"/>
      <c r="JIY59" s="661"/>
      <c r="JIZ59" s="556"/>
      <c r="JJA59" s="557"/>
      <c r="JJB59" s="557"/>
      <c r="JJC59" s="557"/>
      <c r="JJD59" s="557"/>
      <c r="JJE59" s="557"/>
      <c r="JJF59" s="557"/>
      <c r="JJG59" s="557"/>
      <c r="JJH59" s="557"/>
      <c r="JJI59" s="557"/>
      <c r="JJJ59" s="557"/>
      <c r="JJK59" s="557"/>
      <c r="JJL59" s="557"/>
      <c r="JJM59" s="557"/>
      <c r="JJN59" s="557"/>
      <c r="JJO59" s="557"/>
      <c r="JJP59" s="557"/>
      <c r="JJQ59" s="557"/>
      <c r="JJR59" s="557"/>
      <c r="JJS59" s="661"/>
      <c r="JJT59" s="556"/>
      <c r="JJU59" s="557"/>
      <c r="JJV59" s="557"/>
      <c r="JJW59" s="557"/>
      <c r="JJX59" s="557"/>
      <c r="JJY59" s="557"/>
      <c r="JJZ59" s="557"/>
      <c r="JKA59" s="557"/>
      <c r="JKB59" s="557"/>
      <c r="JKC59" s="557"/>
      <c r="JKD59" s="557"/>
      <c r="JKE59" s="557"/>
      <c r="JKF59" s="557"/>
      <c r="JKG59" s="557"/>
      <c r="JKH59" s="557"/>
      <c r="JKI59" s="557"/>
      <c r="JKJ59" s="557"/>
      <c r="JKK59" s="557"/>
      <c r="JKL59" s="557"/>
      <c r="JKM59" s="661"/>
      <c r="JKN59" s="556"/>
      <c r="JKO59" s="557"/>
      <c r="JKP59" s="557"/>
      <c r="JKQ59" s="557"/>
      <c r="JKR59" s="557"/>
      <c r="JKS59" s="557"/>
      <c r="JKT59" s="557"/>
      <c r="JKU59" s="557"/>
      <c r="JKV59" s="557"/>
      <c r="JKW59" s="557"/>
      <c r="JKX59" s="557"/>
      <c r="JKY59" s="557"/>
      <c r="JKZ59" s="557"/>
      <c r="JLA59" s="557"/>
      <c r="JLB59" s="557"/>
      <c r="JLC59" s="557"/>
      <c r="JLD59" s="557"/>
      <c r="JLE59" s="557"/>
      <c r="JLF59" s="557"/>
      <c r="JLG59" s="661"/>
      <c r="JLH59" s="556"/>
      <c r="JLI59" s="557"/>
      <c r="JLJ59" s="557"/>
      <c r="JLK59" s="557"/>
      <c r="JLL59" s="557"/>
      <c r="JLM59" s="557"/>
      <c r="JLN59" s="557"/>
      <c r="JLO59" s="557"/>
      <c r="JLP59" s="557"/>
      <c r="JLQ59" s="557"/>
      <c r="JLR59" s="557"/>
      <c r="JLS59" s="557"/>
      <c r="JLT59" s="557"/>
      <c r="JLU59" s="557"/>
      <c r="JLV59" s="557"/>
      <c r="JLW59" s="557"/>
      <c r="JLX59" s="557"/>
      <c r="JLY59" s="557"/>
      <c r="JLZ59" s="557"/>
      <c r="JMA59" s="661"/>
      <c r="JMB59" s="556"/>
      <c r="JMC59" s="557"/>
      <c r="JMD59" s="557"/>
      <c r="JME59" s="557"/>
      <c r="JMF59" s="557"/>
      <c r="JMG59" s="557"/>
      <c r="JMH59" s="557"/>
      <c r="JMI59" s="557"/>
      <c r="JMJ59" s="557"/>
      <c r="JMK59" s="557"/>
      <c r="JML59" s="557"/>
      <c r="JMM59" s="557"/>
      <c r="JMN59" s="557"/>
      <c r="JMO59" s="557"/>
      <c r="JMP59" s="557"/>
      <c r="JMQ59" s="557"/>
      <c r="JMR59" s="557"/>
      <c r="JMS59" s="557"/>
      <c r="JMT59" s="557"/>
      <c r="JMU59" s="661"/>
      <c r="JMV59" s="556"/>
      <c r="JMW59" s="557"/>
      <c r="JMX59" s="557"/>
      <c r="JMY59" s="557"/>
      <c r="JMZ59" s="557"/>
      <c r="JNA59" s="557"/>
      <c r="JNB59" s="557"/>
      <c r="JNC59" s="557"/>
      <c r="JND59" s="557"/>
      <c r="JNE59" s="557"/>
      <c r="JNF59" s="557"/>
      <c r="JNG59" s="557"/>
      <c r="JNH59" s="557"/>
      <c r="JNI59" s="557"/>
      <c r="JNJ59" s="557"/>
      <c r="JNK59" s="557"/>
      <c r="JNL59" s="557"/>
      <c r="JNM59" s="557"/>
      <c r="JNN59" s="557"/>
      <c r="JNO59" s="661"/>
      <c r="JNP59" s="556"/>
      <c r="JNQ59" s="557"/>
      <c r="JNR59" s="557"/>
      <c r="JNS59" s="557"/>
      <c r="JNT59" s="557"/>
      <c r="JNU59" s="557"/>
      <c r="JNV59" s="557"/>
      <c r="JNW59" s="557"/>
      <c r="JNX59" s="557"/>
      <c r="JNY59" s="557"/>
      <c r="JNZ59" s="557"/>
      <c r="JOA59" s="557"/>
      <c r="JOB59" s="557"/>
      <c r="JOC59" s="557"/>
      <c r="JOD59" s="557"/>
      <c r="JOE59" s="557"/>
      <c r="JOF59" s="557"/>
      <c r="JOG59" s="557"/>
      <c r="JOH59" s="557"/>
      <c r="JOI59" s="661"/>
      <c r="JOJ59" s="556"/>
      <c r="JOK59" s="557"/>
      <c r="JOL59" s="557"/>
      <c r="JOM59" s="557"/>
      <c r="JON59" s="557"/>
      <c r="JOO59" s="557"/>
      <c r="JOP59" s="557"/>
      <c r="JOQ59" s="557"/>
      <c r="JOR59" s="557"/>
      <c r="JOS59" s="557"/>
      <c r="JOT59" s="557"/>
      <c r="JOU59" s="557"/>
      <c r="JOV59" s="557"/>
      <c r="JOW59" s="557"/>
      <c r="JOX59" s="557"/>
      <c r="JOY59" s="557"/>
      <c r="JOZ59" s="557"/>
      <c r="JPA59" s="557"/>
      <c r="JPB59" s="557"/>
      <c r="JPC59" s="661"/>
      <c r="JPD59" s="556"/>
      <c r="JPE59" s="557"/>
      <c r="JPF59" s="557"/>
      <c r="JPG59" s="557"/>
      <c r="JPH59" s="557"/>
      <c r="JPI59" s="557"/>
      <c r="JPJ59" s="557"/>
      <c r="JPK59" s="557"/>
      <c r="JPL59" s="557"/>
      <c r="JPM59" s="557"/>
      <c r="JPN59" s="557"/>
      <c r="JPO59" s="557"/>
      <c r="JPP59" s="557"/>
      <c r="JPQ59" s="557"/>
      <c r="JPR59" s="557"/>
      <c r="JPS59" s="557"/>
      <c r="JPT59" s="557"/>
      <c r="JPU59" s="557"/>
      <c r="JPV59" s="557"/>
      <c r="JPW59" s="661"/>
      <c r="JPX59" s="556"/>
      <c r="JPY59" s="557"/>
      <c r="JPZ59" s="557"/>
      <c r="JQA59" s="557"/>
      <c r="JQB59" s="557"/>
      <c r="JQC59" s="557"/>
      <c r="JQD59" s="557"/>
      <c r="JQE59" s="557"/>
      <c r="JQF59" s="557"/>
      <c r="JQG59" s="557"/>
      <c r="JQH59" s="557"/>
      <c r="JQI59" s="557"/>
      <c r="JQJ59" s="557"/>
      <c r="JQK59" s="557"/>
      <c r="JQL59" s="557"/>
      <c r="JQM59" s="557"/>
      <c r="JQN59" s="557"/>
      <c r="JQO59" s="557"/>
      <c r="JQP59" s="557"/>
      <c r="JQQ59" s="661"/>
      <c r="JQR59" s="556"/>
      <c r="JQS59" s="557"/>
      <c r="JQT59" s="557"/>
      <c r="JQU59" s="557"/>
      <c r="JQV59" s="557"/>
      <c r="JQW59" s="557"/>
      <c r="JQX59" s="557"/>
      <c r="JQY59" s="557"/>
      <c r="JQZ59" s="557"/>
      <c r="JRA59" s="557"/>
      <c r="JRB59" s="557"/>
      <c r="JRC59" s="557"/>
      <c r="JRD59" s="557"/>
      <c r="JRE59" s="557"/>
      <c r="JRF59" s="557"/>
      <c r="JRG59" s="557"/>
      <c r="JRH59" s="557"/>
      <c r="JRI59" s="557"/>
      <c r="JRJ59" s="557"/>
      <c r="JRK59" s="661"/>
      <c r="JRL59" s="556"/>
      <c r="JRM59" s="557"/>
      <c r="JRN59" s="557"/>
      <c r="JRO59" s="557"/>
      <c r="JRP59" s="557"/>
      <c r="JRQ59" s="557"/>
      <c r="JRR59" s="557"/>
      <c r="JRS59" s="557"/>
      <c r="JRT59" s="557"/>
      <c r="JRU59" s="557"/>
      <c r="JRV59" s="557"/>
      <c r="JRW59" s="557"/>
      <c r="JRX59" s="557"/>
      <c r="JRY59" s="557"/>
      <c r="JRZ59" s="557"/>
      <c r="JSA59" s="557"/>
      <c r="JSB59" s="557"/>
      <c r="JSC59" s="557"/>
      <c r="JSD59" s="557"/>
      <c r="JSE59" s="661"/>
      <c r="JSF59" s="556"/>
      <c r="JSG59" s="557"/>
      <c r="JSH59" s="557"/>
      <c r="JSI59" s="557"/>
      <c r="JSJ59" s="557"/>
      <c r="JSK59" s="557"/>
      <c r="JSL59" s="557"/>
      <c r="JSM59" s="557"/>
      <c r="JSN59" s="557"/>
      <c r="JSO59" s="557"/>
      <c r="JSP59" s="557"/>
      <c r="JSQ59" s="557"/>
      <c r="JSR59" s="557"/>
      <c r="JSS59" s="557"/>
      <c r="JST59" s="557"/>
      <c r="JSU59" s="557"/>
      <c r="JSV59" s="557"/>
      <c r="JSW59" s="557"/>
      <c r="JSX59" s="557"/>
      <c r="JSY59" s="661"/>
      <c r="JSZ59" s="556"/>
      <c r="JTA59" s="557"/>
      <c r="JTB59" s="557"/>
      <c r="JTC59" s="557"/>
      <c r="JTD59" s="557"/>
      <c r="JTE59" s="557"/>
      <c r="JTF59" s="557"/>
      <c r="JTG59" s="557"/>
      <c r="JTH59" s="557"/>
      <c r="JTI59" s="557"/>
      <c r="JTJ59" s="557"/>
      <c r="JTK59" s="557"/>
      <c r="JTL59" s="557"/>
      <c r="JTM59" s="557"/>
      <c r="JTN59" s="557"/>
      <c r="JTO59" s="557"/>
      <c r="JTP59" s="557"/>
      <c r="JTQ59" s="557"/>
      <c r="JTR59" s="557"/>
      <c r="JTS59" s="661"/>
      <c r="JTT59" s="556"/>
      <c r="JTU59" s="557"/>
      <c r="JTV59" s="557"/>
      <c r="JTW59" s="557"/>
      <c r="JTX59" s="557"/>
      <c r="JTY59" s="557"/>
      <c r="JTZ59" s="557"/>
      <c r="JUA59" s="557"/>
      <c r="JUB59" s="557"/>
      <c r="JUC59" s="557"/>
      <c r="JUD59" s="557"/>
      <c r="JUE59" s="557"/>
      <c r="JUF59" s="557"/>
      <c r="JUG59" s="557"/>
      <c r="JUH59" s="557"/>
      <c r="JUI59" s="557"/>
      <c r="JUJ59" s="557"/>
      <c r="JUK59" s="557"/>
      <c r="JUL59" s="557"/>
      <c r="JUM59" s="661"/>
      <c r="JUN59" s="556"/>
      <c r="JUO59" s="557"/>
      <c r="JUP59" s="557"/>
      <c r="JUQ59" s="557"/>
      <c r="JUR59" s="557"/>
      <c r="JUS59" s="557"/>
      <c r="JUT59" s="557"/>
      <c r="JUU59" s="557"/>
      <c r="JUV59" s="557"/>
      <c r="JUW59" s="557"/>
      <c r="JUX59" s="557"/>
      <c r="JUY59" s="557"/>
      <c r="JUZ59" s="557"/>
      <c r="JVA59" s="557"/>
      <c r="JVB59" s="557"/>
      <c r="JVC59" s="557"/>
      <c r="JVD59" s="557"/>
      <c r="JVE59" s="557"/>
      <c r="JVF59" s="557"/>
      <c r="JVG59" s="661"/>
      <c r="JVH59" s="556"/>
      <c r="JVI59" s="557"/>
      <c r="JVJ59" s="557"/>
      <c r="JVK59" s="557"/>
      <c r="JVL59" s="557"/>
      <c r="JVM59" s="557"/>
      <c r="JVN59" s="557"/>
      <c r="JVO59" s="557"/>
      <c r="JVP59" s="557"/>
      <c r="JVQ59" s="557"/>
      <c r="JVR59" s="557"/>
      <c r="JVS59" s="557"/>
      <c r="JVT59" s="557"/>
      <c r="JVU59" s="557"/>
      <c r="JVV59" s="557"/>
      <c r="JVW59" s="557"/>
      <c r="JVX59" s="557"/>
      <c r="JVY59" s="557"/>
      <c r="JVZ59" s="557"/>
      <c r="JWA59" s="661"/>
      <c r="JWB59" s="556"/>
      <c r="JWC59" s="557"/>
      <c r="JWD59" s="557"/>
      <c r="JWE59" s="557"/>
      <c r="JWF59" s="557"/>
      <c r="JWG59" s="557"/>
      <c r="JWH59" s="557"/>
      <c r="JWI59" s="557"/>
      <c r="JWJ59" s="557"/>
      <c r="JWK59" s="557"/>
      <c r="JWL59" s="557"/>
      <c r="JWM59" s="557"/>
      <c r="JWN59" s="557"/>
      <c r="JWO59" s="557"/>
      <c r="JWP59" s="557"/>
      <c r="JWQ59" s="557"/>
      <c r="JWR59" s="557"/>
      <c r="JWS59" s="557"/>
      <c r="JWT59" s="557"/>
      <c r="JWU59" s="661"/>
      <c r="JWV59" s="556"/>
      <c r="JWW59" s="557"/>
      <c r="JWX59" s="557"/>
      <c r="JWY59" s="557"/>
      <c r="JWZ59" s="557"/>
      <c r="JXA59" s="557"/>
      <c r="JXB59" s="557"/>
      <c r="JXC59" s="557"/>
      <c r="JXD59" s="557"/>
      <c r="JXE59" s="557"/>
      <c r="JXF59" s="557"/>
      <c r="JXG59" s="557"/>
      <c r="JXH59" s="557"/>
      <c r="JXI59" s="557"/>
      <c r="JXJ59" s="557"/>
      <c r="JXK59" s="557"/>
      <c r="JXL59" s="557"/>
      <c r="JXM59" s="557"/>
      <c r="JXN59" s="557"/>
      <c r="JXO59" s="661"/>
      <c r="JXP59" s="556"/>
      <c r="JXQ59" s="557"/>
      <c r="JXR59" s="557"/>
      <c r="JXS59" s="557"/>
      <c r="JXT59" s="557"/>
      <c r="JXU59" s="557"/>
      <c r="JXV59" s="557"/>
      <c r="JXW59" s="557"/>
      <c r="JXX59" s="557"/>
      <c r="JXY59" s="557"/>
      <c r="JXZ59" s="557"/>
      <c r="JYA59" s="557"/>
      <c r="JYB59" s="557"/>
      <c r="JYC59" s="557"/>
      <c r="JYD59" s="557"/>
      <c r="JYE59" s="557"/>
      <c r="JYF59" s="557"/>
      <c r="JYG59" s="557"/>
      <c r="JYH59" s="557"/>
      <c r="JYI59" s="661"/>
      <c r="JYJ59" s="556"/>
      <c r="JYK59" s="557"/>
      <c r="JYL59" s="557"/>
      <c r="JYM59" s="557"/>
      <c r="JYN59" s="557"/>
      <c r="JYO59" s="557"/>
      <c r="JYP59" s="557"/>
      <c r="JYQ59" s="557"/>
      <c r="JYR59" s="557"/>
      <c r="JYS59" s="557"/>
      <c r="JYT59" s="557"/>
      <c r="JYU59" s="557"/>
      <c r="JYV59" s="557"/>
      <c r="JYW59" s="557"/>
      <c r="JYX59" s="557"/>
      <c r="JYY59" s="557"/>
      <c r="JYZ59" s="557"/>
      <c r="JZA59" s="557"/>
      <c r="JZB59" s="557"/>
      <c r="JZC59" s="661"/>
      <c r="JZD59" s="556"/>
      <c r="JZE59" s="557"/>
      <c r="JZF59" s="557"/>
      <c r="JZG59" s="557"/>
      <c r="JZH59" s="557"/>
      <c r="JZI59" s="557"/>
      <c r="JZJ59" s="557"/>
      <c r="JZK59" s="557"/>
      <c r="JZL59" s="557"/>
      <c r="JZM59" s="557"/>
      <c r="JZN59" s="557"/>
      <c r="JZO59" s="557"/>
      <c r="JZP59" s="557"/>
      <c r="JZQ59" s="557"/>
      <c r="JZR59" s="557"/>
      <c r="JZS59" s="557"/>
      <c r="JZT59" s="557"/>
      <c r="JZU59" s="557"/>
      <c r="JZV59" s="557"/>
      <c r="JZW59" s="661"/>
      <c r="JZX59" s="556"/>
      <c r="JZY59" s="557"/>
      <c r="JZZ59" s="557"/>
      <c r="KAA59" s="557"/>
      <c r="KAB59" s="557"/>
      <c r="KAC59" s="557"/>
      <c r="KAD59" s="557"/>
      <c r="KAE59" s="557"/>
      <c r="KAF59" s="557"/>
      <c r="KAG59" s="557"/>
      <c r="KAH59" s="557"/>
      <c r="KAI59" s="557"/>
      <c r="KAJ59" s="557"/>
      <c r="KAK59" s="557"/>
      <c r="KAL59" s="557"/>
      <c r="KAM59" s="557"/>
      <c r="KAN59" s="557"/>
      <c r="KAO59" s="557"/>
      <c r="KAP59" s="557"/>
      <c r="KAQ59" s="661"/>
      <c r="KAR59" s="556"/>
      <c r="KAS59" s="557"/>
      <c r="KAT59" s="557"/>
      <c r="KAU59" s="557"/>
      <c r="KAV59" s="557"/>
      <c r="KAW59" s="557"/>
      <c r="KAX59" s="557"/>
      <c r="KAY59" s="557"/>
      <c r="KAZ59" s="557"/>
      <c r="KBA59" s="557"/>
      <c r="KBB59" s="557"/>
      <c r="KBC59" s="557"/>
      <c r="KBD59" s="557"/>
      <c r="KBE59" s="557"/>
      <c r="KBF59" s="557"/>
      <c r="KBG59" s="557"/>
      <c r="KBH59" s="557"/>
      <c r="KBI59" s="557"/>
      <c r="KBJ59" s="557"/>
      <c r="KBK59" s="661"/>
      <c r="KBL59" s="556"/>
      <c r="KBM59" s="557"/>
      <c r="KBN59" s="557"/>
      <c r="KBO59" s="557"/>
      <c r="KBP59" s="557"/>
      <c r="KBQ59" s="557"/>
      <c r="KBR59" s="557"/>
      <c r="KBS59" s="557"/>
      <c r="KBT59" s="557"/>
      <c r="KBU59" s="557"/>
      <c r="KBV59" s="557"/>
      <c r="KBW59" s="557"/>
      <c r="KBX59" s="557"/>
      <c r="KBY59" s="557"/>
      <c r="KBZ59" s="557"/>
      <c r="KCA59" s="557"/>
      <c r="KCB59" s="557"/>
      <c r="KCC59" s="557"/>
      <c r="KCD59" s="557"/>
      <c r="KCE59" s="661"/>
      <c r="KCF59" s="556"/>
      <c r="KCG59" s="557"/>
      <c r="KCH59" s="557"/>
      <c r="KCI59" s="557"/>
      <c r="KCJ59" s="557"/>
      <c r="KCK59" s="557"/>
      <c r="KCL59" s="557"/>
      <c r="KCM59" s="557"/>
      <c r="KCN59" s="557"/>
      <c r="KCO59" s="557"/>
      <c r="KCP59" s="557"/>
      <c r="KCQ59" s="557"/>
      <c r="KCR59" s="557"/>
      <c r="KCS59" s="557"/>
      <c r="KCT59" s="557"/>
      <c r="KCU59" s="557"/>
      <c r="KCV59" s="557"/>
      <c r="KCW59" s="557"/>
      <c r="KCX59" s="557"/>
      <c r="KCY59" s="661"/>
      <c r="KCZ59" s="556"/>
      <c r="KDA59" s="557"/>
      <c r="KDB59" s="557"/>
      <c r="KDC59" s="557"/>
      <c r="KDD59" s="557"/>
      <c r="KDE59" s="557"/>
      <c r="KDF59" s="557"/>
      <c r="KDG59" s="557"/>
      <c r="KDH59" s="557"/>
      <c r="KDI59" s="557"/>
      <c r="KDJ59" s="557"/>
      <c r="KDK59" s="557"/>
      <c r="KDL59" s="557"/>
      <c r="KDM59" s="557"/>
      <c r="KDN59" s="557"/>
      <c r="KDO59" s="557"/>
      <c r="KDP59" s="557"/>
      <c r="KDQ59" s="557"/>
      <c r="KDR59" s="557"/>
      <c r="KDS59" s="661"/>
      <c r="KDT59" s="556"/>
      <c r="KDU59" s="557"/>
      <c r="KDV59" s="557"/>
      <c r="KDW59" s="557"/>
      <c r="KDX59" s="557"/>
      <c r="KDY59" s="557"/>
      <c r="KDZ59" s="557"/>
      <c r="KEA59" s="557"/>
      <c r="KEB59" s="557"/>
      <c r="KEC59" s="557"/>
      <c r="KED59" s="557"/>
      <c r="KEE59" s="557"/>
      <c r="KEF59" s="557"/>
      <c r="KEG59" s="557"/>
      <c r="KEH59" s="557"/>
      <c r="KEI59" s="557"/>
      <c r="KEJ59" s="557"/>
      <c r="KEK59" s="557"/>
      <c r="KEL59" s="557"/>
      <c r="KEM59" s="661"/>
      <c r="KEN59" s="556"/>
      <c r="KEO59" s="557"/>
      <c r="KEP59" s="557"/>
      <c r="KEQ59" s="557"/>
      <c r="KER59" s="557"/>
      <c r="KES59" s="557"/>
      <c r="KET59" s="557"/>
      <c r="KEU59" s="557"/>
      <c r="KEV59" s="557"/>
      <c r="KEW59" s="557"/>
      <c r="KEX59" s="557"/>
      <c r="KEY59" s="557"/>
      <c r="KEZ59" s="557"/>
      <c r="KFA59" s="557"/>
      <c r="KFB59" s="557"/>
      <c r="KFC59" s="557"/>
      <c r="KFD59" s="557"/>
      <c r="KFE59" s="557"/>
      <c r="KFF59" s="557"/>
      <c r="KFG59" s="661"/>
      <c r="KFH59" s="556"/>
      <c r="KFI59" s="557"/>
      <c r="KFJ59" s="557"/>
      <c r="KFK59" s="557"/>
      <c r="KFL59" s="557"/>
      <c r="KFM59" s="557"/>
      <c r="KFN59" s="557"/>
      <c r="KFO59" s="557"/>
      <c r="KFP59" s="557"/>
      <c r="KFQ59" s="557"/>
      <c r="KFR59" s="557"/>
      <c r="KFS59" s="557"/>
      <c r="KFT59" s="557"/>
      <c r="KFU59" s="557"/>
      <c r="KFV59" s="557"/>
      <c r="KFW59" s="557"/>
      <c r="KFX59" s="557"/>
      <c r="KFY59" s="557"/>
      <c r="KFZ59" s="557"/>
      <c r="KGA59" s="661"/>
      <c r="KGB59" s="556"/>
      <c r="KGC59" s="557"/>
      <c r="KGD59" s="557"/>
      <c r="KGE59" s="557"/>
      <c r="KGF59" s="557"/>
      <c r="KGG59" s="557"/>
      <c r="KGH59" s="557"/>
      <c r="KGI59" s="557"/>
      <c r="KGJ59" s="557"/>
      <c r="KGK59" s="557"/>
      <c r="KGL59" s="557"/>
      <c r="KGM59" s="557"/>
      <c r="KGN59" s="557"/>
      <c r="KGO59" s="557"/>
      <c r="KGP59" s="557"/>
      <c r="KGQ59" s="557"/>
      <c r="KGR59" s="557"/>
      <c r="KGS59" s="557"/>
      <c r="KGT59" s="557"/>
      <c r="KGU59" s="661"/>
      <c r="KGV59" s="556"/>
      <c r="KGW59" s="557"/>
      <c r="KGX59" s="557"/>
      <c r="KGY59" s="557"/>
      <c r="KGZ59" s="557"/>
      <c r="KHA59" s="557"/>
      <c r="KHB59" s="557"/>
      <c r="KHC59" s="557"/>
      <c r="KHD59" s="557"/>
      <c r="KHE59" s="557"/>
      <c r="KHF59" s="557"/>
      <c r="KHG59" s="557"/>
      <c r="KHH59" s="557"/>
      <c r="KHI59" s="557"/>
      <c r="KHJ59" s="557"/>
      <c r="KHK59" s="557"/>
      <c r="KHL59" s="557"/>
      <c r="KHM59" s="557"/>
      <c r="KHN59" s="557"/>
      <c r="KHO59" s="661"/>
      <c r="KHP59" s="556"/>
      <c r="KHQ59" s="557"/>
      <c r="KHR59" s="557"/>
      <c r="KHS59" s="557"/>
      <c r="KHT59" s="557"/>
      <c r="KHU59" s="557"/>
      <c r="KHV59" s="557"/>
      <c r="KHW59" s="557"/>
      <c r="KHX59" s="557"/>
      <c r="KHY59" s="557"/>
      <c r="KHZ59" s="557"/>
      <c r="KIA59" s="557"/>
      <c r="KIB59" s="557"/>
      <c r="KIC59" s="557"/>
      <c r="KID59" s="557"/>
      <c r="KIE59" s="557"/>
      <c r="KIF59" s="557"/>
      <c r="KIG59" s="557"/>
      <c r="KIH59" s="557"/>
      <c r="KII59" s="661"/>
      <c r="KIJ59" s="556"/>
      <c r="KIK59" s="557"/>
      <c r="KIL59" s="557"/>
      <c r="KIM59" s="557"/>
      <c r="KIN59" s="557"/>
      <c r="KIO59" s="557"/>
      <c r="KIP59" s="557"/>
      <c r="KIQ59" s="557"/>
      <c r="KIR59" s="557"/>
      <c r="KIS59" s="557"/>
      <c r="KIT59" s="557"/>
      <c r="KIU59" s="557"/>
      <c r="KIV59" s="557"/>
      <c r="KIW59" s="557"/>
      <c r="KIX59" s="557"/>
      <c r="KIY59" s="557"/>
      <c r="KIZ59" s="557"/>
      <c r="KJA59" s="557"/>
      <c r="KJB59" s="557"/>
      <c r="KJC59" s="661"/>
      <c r="KJD59" s="556"/>
      <c r="KJE59" s="557"/>
      <c r="KJF59" s="557"/>
      <c r="KJG59" s="557"/>
      <c r="KJH59" s="557"/>
      <c r="KJI59" s="557"/>
      <c r="KJJ59" s="557"/>
      <c r="KJK59" s="557"/>
      <c r="KJL59" s="557"/>
      <c r="KJM59" s="557"/>
      <c r="KJN59" s="557"/>
      <c r="KJO59" s="557"/>
      <c r="KJP59" s="557"/>
      <c r="KJQ59" s="557"/>
      <c r="KJR59" s="557"/>
      <c r="KJS59" s="557"/>
      <c r="KJT59" s="557"/>
      <c r="KJU59" s="557"/>
      <c r="KJV59" s="557"/>
      <c r="KJW59" s="661"/>
      <c r="KJX59" s="556"/>
      <c r="KJY59" s="557"/>
      <c r="KJZ59" s="557"/>
      <c r="KKA59" s="557"/>
      <c r="KKB59" s="557"/>
      <c r="KKC59" s="557"/>
      <c r="KKD59" s="557"/>
      <c r="KKE59" s="557"/>
      <c r="KKF59" s="557"/>
      <c r="KKG59" s="557"/>
      <c r="KKH59" s="557"/>
      <c r="KKI59" s="557"/>
      <c r="KKJ59" s="557"/>
      <c r="KKK59" s="557"/>
      <c r="KKL59" s="557"/>
      <c r="KKM59" s="557"/>
      <c r="KKN59" s="557"/>
      <c r="KKO59" s="557"/>
      <c r="KKP59" s="557"/>
      <c r="KKQ59" s="661"/>
      <c r="KKR59" s="556"/>
      <c r="KKS59" s="557"/>
      <c r="KKT59" s="557"/>
      <c r="KKU59" s="557"/>
      <c r="KKV59" s="557"/>
      <c r="KKW59" s="557"/>
      <c r="KKX59" s="557"/>
      <c r="KKY59" s="557"/>
      <c r="KKZ59" s="557"/>
      <c r="KLA59" s="557"/>
      <c r="KLB59" s="557"/>
      <c r="KLC59" s="557"/>
      <c r="KLD59" s="557"/>
      <c r="KLE59" s="557"/>
      <c r="KLF59" s="557"/>
      <c r="KLG59" s="557"/>
      <c r="KLH59" s="557"/>
      <c r="KLI59" s="557"/>
      <c r="KLJ59" s="557"/>
      <c r="KLK59" s="661"/>
      <c r="KLL59" s="556"/>
      <c r="KLM59" s="557"/>
      <c r="KLN59" s="557"/>
      <c r="KLO59" s="557"/>
      <c r="KLP59" s="557"/>
      <c r="KLQ59" s="557"/>
      <c r="KLR59" s="557"/>
      <c r="KLS59" s="557"/>
      <c r="KLT59" s="557"/>
      <c r="KLU59" s="557"/>
      <c r="KLV59" s="557"/>
      <c r="KLW59" s="557"/>
      <c r="KLX59" s="557"/>
      <c r="KLY59" s="557"/>
      <c r="KLZ59" s="557"/>
      <c r="KMA59" s="557"/>
      <c r="KMB59" s="557"/>
      <c r="KMC59" s="557"/>
      <c r="KMD59" s="557"/>
      <c r="KME59" s="661"/>
      <c r="KMF59" s="556"/>
      <c r="KMG59" s="557"/>
      <c r="KMH59" s="557"/>
      <c r="KMI59" s="557"/>
      <c r="KMJ59" s="557"/>
      <c r="KMK59" s="557"/>
      <c r="KML59" s="557"/>
      <c r="KMM59" s="557"/>
      <c r="KMN59" s="557"/>
      <c r="KMO59" s="557"/>
      <c r="KMP59" s="557"/>
      <c r="KMQ59" s="557"/>
      <c r="KMR59" s="557"/>
      <c r="KMS59" s="557"/>
      <c r="KMT59" s="557"/>
      <c r="KMU59" s="557"/>
      <c r="KMV59" s="557"/>
      <c r="KMW59" s="557"/>
      <c r="KMX59" s="557"/>
      <c r="KMY59" s="661"/>
      <c r="KMZ59" s="556"/>
      <c r="KNA59" s="557"/>
      <c r="KNB59" s="557"/>
      <c r="KNC59" s="557"/>
      <c r="KND59" s="557"/>
      <c r="KNE59" s="557"/>
      <c r="KNF59" s="557"/>
      <c r="KNG59" s="557"/>
      <c r="KNH59" s="557"/>
      <c r="KNI59" s="557"/>
      <c r="KNJ59" s="557"/>
      <c r="KNK59" s="557"/>
      <c r="KNL59" s="557"/>
      <c r="KNM59" s="557"/>
      <c r="KNN59" s="557"/>
      <c r="KNO59" s="557"/>
      <c r="KNP59" s="557"/>
      <c r="KNQ59" s="557"/>
      <c r="KNR59" s="557"/>
      <c r="KNS59" s="661"/>
      <c r="KNT59" s="556"/>
      <c r="KNU59" s="557"/>
      <c r="KNV59" s="557"/>
      <c r="KNW59" s="557"/>
      <c r="KNX59" s="557"/>
      <c r="KNY59" s="557"/>
      <c r="KNZ59" s="557"/>
      <c r="KOA59" s="557"/>
      <c r="KOB59" s="557"/>
      <c r="KOC59" s="557"/>
      <c r="KOD59" s="557"/>
      <c r="KOE59" s="557"/>
      <c r="KOF59" s="557"/>
      <c r="KOG59" s="557"/>
      <c r="KOH59" s="557"/>
      <c r="KOI59" s="557"/>
      <c r="KOJ59" s="557"/>
      <c r="KOK59" s="557"/>
      <c r="KOL59" s="557"/>
      <c r="KOM59" s="661"/>
      <c r="KON59" s="556"/>
      <c r="KOO59" s="557"/>
      <c r="KOP59" s="557"/>
      <c r="KOQ59" s="557"/>
      <c r="KOR59" s="557"/>
      <c r="KOS59" s="557"/>
      <c r="KOT59" s="557"/>
      <c r="KOU59" s="557"/>
      <c r="KOV59" s="557"/>
      <c r="KOW59" s="557"/>
      <c r="KOX59" s="557"/>
      <c r="KOY59" s="557"/>
      <c r="KOZ59" s="557"/>
      <c r="KPA59" s="557"/>
      <c r="KPB59" s="557"/>
      <c r="KPC59" s="557"/>
      <c r="KPD59" s="557"/>
      <c r="KPE59" s="557"/>
      <c r="KPF59" s="557"/>
      <c r="KPG59" s="661"/>
      <c r="KPH59" s="556"/>
      <c r="KPI59" s="557"/>
      <c r="KPJ59" s="557"/>
      <c r="KPK59" s="557"/>
      <c r="KPL59" s="557"/>
      <c r="KPM59" s="557"/>
      <c r="KPN59" s="557"/>
      <c r="KPO59" s="557"/>
      <c r="KPP59" s="557"/>
      <c r="KPQ59" s="557"/>
      <c r="KPR59" s="557"/>
      <c r="KPS59" s="557"/>
      <c r="KPT59" s="557"/>
      <c r="KPU59" s="557"/>
      <c r="KPV59" s="557"/>
      <c r="KPW59" s="557"/>
      <c r="KPX59" s="557"/>
      <c r="KPY59" s="557"/>
      <c r="KPZ59" s="557"/>
      <c r="KQA59" s="661"/>
      <c r="KQB59" s="556"/>
      <c r="KQC59" s="557"/>
      <c r="KQD59" s="557"/>
      <c r="KQE59" s="557"/>
      <c r="KQF59" s="557"/>
      <c r="KQG59" s="557"/>
      <c r="KQH59" s="557"/>
      <c r="KQI59" s="557"/>
      <c r="KQJ59" s="557"/>
      <c r="KQK59" s="557"/>
      <c r="KQL59" s="557"/>
      <c r="KQM59" s="557"/>
      <c r="KQN59" s="557"/>
      <c r="KQO59" s="557"/>
      <c r="KQP59" s="557"/>
      <c r="KQQ59" s="557"/>
      <c r="KQR59" s="557"/>
      <c r="KQS59" s="557"/>
      <c r="KQT59" s="557"/>
      <c r="KQU59" s="661"/>
      <c r="KQV59" s="556"/>
      <c r="KQW59" s="557"/>
      <c r="KQX59" s="557"/>
      <c r="KQY59" s="557"/>
      <c r="KQZ59" s="557"/>
      <c r="KRA59" s="557"/>
      <c r="KRB59" s="557"/>
      <c r="KRC59" s="557"/>
      <c r="KRD59" s="557"/>
      <c r="KRE59" s="557"/>
      <c r="KRF59" s="557"/>
      <c r="KRG59" s="557"/>
      <c r="KRH59" s="557"/>
      <c r="KRI59" s="557"/>
      <c r="KRJ59" s="557"/>
      <c r="KRK59" s="557"/>
      <c r="KRL59" s="557"/>
      <c r="KRM59" s="557"/>
      <c r="KRN59" s="557"/>
      <c r="KRO59" s="661"/>
      <c r="KRP59" s="556"/>
      <c r="KRQ59" s="557"/>
      <c r="KRR59" s="557"/>
      <c r="KRS59" s="557"/>
      <c r="KRT59" s="557"/>
      <c r="KRU59" s="557"/>
      <c r="KRV59" s="557"/>
      <c r="KRW59" s="557"/>
      <c r="KRX59" s="557"/>
      <c r="KRY59" s="557"/>
      <c r="KRZ59" s="557"/>
      <c r="KSA59" s="557"/>
      <c r="KSB59" s="557"/>
      <c r="KSC59" s="557"/>
      <c r="KSD59" s="557"/>
      <c r="KSE59" s="557"/>
      <c r="KSF59" s="557"/>
      <c r="KSG59" s="557"/>
      <c r="KSH59" s="557"/>
      <c r="KSI59" s="661"/>
      <c r="KSJ59" s="556"/>
      <c r="KSK59" s="557"/>
      <c r="KSL59" s="557"/>
      <c r="KSM59" s="557"/>
      <c r="KSN59" s="557"/>
      <c r="KSO59" s="557"/>
      <c r="KSP59" s="557"/>
      <c r="KSQ59" s="557"/>
      <c r="KSR59" s="557"/>
      <c r="KSS59" s="557"/>
      <c r="KST59" s="557"/>
      <c r="KSU59" s="557"/>
      <c r="KSV59" s="557"/>
      <c r="KSW59" s="557"/>
      <c r="KSX59" s="557"/>
      <c r="KSY59" s="557"/>
      <c r="KSZ59" s="557"/>
      <c r="KTA59" s="557"/>
      <c r="KTB59" s="557"/>
      <c r="KTC59" s="661"/>
      <c r="KTD59" s="556"/>
      <c r="KTE59" s="557"/>
      <c r="KTF59" s="557"/>
      <c r="KTG59" s="557"/>
      <c r="KTH59" s="557"/>
      <c r="KTI59" s="557"/>
      <c r="KTJ59" s="557"/>
      <c r="KTK59" s="557"/>
      <c r="KTL59" s="557"/>
      <c r="KTM59" s="557"/>
      <c r="KTN59" s="557"/>
      <c r="KTO59" s="557"/>
      <c r="KTP59" s="557"/>
      <c r="KTQ59" s="557"/>
      <c r="KTR59" s="557"/>
      <c r="KTS59" s="557"/>
      <c r="KTT59" s="557"/>
      <c r="KTU59" s="557"/>
      <c r="KTV59" s="557"/>
      <c r="KTW59" s="661"/>
      <c r="KTX59" s="556"/>
      <c r="KTY59" s="557"/>
      <c r="KTZ59" s="557"/>
      <c r="KUA59" s="557"/>
      <c r="KUB59" s="557"/>
      <c r="KUC59" s="557"/>
      <c r="KUD59" s="557"/>
      <c r="KUE59" s="557"/>
      <c r="KUF59" s="557"/>
      <c r="KUG59" s="557"/>
      <c r="KUH59" s="557"/>
      <c r="KUI59" s="557"/>
      <c r="KUJ59" s="557"/>
      <c r="KUK59" s="557"/>
      <c r="KUL59" s="557"/>
      <c r="KUM59" s="557"/>
      <c r="KUN59" s="557"/>
      <c r="KUO59" s="557"/>
      <c r="KUP59" s="557"/>
      <c r="KUQ59" s="661"/>
      <c r="KUR59" s="556"/>
      <c r="KUS59" s="557"/>
      <c r="KUT59" s="557"/>
      <c r="KUU59" s="557"/>
      <c r="KUV59" s="557"/>
      <c r="KUW59" s="557"/>
      <c r="KUX59" s="557"/>
      <c r="KUY59" s="557"/>
      <c r="KUZ59" s="557"/>
      <c r="KVA59" s="557"/>
      <c r="KVB59" s="557"/>
      <c r="KVC59" s="557"/>
      <c r="KVD59" s="557"/>
      <c r="KVE59" s="557"/>
      <c r="KVF59" s="557"/>
      <c r="KVG59" s="557"/>
      <c r="KVH59" s="557"/>
      <c r="KVI59" s="557"/>
      <c r="KVJ59" s="557"/>
      <c r="KVK59" s="661"/>
      <c r="KVL59" s="556"/>
      <c r="KVM59" s="557"/>
      <c r="KVN59" s="557"/>
      <c r="KVO59" s="557"/>
      <c r="KVP59" s="557"/>
      <c r="KVQ59" s="557"/>
      <c r="KVR59" s="557"/>
      <c r="KVS59" s="557"/>
      <c r="KVT59" s="557"/>
      <c r="KVU59" s="557"/>
      <c r="KVV59" s="557"/>
      <c r="KVW59" s="557"/>
      <c r="KVX59" s="557"/>
      <c r="KVY59" s="557"/>
      <c r="KVZ59" s="557"/>
      <c r="KWA59" s="557"/>
      <c r="KWB59" s="557"/>
      <c r="KWC59" s="557"/>
      <c r="KWD59" s="557"/>
      <c r="KWE59" s="661"/>
      <c r="KWF59" s="556"/>
      <c r="KWG59" s="557"/>
      <c r="KWH59" s="557"/>
      <c r="KWI59" s="557"/>
      <c r="KWJ59" s="557"/>
      <c r="KWK59" s="557"/>
      <c r="KWL59" s="557"/>
      <c r="KWM59" s="557"/>
      <c r="KWN59" s="557"/>
      <c r="KWO59" s="557"/>
      <c r="KWP59" s="557"/>
      <c r="KWQ59" s="557"/>
      <c r="KWR59" s="557"/>
      <c r="KWS59" s="557"/>
      <c r="KWT59" s="557"/>
      <c r="KWU59" s="557"/>
      <c r="KWV59" s="557"/>
      <c r="KWW59" s="557"/>
      <c r="KWX59" s="557"/>
      <c r="KWY59" s="661"/>
      <c r="KWZ59" s="556"/>
      <c r="KXA59" s="557"/>
      <c r="KXB59" s="557"/>
      <c r="KXC59" s="557"/>
      <c r="KXD59" s="557"/>
      <c r="KXE59" s="557"/>
      <c r="KXF59" s="557"/>
      <c r="KXG59" s="557"/>
      <c r="KXH59" s="557"/>
      <c r="KXI59" s="557"/>
      <c r="KXJ59" s="557"/>
      <c r="KXK59" s="557"/>
      <c r="KXL59" s="557"/>
      <c r="KXM59" s="557"/>
      <c r="KXN59" s="557"/>
      <c r="KXO59" s="557"/>
      <c r="KXP59" s="557"/>
      <c r="KXQ59" s="557"/>
      <c r="KXR59" s="557"/>
      <c r="KXS59" s="661"/>
      <c r="KXT59" s="556"/>
      <c r="KXU59" s="557"/>
      <c r="KXV59" s="557"/>
      <c r="KXW59" s="557"/>
      <c r="KXX59" s="557"/>
      <c r="KXY59" s="557"/>
      <c r="KXZ59" s="557"/>
      <c r="KYA59" s="557"/>
      <c r="KYB59" s="557"/>
      <c r="KYC59" s="557"/>
      <c r="KYD59" s="557"/>
      <c r="KYE59" s="557"/>
      <c r="KYF59" s="557"/>
      <c r="KYG59" s="557"/>
      <c r="KYH59" s="557"/>
      <c r="KYI59" s="557"/>
      <c r="KYJ59" s="557"/>
      <c r="KYK59" s="557"/>
      <c r="KYL59" s="557"/>
      <c r="KYM59" s="661"/>
      <c r="KYN59" s="556"/>
      <c r="KYO59" s="557"/>
      <c r="KYP59" s="557"/>
      <c r="KYQ59" s="557"/>
      <c r="KYR59" s="557"/>
      <c r="KYS59" s="557"/>
      <c r="KYT59" s="557"/>
      <c r="KYU59" s="557"/>
      <c r="KYV59" s="557"/>
      <c r="KYW59" s="557"/>
      <c r="KYX59" s="557"/>
      <c r="KYY59" s="557"/>
      <c r="KYZ59" s="557"/>
      <c r="KZA59" s="557"/>
      <c r="KZB59" s="557"/>
      <c r="KZC59" s="557"/>
      <c r="KZD59" s="557"/>
      <c r="KZE59" s="557"/>
      <c r="KZF59" s="557"/>
      <c r="KZG59" s="661"/>
      <c r="KZH59" s="556"/>
      <c r="KZI59" s="557"/>
      <c r="KZJ59" s="557"/>
      <c r="KZK59" s="557"/>
      <c r="KZL59" s="557"/>
      <c r="KZM59" s="557"/>
      <c r="KZN59" s="557"/>
      <c r="KZO59" s="557"/>
      <c r="KZP59" s="557"/>
      <c r="KZQ59" s="557"/>
      <c r="KZR59" s="557"/>
      <c r="KZS59" s="557"/>
      <c r="KZT59" s="557"/>
      <c r="KZU59" s="557"/>
      <c r="KZV59" s="557"/>
      <c r="KZW59" s="557"/>
      <c r="KZX59" s="557"/>
      <c r="KZY59" s="557"/>
      <c r="KZZ59" s="557"/>
      <c r="LAA59" s="661"/>
      <c r="LAB59" s="556"/>
      <c r="LAC59" s="557"/>
      <c r="LAD59" s="557"/>
      <c r="LAE59" s="557"/>
      <c r="LAF59" s="557"/>
      <c r="LAG59" s="557"/>
      <c r="LAH59" s="557"/>
      <c r="LAI59" s="557"/>
      <c r="LAJ59" s="557"/>
      <c r="LAK59" s="557"/>
      <c r="LAL59" s="557"/>
      <c r="LAM59" s="557"/>
      <c r="LAN59" s="557"/>
      <c r="LAO59" s="557"/>
      <c r="LAP59" s="557"/>
      <c r="LAQ59" s="557"/>
      <c r="LAR59" s="557"/>
      <c r="LAS59" s="557"/>
      <c r="LAT59" s="557"/>
      <c r="LAU59" s="661"/>
      <c r="LAV59" s="556"/>
      <c r="LAW59" s="557"/>
      <c r="LAX59" s="557"/>
      <c r="LAY59" s="557"/>
      <c r="LAZ59" s="557"/>
      <c r="LBA59" s="557"/>
      <c r="LBB59" s="557"/>
      <c r="LBC59" s="557"/>
      <c r="LBD59" s="557"/>
      <c r="LBE59" s="557"/>
      <c r="LBF59" s="557"/>
      <c r="LBG59" s="557"/>
      <c r="LBH59" s="557"/>
      <c r="LBI59" s="557"/>
      <c r="LBJ59" s="557"/>
      <c r="LBK59" s="557"/>
      <c r="LBL59" s="557"/>
      <c r="LBM59" s="557"/>
      <c r="LBN59" s="557"/>
      <c r="LBO59" s="661"/>
      <c r="LBP59" s="556"/>
      <c r="LBQ59" s="557"/>
      <c r="LBR59" s="557"/>
      <c r="LBS59" s="557"/>
      <c r="LBT59" s="557"/>
      <c r="LBU59" s="557"/>
      <c r="LBV59" s="557"/>
      <c r="LBW59" s="557"/>
      <c r="LBX59" s="557"/>
      <c r="LBY59" s="557"/>
      <c r="LBZ59" s="557"/>
      <c r="LCA59" s="557"/>
      <c r="LCB59" s="557"/>
      <c r="LCC59" s="557"/>
      <c r="LCD59" s="557"/>
      <c r="LCE59" s="557"/>
      <c r="LCF59" s="557"/>
      <c r="LCG59" s="557"/>
      <c r="LCH59" s="557"/>
      <c r="LCI59" s="661"/>
      <c r="LCJ59" s="556"/>
      <c r="LCK59" s="557"/>
      <c r="LCL59" s="557"/>
      <c r="LCM59" s="557"/>
      <c r="LCN59" s="557"/>
      <c r="LCO59" s="557"/>
      <c r="LCP59" s="557"/>
      <c r="LCQ59" s="557"/>
      <c r="LCR59" s="557"/>
      <c r="LCS59" s="557"/>
      <c r="LCT59" s="557"/>
      <c r="LCU59" s="557"/>
      <c r="LCV59" s="557"/>
      <c r="LCW59" s="557"/>
      <c r="LCX59" s="557"/>
      <c r="LCY59" s="557"/>
      <c r="LCZ59" s="557"/>
      <c r="LDA59" s="557"/>
      <c r="LDB59" s="557"/>
      <c r="LDC59" s="661"/>
      <c r="LDD59" s="556"/>
      <c r="LDE59" s="557"/>
      <c r="LDF59" s="557"/>
      <c r="LDG59" s="557"/>
      <c r="LDH59" s="557"/>
      <c r="LDI59" s="557"/>
      <c r="LDJ59" s="557"/>
      <c r="LDK59" s="557"/>
      <c r="LDL59" s="557"/>
      <c r="LDM59" s="557"/>
      <c r="LDN59" s="557"/>
      <c r="LDO59" s="557"/>
      <c r="LDP59" s="557"/>
      <c r="LDQ59" s="557"/>
      <c r="LDR59" s="557"/>
      <c r="LDS59" s="557"/>
      <c r="LDT59" s="557"/>
      <c r="LDU59" s="557"/>
      <c r="LDV59" s="557"/>
      <c r="LDW59" s="661"/>
      <c r="LDX59" s="556"/>
      <c r="LDY59" s="557"/>
      <c r="LDZ59" s="557"/>
      <c r="LEA59" s="557"/>
      <c r="LEB59" s="557"/>
      <c r="LEC59" s="557"/>
      <c r="LED59" s="557"/>
      <c r="LEE59" s="557"/>
      <c r="LEF59" s="557"/>
      <c r="LEG59" s="557"/>
      <c r="LEH59" s="557"/>
      <c r="LEI59" s="557"/>
      <c r="LEJ59" s="557"/>
      <c r="LEK59" s="557"/>
      <c r="LEL59" s="557"/>
      <c r="LEM59" s="557"/>
      <c r="LEN59" s="557"/>
      <c r="LEO59" s="557"/>
      <c r="LEP59" s="557"/>
      <c r="LEQ59" s="661"/>
      <c r="LER59" s="556"/>
      <c r="LES59" s="557"/>
      <c r="LET59" s="557"/>
      <c r="LEU59" s="557"/>
      <c r="LEV59" s="557"/>
      <c r="LEW59" s="557"/>
      <c r="LEX59" s="557"/>
      <c r="LEY59" s="557"/>
      <c r="LEZ59" s="557"/>
      <c r="LFA59" s="557"/>
      <c r="LFB59" s="557"/>
      <c r="LFC59" s="557"/>
      <c r="LFD59" s="557"/>
      <c r="LFE59" s="557"/>
      <c r="LFF59" s="557"/>
      <c r="LFG59" s="557"/>
      <c r="LFH59" s="557"/>
      <c r="LFI59" s="557"/>
      <c r="LFJ59" s="557"/>
      <c r="LFK59" s="661"/>
      <c r="LFL59" s="556"/>
      <c r="LFM59" s="557"/>
      <c r="LFN59" s="557"/>
      <c r="LFO59" s="557"/>
      <c r="LFP59" s="557"/>
      <c r="LFQ59" s="557"/>
      <c r="LFR59" s="557"/>
      <c r="LFS59" s="557"/>
      <c r="LFT59" s="557"/>
      <c r="LFU59" s="557"/>
      <c r="LFV59" s="557"/>
      <c r="LFW59" s="557"/>
      <c r="LFX59" s="557"/>
      <c r="LFY59" s="557"/>
      <c r="LFZ59" s="557"/>
      <c r="LGA59" s="557"/>
      <c r="LGB59" s="557"/>
      <c r="LGC59" s="557"/>
      <c r="LGD59" s="557"/>
      <c r="LGE59" s="661"/>
      <c r="LGF59" s="556"/>
      <c r="LGG59" s="557"/>
      <c r="LGH59" s="557"/>
      <c r="LGI59" s="557"/>
      <c r="LGJ59" s="557"/>
      <c r="LGK59" s="557"/>
      <c r="LGL59" s="557"/>
      <c r="LGM59" s="557"/>
      <c r="LGN59" s="557"/>
      <c r="LGO59" s="557"/>
      <c r="LGP59" s="557"/>
      <c r="LGQ59" s="557"/>
      <c r="LGR59" s="557"/>
      <c r="LGS59" s="557"/>
      <c r="LGT59" s="557"/>
      <c r="LGU59" s="557"/>
      <c r="LGV59" s="557"/>
      <c r="LGW59" s="557"/>
      <c r="LGX59" s="557"/>
      <c r="LGY59" s="661"/>
      <c r="LGZ59" s="556"/>
      <c r="LHA59" s="557"/>
      <c r="LHB59" s="557"/>
      <c r="LHC59" s="557"/>
      <c r="LHD59" s="557"/>
      <c r="LHE59" s="557"/>
      <c r="LHF59" s="557"/>
      <c r="LHG59" s="557"/>
      <c r="LHH59" s="557"/>
      <c r="LHI59" s="557"/>
      <c r="LHJ59" s="557"/>
      <c r="LHK59" s="557"/>
      <c r="LHL59" s="557"/>
      <c r="LHM59" s="557"/>
      <c r="LHN59" s="557"/>
      <c r="LHO59" s="557"/>
      <c r="LHP59" s="557"/>
      <c r="LHQ59" s="557"/>
      <c r="LHR59" s="557"/>
      <c r="LHS59" s="661"/>
      <c r="LHT59" s="556"/>
      <c r="LHU59" s="557"/>
      <c r="LHV59" s="557"/>
      <c r="LHW59" s="557"/>
      <c r="LHX59" s="557"/>
      <c r="LHY59" s="557"/>
      <c r="LHZ59" s="557"/>
      <c r="LIA59" s="557"/>
      <c r="LIB59" s="557"/>
      <c r="LIC59" s="557"/>
      <c r="LID59" s="557"/>
      <c r="LIE59" s="557"/>
      <c r="LIF59" s="557"/>
      <c r="LIG59" s="557"/>
      <c r="LIH59" s="557"/>
      <c r="LII59" s="557"/>
      <c r="LIJ59" s="557"/>
      <c r="LIK59" s="557"/>
      <c r="LIL59" s="557"/>
      <c r="LIM59" s="661"/>
      <c r="LIN59" s="556"/>
      <c r="LIO59" s="557"/>
      <c r="LIP59" s="557"/>
      <c r="LIQ59" s="557"/>
      <c r="LIR59" s="557"/>
      <c r="LIS59" s="557"/>
      <c r="LIT59" s="557"/>
      <c r="LIU59" s="557"/>
      <c r="LIV59" s="557"/>
      <c r="LIW59" s="557"/>
      <c r="LIX59" s="557"/>
      <c r="LIY59" s="557"/>
      <c r="LIZ59" s="557"/>
      <c r="LJA59" s="557"/>
      <c r="LJB59" s="557"/>
      <c r="LJC59" s="557"/>
      <c r="LJD59" s="557"/>
      <c r="LJE59" s="557"/>
      <c r="LJF59" s="557"/>
      <c r="LJG59" s="661"/>
      <c r="LJH59" s="556"/>
      <c r="LJI59" s="557"/>
      <c r="LJJ59" s="557"/>
      <c r="LJK59" s="557"/>
      <c r="LJL59" s="557"/>
      <c r="LJM59" s="557"/>
      <c r="LJN59" s="557"/>
      <c r="LJO59" s="557"/>
      <c r="LJP59" s="557"/>
      <c r="LJQ59" s="557"/>
      <c r="LJR59" s="557"/>
      <c r="LJS59" s="557"/>
      <c r="LJT59" s="557"/>
      <c r="LJU59" s="557"/>
      <c r="LJV59" s="557"/>
      <c r="LJW59" s="557"/>
      <c r="LJX59" s="557"/>
      <c r="LJY59" s="557"/>
      <c r="LJZ59" s="557"/>
      <c r="LKA59" s="661"/>
      <c r="LKB59" s="556"/>
      <c r="LKC59" s="557"/>
      <c r="LKD59" s="557"/>
      <c r="LKE59" s="557"/>
      <c r="LKF59" s="557"/>
      <c r="LKG59" s="557"/>
      <c r="LKH59" s="557"/>
      <c r="LKI59" s="557"/>
      <c r="LKJ59" s="557"/>
      <c r="LKK59" s="557"/>
      <c r="LKL59" s="557"/>
      <c r="LKM59" s="557"/>
      <c r="LKN59" s="557"/>
      <c r="LKO59" s="557"/>
      <c r="LKP59" s="557"/>
      <c r="LKQ59" s="557"/>
      <c r="LKR59" s="557"/>
      <c r="LKS59" s="557"/>
      <c r="LKT59" s="557"/>
      <c r="LKU59" s="661"/>
      <c r="LKV59" s="556"/>
      <c r="LKW59" s="557"/>
      <c r="LKX59" s="557"/>
      <c r="LKY59" s="557"/>
      <c r="LKZ59" s="557"/>
      <c r="LLA59" s="557"/>
      <c r="LLB59" s="557"/>
      <c r="LLC59" s="557"/>
      <c r="LLD59" s="557"/>
      <c r="LLE59" s="557"/>
      <c r="LLF59" s="557"/>
      <c r="LLG59" s="557"/>
      <c r="LLH59" s="557"/>
      <c r="LLI59" s="557"/>
      <c r="LLJ59" s="557"/>
      <c r="LLK59" s="557"/>
      <c r="LLL59" s="557"/>
      <c r="LLM59" s="557"/>
      <c r="LLN59" s="557"/>
      <c r="LLO59" s="661"/>
      <c r="LLP59" s="556"/>
      <c r="LLQ59" s="557"/>
      <c r="LLR59" s="557"/>
      <c r="LLS59" s="557"/>
      <c r="LLT59" s="557"/>
      <c r="LLU59" s="557"/>
      <c r="LLV59" s="557"/>
      <c r="LLW59" s="557"/>
      <c r="LLX59" s="557"/>
      <c r="LLY59" s="557"/>
      <c r="LLZ59" s="557"/>
      <c r="LMA59" s="557"/>
      <c r="LMB59" s="557"/>
      <c r="LMC59" s="557"/>
      <c r="LMD59" s="557"/>
      <c r="LME59" s="557"/>
      <c r="LMF59" s="557"/>
      <c r="LMG59" s="557"/>
      <c r="LMH59" s="557"/>
      <c r="LMI59" s="661"/>
      <c r="LMJ59" s="556"/>
      <c r="LMK59" s="557"/>
      <c r="LML59" s="557"/>
      <c r="LMM59" s="557"/>
      <c r="LMN59" s="557"/>
      <c r="LMO59" s="557"/>
      <c r="LMP59" s="557"/>
      <c r="LMQ59" s="557"/>
      <c r="LMR59" s="557"/>
      <c r="LMS59" s="557"/>
      <c r="LMT59" s="557"/>
      <c r="LMU59" s="557"/>
      <c r="LMV59" s="557"/>
      <c r="LMW59" s="557"/>
      <c r="LMX59" s="557"/>
      <c r="LMY59" s="557"/>
      <c r="LMZ59" s="557"/>
      <c r="LNA59" s="557"/>
      <c r="LNB59" s="557"/>
      <c r="LNC59" s="661"/>
      <c r="LND59" s="556"/>
      <c r="LNE59" s="557"/>
      <c r="LNF59" s="557"/>
      <c r="LNG59" s="557"/>
      <c r="LNH59" s="557"/>
      <c r="LNI59" s="557"/>
      <c r="LNJ59" s="557"/>
      <c r="LNK59" s="557"/>
      <c r="LNL59" s="557"/>
      <c r="LNM59" s="557"/>
      <c r="LNN59" s="557"/>
      <c r="LNO59" s="557"/>
      <c r="LNP59" s="557"/>
      <c r="LNQ59" s="557"/>
      <c r="LNR59" s="557"/>
      <c r="LNS59" s="557"/>
      <c r="LNT59" s="557"/>
      <c r="LNU59" s="557"/>
      <c r="LNV59" s="557"/>
      <c r="LNW59" s="661"/>
      <c r="LNX59" s="556"/>
      <c r="LNY59" s="557"/>
      <c r="LNZ59" s="557"/>
      <c r="LOA59" s="557"/>
      <c r="LOB59" s="557"/>
      <c r="LOC59" s="557"/>
      <c r="LOD59" s="557"/>
      <c r="LOE59" s="557"/>
      <c r="LOF59" s="557"/>
      <c r="LOG59" s="557"/>
      <c r="LOH59" s="557"/>
      <c r="LOI59" s="557"/>
      <c r="LOJ59" s="557"/>
      <c r="LOK59" s="557"/>
      <c r="LOL59" s="557"/>
      <c r="LOM59" s="557"/>
      <c r="LON59" s="557"/>
      <c r="LOO59" s="557"/>
      <c r="LOP59" s="557"/>
      <c r="LOQ59" s="661"/>
      <c r="LOR59" s="556"/>
      <c r="LOS59" s="557"/>
      <c r="LOT59" s="557"/>
      <c r="LOU59" s="557"/>
      <c r="LOV59" s="557"/>
      <c r="LOW59" s="557"/>
      <c r="LOX59" s="557"/>
      <c r="LOY59" s="557"/>
      <c r="LOZ59" s="557"/>
      <c r="LPA59" s="557"/>
      <c r="LPB59" s="557"/>
      <c r="LPC59" s="557"/>
      <c r="LPD59" s="557"/>
      <c r="LPE59" s="557"/>
      <c r="LPF59" s="557"/>
      <c r="LPG59" s="557"/>
      <c r="LPH59" s="557"/>
      <c r="LPI59" s="557"/>
      <c r="LPJ59" s="557"/>
      <c r="LPK59" s="661"/>
      <c r="LPL59" s="556"/>
      <c r="LPM59" s="557"/>
      <c r="LPN59" s="557"/>
      <c r="LPO59" s="557"/>
      <c r="LPP59" s="557"/>
      <c r="LPQ59" s="557"/>
      <c r="LPR59" s="557"/>
      <c r="LPS59" s="557"/>
      <c r="LPT59" s="557"/>
      <c r="LPU59" s="557"/>
      <c r="LPV59" s="557"/>
      <c r="LPW59" s="557"/>
      <c r="LPX59" s="557"/>
      <c r="LPY59" s="557"/>
      <c r="LPZ59" s="557"/>
      <c r="LQA59" s="557"/>
      <c r="LQB59" s="557"/>
      <c r="LQC59" s="557"/>
      <c r="LQD59" s="557"/>
      <c r="LQE59" s="661"/>
      <c r="LQF59" s="556"/>
      <c r="LQG59" s="557"/>
      <c r="LQH59" s="557"/>
      <c r="LQI59" s="557"/>
      <c r="LQJ59" s="557"/>
      <c r="LQK59" s="557"/>
      <c r="LQL59" s="557"/>
      <c r="LQM59" s="557"/>
      <c r="LQN59" s="557"/>
      <c r="LQO59" s="557"/>
      <c r="LQP59" s="557"/>
      <c r="LQQ59" s="557"/>
      <c r="LQR59" s="557"/>
      <c r="LQS59" s="557"/>
      <c r="LQT59" s="557"/>
      <c r="LQU59" s="557"/>
      <c r="LQV59" s="557"/>
      <c r="LQW59" s="557"/>
      <c r="LQX59" s="557"/>
      <c r="LQY59" s="661"/>
      <c r="LQZ59" s="556"/>
      <c r="LRA59" s="557"/>
      <c r="LRB59" s="557"/>
      <c r="LRC59" s="557"/>
      <c r="LRD59" s="557"/>
      <c r="LRE59" s="557"/>
      <c r="LRF59" s="557"/>
      <c r="LRG59" s="557"/>
      <c r="LRH59" s="557"/>
      <c r="LRI59" s="557"/>
      <c r="LRJ59" s="557"/>
      <c r="LRK59" s="557"/>
      <c r="LRL59" s="557"/>
      <c r="LRM59" s="557"/>
      <c r="LRN59" s="557"/>
      <c r="LRO59" s="557"/>
      <c r="LRP59" s="557"/>
      <c r="LRQ59" s="557"/>
      <c r="LRR59" s="557"/>
      <c r="LRS59" s="661"/>
      <c r="LRT59" s="556"/>
      <c r="LRU59" s="557"/>
      <c r="LRV59" s="557"/>
      <c r="LRW59" s="557"/>
      <c r="LRX59" s="557"/>
      <c r="LRY59" s="557"/>
      <c r="LRZ59" s="557"/>
      <c r="LSA59" s="557"/>
      <c r="LSB59" s="557"/>
      <c r="LSC59" s="557"/>
      <c r="LSD59" s="557"/>
      <c r="LSE59" s="557"/>
      <c r="LSF59" s="557"/>
      <c r="LSG59" s="557"/>
      <c r="LSH59" s="557"/>
      <c r="LSI59" s="557"/>
      <c r="LSJ59" s="557"/>
      <c r="LSK59" s="557"/>
      <c r="LSL59" s="557"/>
      <c r="LSM59" s="661"/>
      <c r="LSN59" s="556"/>
      <c r="LSO59" s="557"/>
      <c r="LSP59" s="557"/>
      <c r="LSQ59" s="557"/>
      <c r="LSR59" s="557"/>
      <c r="LSS59" s="557"/>
      <c r="LST59" s="557"/>
      <c r="LSU59" s="557"/>
      <c r="LSV59" s="557"/>
      <c r="LSW59" s="557"/>
      <c r="LSX59" s="557"/>
      <c r="LSY59" s="557"/>
      <c r="LSZ59" s="557"/>
      <c r="LTA59" s="557"/>
      <c r="LTB59" s="557"/>
      <c r="LTC59" s="557"/>
      <c r="LTD59" s="557"/>
      <c r="LTE59" s="557"/>
      <c r="LTF59" s="557"/>
      <c r="LTG59" s="661"/>
      <c r="LTH59" s="556"/>
      <c r="LTI59" s="557"/>
      <c r="LTJ59" s="557"/>
      <c r="LTK59" s="557"/>
      <c r="LTL59" s="557"/>
      <c r="LTM59" s="557"/>
      <c r="LTN59" s="557"/>
      <c r="LTO59" s="557"/>
      <c r="LTP59" s="557"/>
      <c r="LTQ59" s="557"/>
      <c r="LTR59" s="557"/>
      <c r="LTS59" s="557"/>
      <c r="LTT59" s="557"/>
      <c r="LTU59" s="557"/>
      <c r="LTV59" s="557"/>
      <c r="LTW59" s="557"/>
      <c r="LTX59" s="557"/>
      <c r="LTY59" s="557"/>
      <c r="LTZ59" s="557"/>
      <c r="LUA59" s="661"/>
      <c r="LUB59" s="556"/>
      <c r="LUC59" s="557"/>
      <c r="LUD59" s="557"/>
      <c r="LUE59" s="557"/>
      <c r="LUF59" s="557"/>
      <c r="LUG59" s="557"/>
      <c r="LUH59" s="557"/>
      <c r="LUI59" s="557"/>
      <c r="LUJ59" s="557"/>
      <c r="LUK59" s="557"/>
      <c r="LUL59" s="557"/>
      <c r="LUM59" s="557"/>
      <c r="LUN59" s="557"/>
      <c r="LUO59" s="557"/>
      <c r="LUP59" s="557"/>
      <c r="LUQ59" s="557"/>
      <c r="LUR59" s="557"/>
      <c r="LUS59" s="557"/>
      <c r="LUT59" s="557"/>
      <c r="LUU59" s="661"/>
      <c r="LUV59" s="556"/>
      <c r="LUW59" s="557"/>
      <c r="LUX59" s="557"/>
      <c r="LUY59" s="557"/>
      <c r="LUZ59" s="557"/>
      <c r="LVA59" s="557"/>
      <c r="LVB59" s="557"/>
      <c r="LVC59" s="557"/>
      <c r="LVD59" s="557"/>
      <c r="LVE59" s="557"/>
      <c r="LVF59" s="557"/>
      <c r="LVG59" s="557"/>
      <c r="LVH59" s="557"/>
      <c r="LVI59" s="557"/>
      <c r="LVJ59" s="557"/>
      <c r="LVK59" s="557"/>
      <c r="LVL59" s="557"/>
      <c r="LVM59" s="557"/>
      <c r="LVN59" s="557"/>
      <c r="LVO59" s="661"/>
      <c r="LVP59" s="556"/>
      <c r="LVQ59" s="557"/>
      <c r="LVR59" s="557"/>
      <c r="LVS59" s="557"/>
      <c r="LVT59" s="557"/>
      <c r="LVU59" s="557"/>
      <c r="LVV59" s="557"/>
      <c r="LVW59" s="557"/>
      <c r="LVX59" s="557"/>
      <c r="LVY59" s="557"/>
      <c r="LVZ59" s="557"/>
      <c r="LWA59" s="557"/>
      <c r="LWB59" s="557"/>
      <c r="LWC59" s="557"/>
      <c r="LWD59" s="557"/>
      <c r="LWE59" s="557"/>
      <c r="LWF59" s="557"/>
      <c r="LWG59" s="557"/>
      <c r="LWH59" s="557"/>
      <c r="LWI59" s="661"/>
      <c r="LWJ59" s="556"/>
      <c r="LWK59" s="557"/>
      <c r="LWL59" s="557"/>
      <c r="LWM59" s="557"/>
      <c r="LWN59" s="557"/>
      <c r="LWO59" s="557"/>
      <c r="LWP59" s="557"/>
      <c r="LWQ59" s="557"/>
      <c r="LWR59" s="557"/>
      <c r="LWS59" s="557"/>
      <c r="LWT59" s="557"/>
      <c r="LWU59" s="557"/>
      <c r="LWV59" s="557"/>
      <c r="LWW59" s="557"/>
      <c r="LWX59" s="557"/>
      <c r="LWY59" s="557"/>
      <c r="LWZ59" s="557"/>
      <c r="LXA59" s="557"/>
      <c r="LXB59" s="557"/>
      <c r="LXC59" s="661"/>
      <c r="LXD59" s="556"/>
      <c r="LXE59" s="557"/>
      <c r="LXF59" s="557"/>
      <c r="LXG59" s="557"/>
      <c r="LXH59" s="557"/>
      <c r="LXI59" s="557"/>
      <c r="LXJ59" s="557"/>
      <c r="LXK59" s="557"/>
      <c r="LXL59" s="557"/>
      <c r="LXM59" s="557"/>
      <c r="LXN59" s="557"/>
      <c r="LXO59" s="557"/>
      <c r="LXP59" s="557"/>
      <c r="LXQ59" s="557"/>
      <c r="LXR59" s="557"/>
      <c r="LXS59" s="557"/>
      <c r="LXT59" s="557"/>
      <c r="LXU59" s="557"/>
      <c r="LXV59" s="557"/>
      <c r="LXW59" s="661"/>
      <c r="LXX59" s="556"/>
      <c r="LXY59" s="557"/>
      <c r="LXZ59" s="557"/>
      <c r="LYA59" s="557"/>
      <c r="LYB59" s="557"/>
      <c r="LYC59" s="557"/>
      <c r="LYD59" s="557"/>
      <c r="LYE59" s="557"/>
      <c r="LYF59" s="557"/>
      <c r="LYG59" s="557"/>
      <c r="LYH59" s="557"/>
      <c r="LYI59" s="557"/>
      <c r="LYJ59" s="557"/>
      <c r="LYK59" s="557"/>
      <c r="LYL59" s="557"/>
      <c r="LYM59" s="557"/>
      <c r="LYN59" s="557"/>
      <c r="LYO59" s="557"/>
      <c r="LYP59" s="557"/>
      <c r="LYQ59" s="661"/>
      <c r="LYR59" s="556"/>
      <c r="LYS59" s="557"/>
      <c r="LYT59" s="557"/>
      <c r="LYU59" s="557"/>
      <c r="LYV59" s="557"/>
      <c r="LYW59" s="557"/>
      <c r="LYX59" s="557"/>
      <c r="LYY59" s="557"/>
      <c r="LYZ59" s="557"/>
      <c r="LZA59" s="557"/>
      <c r="LZB59" s="557"/>
      <c r="LZC59" s="557"/>
      <c r="LZD59" s="557"/>
      <c r="LZE59" s="557"/>
      <c r="LZF59" s="557"/>
      <c r="LZG59" s="557"/>
      <c r="LZH59" s="557"/>
      <c r="LZI59" s="557"/>
      <c r="LZJ59" s="557"/>
      <c r="LZK59" s="661"/>
      <c r="LZL59" s="556"/>
      <c r="LZM59" s="557"/>
      <c r="LZN59" s="557"/>
      <c r="LZO59" s="557"/>
      <c r="LZP59" s="557"/>
      <c r="LZQ59" s="557"/>
      <c r="LZR59" s="557"/>
      <c r="LZS59" s="557"/>
      <c r="LZT59" s="557"/>
      <c r="LZU59" s="557"/>
      <c r="LZV59" s="557"/>
      <c r="LZW59" s="557"/>
      <c r="LZX59" s="557"/>
      <c r="LZY59" s="557"/>
      <c r="LZZ59" s="557"/>
      <c r="MAA59" s="557"/>
      <c r="MAB59" s="557"/>
      <c r="MAC59" s="557"/>
      <c r="MAD59" s="557"/>
      <c r="MAE59" s="661"/>
      <c r="MAF59" s="556"/>
      <c r="MAG59" s="557"/>
      <c r="MAH59" s="557"/>
      <c r="MAI59" s="557"/>
      <c r="MAJ59" s="557"/>
      <c r="MAK59" s="557"/>
      <c r="MAL59" s="557"/>
      <c r="MAM59" s="557"/>
      <c r="MAN59" s="557"/>
      <c r="MAO59" s="557"/>
      <c r="MAP59" s="557"/>
      <c r="MAQ59" s="557"/>
      <c r="MAR59" s="557"/>
      <c r="MAS59" s="557"/>
      <c r="MAT59" s="557"/>
      <c r="MAU59" s="557"/>
      <c r="MAV59" s="557"/>
      <c r="MAW59" s="557"/>
      <c r="MAX59" s="557"/>
      <c r="MAY59" s="661"/>
      <c r="MAZ59" s="556"/>
      <c r="MBA59" s="557"/>
      <c r="MBB59" s="557"/>
      <c r="MBC59" s="557"/>
      <c r="MBD59" s="557"/>
      <c r="MBE59" s="557"/>
      <c r="MBF59" s="557"/>
      <c r="MBG59" s="557"/>
      <c r="MBH59" s="557"/>
      <c r="MBI59" s="557"/>
      <c r="MBJ59" s="557"/>
      <c r="MBK59" s="557"/>
      <c r="MBL59" s="557"/>
      <c r="MBM59" s="557"/>
      <c r="MBN59" s="557"/>
      <c r="MBO59" s="557"/>
      <c r="MBP59" s="557"/>
      <c r="MBQ59" s="557"/>
      <c r="MBR59" s="557"/>
      <c r="MBS59" s="661"/>
      <c r="MBT59" s="556"/>
      <c r="MBU59" s="557"/>
      <c r="MBV59" s="557"/>
      <c r="MBW59" s="557"/>
      <c r="MBX59" s="557"/>
      <c r="MBY59" s="557"/>
      <c r="MBZ59" s="557"/>
      <c r="MCA59" s="557"/>
      <c r="MCB59" s="557"/>
      <c r="MCC59" s="557"/>
      <c r="MCD59" s="557"/>
      <c r="MCE59" s="557"/>
      <c r="MCF59" s="557"/>
      <c r="MCG59" s="557"/>
      <c r="MCH59" s="557"/>
      <c r="MCI59" s="557"/>
      <c r="MCJ59" s="557"/>
      <c r="MCK59" s="557"/>
      <c r="MCL59" s="557"/>
      <c r="MCM59" s="661"/>
      <c r="MCN59" s="556"/>
      <c r="MCO59" s="557"/>
      <c r="MCP59" s="557"/>
      <c r="MCQ59" s="557"/>
      <c r="MCR59" s="557"/>
      <c r="MCS59" s="557"/>
      <c r="MCT59" s="557"/>
      <c r="MCU59" s="557"/>
      <c r="MCV59" s="557"/>
      <c r="MCW59" s="557"/>
      <c r="MCX59" s="557"/>
      <c r="MCY59" s="557"/>
      <c r="MCZ59" s="557"/>
      <c r="MDA59" s="557"/>
      <c r="MDB59" s="557"/>
      <c r="MDC59" s="557"/>
      <c r="MDD59" s="557"/>
      <c r="MDE59" s="557"/>
      <c r="MDF59" s="557"/>
      <c r="MDG59" s="661"/>
      <c r="MDH59" s="556"/>
      <c r="MDI59" s="557"/>
      <c r="MDJ59" s="557"/>
      <c r="MDK59" s="557"/>
      <c r="MDL59" s="557"/>
      <c r="MDM59" s="557"/>
      <c r="MDN59" s="557"/>
      <c r="MDO59" s="557"/>
      <c r="MDP59" s="557"/>
      <c r="MDQ59" s="557"/>
      <c r="MDR59" s="557"/>
      <c r="MDS59" s="557"/>
      <c r="MDT59" s="557"/>
      <c r="MDU59" s="557"/>
      <c r="MDV59" s="557"/>
      <c r="MDW59" s="557"/>
      <c r="MDX59" s="557"/>
      <c r="MDY59" s="557"/>
      <c r="MDZ59" s="557"/>
      <c r="MEA59" s="661"/>
      <c r="MEB59" s="556"/>
      <c r="MEC59" s="557"/>
      <c r="MED59" s="557"/>
      <c r="MEE59" s="557"/>
      <c r="MEF59" s="557"/>
      <c r="MEG59" s="557"/>
      <c r="MEH59" s="557"/>
      <c r="MEI59" s="557"/>
      <c r="MEJ59" s="557"/>
      <c r="MEK59" s="557"/>
      <c r="MEL59" s="557"/>
      <c r="MEM59" s="557"/>
      <c r="MEN59" s="557"/>
      <c r="MEO59" s="557"/>
      <c r="MEP59" s="557"/>
      <c r="MEQ59" s="557"/>
      <c r="MER59" s="557"/>
      <c r="MES59" s="557"/>
      <c r="MET59" s="557"/>
      <c r="MEU59" s="661"/>
      <c r="MEV59" s="556"/>
      <c r="MEW59" s="557"/>
      <c r="MEX59" s="557"/>
      <c r="MEY59" s="557"/>
      <c r="MEZ59" s="557"/>
      <c r="MFA59" s="557"/>
      <c r="MFB59" s="557"/>
      <c r="MFC59" s="557"/>
      <c r="MFD59" s="557"/>
      <c r="MFE59" s="557"/>
      <c r="MFF59" s="557"/>
      <c r="MFG59" s="557"/>
      <c r="MFH59" s="557"/>
      <c r="MFI59" s="557"/>
      <c r="MFJ59" s="557"/>
      <c r="MFK59" s="557"/>
      <c r="MFL59" s="557"/>
      <c r="MFM59" s="557"/>
      <c r="MFN59" s="557"/>
      <c r="MFO59" s="661"/>
      <c r="MFP59" s="556"/>
      <c r="MFQ59" s="557"/>
      <c r="MFR59" s="557"/>
      <c r="MFS59" s="557"/>
      <c r="MFT59" s="557"/>
      <c r="MFU59" s="557"/>
      <c r="MFV59" s="557"/>
      <c r="MFW59" s="557"/>
      <c r="MFX59" s="557"/>
      <c r="MFY59" s="557"/>
      <c r="MFZ59" s="557"/>
      <c r="MGA59" s="557"/>
      <c r="MGB59" s="557"/>
      <c r="MGC59" s="557"/>
      <c r="MGD59" s="557"/>
      <c r="MGE59" s="557"/>
      <c r="MGF59" s="557"/>
      <c r="MGG59" s="557"/>
      <c r="MGH59" s="557"/>
      <c r="MGI59" s="661"/>
      <c r="MGJ59" s="556"/>
      <c r="MGK59" s="557"/>
      <c r="MGL59" s="557"/>
      <c r="MGM59" s="557"/>
      <c r="MGN59" s="557"/>
      <c r="MGO59" s="557"/>
      <c r="MGP59" s="557"/>
      <c r="MGQ59" s="557"/>
      <c r="MGR59" s="557"/>
      <c r="MGS59" s="557"/>
      <c r="MGT59" s="557"/>
      <c r="MGU59" s="557"/>
      <c r="MGV59" s="557"/>
      <c r="MGW59" s="557"/>
      <c r="MGX59" s="557"/>
      <c r="MGY59" s="557"/>
      <c r="MGZ59" s="557"/>
      <c r="MHA59" s="557"/>
      <c r="MHB59" s="557"/>
      <c r="MHC59" s="661"/>
      <c r="MHD59" s="556"/>
      <c r="MHE59" s="557"/>
      <c r="MHF59" s="557"/>
      <c r="MHG59" s="557"/>
      <c r="MHH59" s="557"/>
      <c r="MHI59" s="557"/>
      <c r="MHJ59" s="557"/>
      <c r="MHK59" s="557"/>
      <c r="MHL59" s="557"/>
      <c r="MHM59" s="557"/>
      <c r="MHN59" s="557"/>
      <c r="MHO59" s="557"/>
      <c r="MHP59" s="557"/>
      <c r="MHQ59" s="557"/>
      <c r="MHR59" s="557"/>
      <c r="MHS59" s="557"/>
      <c r="MHT59" s="557"/>
      <c r="MHU59" s="557"/>
      <c r="MHV59" s="557"/>
      <c r="MHW59" s="661"/>
      <c r="MHX59" s="556"/>
      <c r="MHY59" s="557"/>
      <c r="MHZ59" s="557"/>
      <c r="MIA59" s="557"/>
      <c r="MIB59" s="557"/>
      <c r="MIC59" s="557"/>
      <c r="MID59" s="557"/>
      <c r="MIE59" s="557"/>
      <c r="MIF59" s="557"/>
      <c r="MIG59" s="557"/>
      <c r="MIH59" s="557"/>
      <c r="MII59" s="557"/>
      <c r="MIJ59" s="557"/>
      <c r="MIK59" s="557"/>
      <c r="MIL59" s="557"/>
      <c r="MIM59" s="557"/>
      <c r="MIN59" s="557"/>
      <c r="MIO59" s="557"/>
      <c r="MIP59" s="557"/>
      <c r="MIQ59" s="661"/>
      <c r="MIR59" s="556"/>
      <c r="MIS59" s="557"/>
      <c r="MIT59" s="557"/>
      <c r="MIU59" s="557"/>
      <c r="MIV59" s="557"/>
      <c r="MIW59" s="557"/>
      <c r="MIX59" s="557"/>
      <c r="MIY59" s="557"/>
      <c r="MIZ59" s="557"/>
      <c r="MJA59" s="557"/>
      <c r="MJB59" s="557"/>
      <c r="MJC59" s="557"/>
      <c r="MJD59" s="557"/>
      <c r="MJE59" s="557"/>
      <c r="MJF59" s="557"/>
      <c r="MJG59" s="557"/>
      <c r="MJH59" s="557"/>
      <c r="MJI59" s="557"/>
      <c r="MJJ59" s="557"/>
      <c r="MJK59" s="661"/>
      <c r="MJL59" s="556"/>
      <c r="MJM59" s="557"/>
      <c r="MJN59" s="557"/>
      <c r="MJO59" s="557"/>
      <c r="MJP59" s="557"/>
      <c r="MJQ59" s="557"/>
      <c r="MJR59" s="557"/>
      <c r="MJS59" s="557"/>
      <c r="MJT59" s="557"/>
      <c r="MJU59" s="557"/>
      <c r="MJV59" s="557"/>
      <c r="MJW59" s="557"/>
      <c r="MJX59" s="557"/>
      <c r="MJY59" s="557"/>
      <c r="MJZ59" s="557"/>
      <c r="MKA59" s="557"/>
      <c r="MKB59" s="557"/>
      <c r="MKC59" s="557"/>
      <c r="MKD59" s="557"/>
      <c r="MKE59" s="661"/>
      <c r="MKF59" s="556"/>
      <c r="MKG59" s="557"/>
      <c r="MKH59" s="557"/>
      <c r="MKI59" s="557"/>
      <c r="MKJ59" s="557"/>
      <c r="MKK59" s="557"/>
      <c r="MKL59" s="557"/>
      <c r="MKM59" s="557"/>
      <c r="MKN59" s="557"/>
      <c r="MKO59" s="557"/>
      <c r="MKP59" s="557"/>
      <c r="MKQ59" s="557"/>
      <c r="MKR59" s="557"/>
      <c r="MKS59" s="557"/>
      <c r="MKT59" s="557"/>
      <c r="MKU59" s="557"/>
      <c r="MKV59" s="557"/>
      <c r="MKW59" s="557"/>
      <c r="MKX59" s="557"/>
      <c r="MKY59" s="661"/>
      <c r="MKZ59" s="556"/>
      <c r="MLA59" s="557"/>
      <c r="MLB59" s="557"/>
      <c r="MLC59" s="557"/>
      <c r="MLD59" s="557"/>
      <c r="MLE59" s="557"/>
      <c r="MLF59" s="557"/>
      <c r="MLG59" s="557"/>
      <c r="MLH59" s="557"/>
      <c r="MLI59" s="557"/>
      <c r="MLJ59" s="557"/>
      <c r="MLK59" s="557"/>
      <c r="MLL59" s="557"/>
      <c r="MLM59" s="557"/>
      <c r="MLN59" s="557"/>
      <c r="MLO59" s="557"/>
      <c r="MLP59" s="557"/>
      <c r="MLQ59" s="557"/>
      <c r="MLR59" s="557"/>
      <c r="MLS59" s="661"/>
      <c r="MLT59" s="556"/>
      <c r="MLU59" s="557"/>
      <c r="MLV59" s="557"/>
      <c r="MLW59" s="557"/>
      <c r="MLX59" s="557"/>
      <c r="MLY59" s="557"/>
      <c r="MLZ59" s="557"/>
      <c r="MMA59" s="557"/>
      <c r="MMB59" s="557"/>
      <c r="MMC59" s="557"/>
      <c r="MMD59" s="557"/>
      <c r="MME59" s="557"/>
      <c r="MMF59" s="557"/>
      <c r="MMG59" s="557"/>
      <c r="MMH59" s="557"/>
      <c r="MMI59" s="557"/>
      <c r="MMJ59" s="557"/>
      <c r="MMK59" s="557"/>
      <c r="MML59" s="557"/>
      <c r="MMM59" s="661"/>
      <c r="MMN59" s="556"/>
      <c r="MMO59" s="557"/>
      <c r="MMP59" s="557"/>
      <c r="MMQ59" s="557"/>
      <c r="MMR59" s="557"/>
      <c r="MMS59" s="557"/>
      <c r="MMT59" s="557"/>
      <c r="MMU59" s="557"/>
      <c r="MMV59" s="557"/>
      <c r="MMW59" s="557"/>
      <c r="MMX59" s="557"/>
      <c r="MMY59" s="557"/>
      <c r="MMZ59" s="557"/>
      <c r="MNA59" s="557"/>
      <c r="MNB59" s="557"/>
      <c r="MNC59" s="557"/>
      <c r="MND59" s="557"/>
      <c r="MNE59" s="557"/>
      <c r="MNF59" s="557"/>
      <c r="MNG59" s="661"/>
      <c r="MNH59" s="556"/>
      <c r="MNI59" s="557"/>
      <c r="MNJ59" s="557"/>
      <c r="MNK59" s="557"/>
      <c r="MNL59" s="557"/>
      <c r="MNM59" s="557"/>
      <c r="MNN59" s="557"/>
      <c r="MNO59" s="557"/>
      <c r="MNP59" s="557"/>
      <c r="MNQ59" s="557"/>
      <c r="MNR59" s="557"/>
      <c r="MNS59" s="557"/>
      <c r="MNT59" s="557"/>
      <c r="MNU59" s="557"/>
      <c r="MNV59" s="557"/>
      <c r="MNW59" s="557"/>
      <c r="MNX59" s="557"/>
      <c r="MNY59" s="557"/>
      <c r="MNZ59" s="557"/>
      <c r="MOA59" s="661"/>
      <c r="MOB59" s="556"/>
      <c r="MOC59" s="557"/>
      <c r="MOD59" s="557"/>
      <c r="MOE59" s="557"/>
      <c r="MOF59" s="557"/>
      <c r="MOG59" s="557"/>
      <c r="MOH59" s="557"/>
      <c r="MOI59" s="557"/>
      <c r="MOJ59" s="557"/>
      <c r="MOK59" s="557"/>
      <c r="MOL59" s="557"/>
      <c r="MOM59" s="557"/>
      <c r="MON59" s="557"/>
      <c r="MOO59" s="557"/>
      <c r="MOP59" s="557"/>
      <c r="MOQ59" s="557"/>
      <c r="MOR59" s="557"/>
      <c r="MOS59" s="557"/>
      <c r="MOT59" s="557"/>
      <c r="MOU59" s="661"/>
      <c r="MOV59" s="556"/>
      <c r="MOW59" s="557"/>
      <c r="MOX59" s="557"/>
      <c r="MOY59" s="557"/>
      <c r="MOZ59" s="557"/>
      <c r="MPA59" s="557"/>
      <c r="MPB59" s="557"/>
      <c r="MPC59" s="557"/>
      <c r="MPD59" s="557"/>
      <c r="MPE59" s="557"/>
      <c r="MPF59" s="557"/>
      <c r="MPG59" s="557"/>
      <c r="MPH59" s="557"/>
      <c r="MPI59" s="557"/>
      <c r="MPJ59" s="557"/>
      <c r="MPK59" s="557"/>
      <c r="MPL59" s="557"/>
      <c r="MPM59" s="557"/>
      <c r="MPN59" s="557"/>
      <c r="MPO59" s="661"/>
      <c r="MPP59" s="556"/>
      <c r="MPQ59" s="557"/>
      <c r="MPR59" s="557"/>
      <c r="MPS59" s="557"/>
      <c r="MPT59" s="557"/>
      <c r="MPU59" s="557"/>
      <c r="MPV59" s="557"/>
      <c r="MPW59" s="557"/>
      <c r="MPX59" s="557"/>
      <c r="MPY59" s="557"/>
      <c r="MPZ59" s="557"/>
      <c r="MQA59" s="557"/>
      <c r="MQB59" s="557"/>
      <c r="MQC59" s="557"/>
      <c r="MQD59" s="557"/>
      <c r="MQE59" s="557"/>
      <c r="MQF59" s="557"/>
      <c r="MQG59" s="557"/>
      <c r="MQH59" s="557"/>
      <c r="MQI59" s="661"/>
      <c r="MQJ59" s="556"/>
      <c r="MQK59" s="557"/>
      <c r="MQL59" s="557"/>
      <c r="MQM59" s="557"/>
      <c r="MQN59" s="557"/>
      <c r="MQO59" s="557"/>
      <c r="MQP59" s="557"/>
      <c r="MQQ59" s="557"/>
      <c r="MQR59" s="557"/>
      <c r="MQS59" s="557"/>
      <c r="MQT59" s="557"/>
      <c r="MQU59" s="557"/>
      <c r="MQV59" s="557"/>
      <c r="MQW59" s="557"/>
      <c r="MQX59" s="557"/>
      <c r="MQY59" s="557"/>
      <c r="MQZ59" s="557"/>
      <c r="MRA59" s="557"/>
      <c r="MRB59" s="557"/>
      <c r="MRC59" s="661"/>
      <c r="MRD59" s="556"/>
      <c r="MRE59" s="557"/>
      <c r="MRF59" s="557"/>
      <c r="MRG59" s="557"/>
      <c r="MRH59" s="557"/>
      <c r="MRI59" s="557"/>
      <c r="MRJ59" s="557"/>
      <c r="MRK59" s="557"/>
      <c r="MRL59" s="557"/>
      <c r="MRM59" s="557"/>
      <c r="MRN59" s="557"/>
      <c r="MRO59" s="557"/>
      <c r="MRP59" s="557"/>
      <c r="MRQ59" s="557"/>
      <c r="MRR59" s="557"/>
      <c r="MRS59" s="557"/>
      <c r="MRT59" s="557"/>
      <c r="MRU59" s="557"/>
      <c r="MRV59" s="557"/>
      <c r="MRW59" s="661"/>
      <c r="MRX59" s="556"/>
      <c r="MRY59" s="557"/>
      <c r="MRZ59" s="557"/>
      <c r="MSA59" s="557"/>
      <c r="MSB59" s="557"/>
      <c r="MSC59" s="557"/>
      <c r="MSD59" s="557"/>
      <c r="MSE59" s="557"/>
      <c r="MSF59" s="557"/>
      <c r="MSG59" s="557"/>
      <c r="MSH59" s="557"/>
      <c r="MSI59" s="557"/>
      <c r="MSJ59" s="557"/>
      <c r="MSK59" s="557"/>
      <c r="MSL59" s="557"/>
      <c r="MSM59" s="557"/>
      <c r="MSN59" s="557"/>
      <c r="MSO59" s="557"/>
      <c r="MSP59" s="557"/>
      <c r="MSQ59" s="661"/>
      <c r="MSR59" s="556"/>
      <c r="MSS59" s="557"/>
      <c r="MST59" s="557"/>
      <c r="MSU59" s="557"/>
      <c r="MSV59" s="557"/>
      <c r="MSW59" s="557"/>
      <c r="MSX59" s="557"/>
      <c r="MSY59" s="557"/>
      <c r="MSZ59" s="557"/>
      <c r="MTA59" s="557"/>
      <c r="MTB59" s="557"/>
      <c r="MTC59" s="557"/>
      <c r="MTD59" s="557"/>
      <c r="MTE59" s="557"/>
      <c r="MTF59" s="557"/>
      <c r="MTG59" s="557"/>
      <c r="MTH59" s="557"/>
      <c r="MTI59" s="557"/>
      <c r="MTJ59" s="557"/>
      <c r="MTK59" s="661"/>
      <c r="MTL59" s="556"/>
      <c r="MTM59" s="557"/>
      <c r="MTN59" s="557"/>
      <c r="MTO59" s="557"/>
      <c r="MTP59" s="557"/>
      <c r="MTQ59" s="557"/>
      <c r="MTR59" s="557"/>
      <c r="MTS59" s="557"/>
      <c r="MTT59" s="557"/>
      <c r="MTU59" s="557"/>
      <c r="MTV59" s="557"/>
      <c r="MTW59" s="557"/>
      <c r="MTX59" s="557"/>
      <c r="MTY59" s="557"/>
      <c r="MTZ59" s="557"/>
      <c r="MUA59" s="557"/>
      <c r="MUB59" s="557"/>
      <c r="MUC59" s="557"/>
      <c r="MUD59" s="557"/>
      <c r="MUE59" s="661"/>
      <c r="MUF59" s="556"/>
      <c r="MUG59" s="557"/>
      <c r="MUH59" s="557"/>
      <c r="MUI59" s="557"/>
      <c r="MUJ59" s="557"/>
      <c r="MUK59" s="557"/>
      <c r="MUL59" s="557"/>
      <c r="MUM59" s="557"/>
      <c r="MUN59" s="557"/>
      <c r="MUO59" s="557"/>
      <c r="MUP59" s="557"/>
      <c r="MUQ59" s="557"/>
      <c r="MUR59" s="557"/>
      <c r="MUS59" s="557"/>
      <c r="MUT59" s="557"/>
      <c r="MUU59" s="557"/>
      <c r="MUV59" s="557"/>
      <c r="MUW59" s="557"/>
      <c r="MUX59" s="557"/>
      <c r="MUY59" s="661"/>
      <c r="MUZ59" s="556"/>
      <c r="MVA59" s="557"/>
      <c r="MVB59" s="557"/>
      <c r="MVC59" s="557"/>
      <c r="MVD59" s="557"/>
      <c r="MVE59" s="557"/>
      <c r="MVF59" s="557"/>
      <c r="MVG59" s="557"/>
      <c r="MVH59" s="557"/>
      <c r="MVI59" s="557"/>
      <c r="MVJ59" s="557"/>
      <c r="MVK59" s="557"/>
      <c r="MVL59" s="557"/>
      <c r="MVM59" s="557"/>
      <c r="MVN59" s="557"/>
      <c r="MVO59" s="557"/>
      <c r="MVP59" s="557"/>
      <c r="MVQ59" s="557"/>
      <c r="MVR59" s="557"/>
      <c r="MVS59" s="661"/>
      <c r="MVT59" s="556"/>
      <c r="MVU59" s="557"/>
      <c r="MVV59" s="557"/>
      <c r="MVW59" s="557"/>
      <c r="MVX59" s="557"/>
      <c r="MVY59" s="557"/>
      <c r="MVZ59" s="557"/>
      <c r="MWA59" s="557"/>
      <c r="MWB59" s="557"/>
      <c r="MWC59" s="557"/>
      <c r="MWD59" s="557"/>
      <c r="MWE59" s="557"/>
      <c r="MWF59" s="557"/>
      <c r="MWG59" s="557"/>
      <c r="MWH59" s="557"/>
      <c r="MWI59" s="557"/>
      <c r="MWJ59" s="557"/>
      <c r="MWK59" s="557"/>
      <c r="MWL59" s="557"/>
      <c r="MWM59" s="661"/>
      <c r="MWN59" s="556"/>
      <c r="MWO59" s="557"/>
      <c r="MWP59" s="557"/>
      <c r="MWQ59" s="557"/>
      <c r="MWR59" s="557"/>
      <c r="MWS59" s="557"/>
      <c r="MWT59" s="557"/>
      <c r="MWU59" s="557"/>
      <c r="MWV59" s="557"/>
      <c r="MWW59" s="557"/>
      <c r="MWX59" s="557"/>
      <c r="MWY59" s="557"/>
      <c r="MWZ59" s="557"/>
      <c r="MXA59" s="557"/>
      <c r="MXB59" s="557"/>
      <c r="MXC59" s="557"/>
      <c r="MXD59" s="557"/>
      <c r="MXE59" s="557"/>
      <c r="MXF59" s="557"/>
      <c r="MXG59" s="661"/>
      <c r="MXH59" s="556"/>
      <c r="MXI59" s="557"/>
      <c r="MXJ59" s="557"/>
      <c r="MXK59" s="557"/>
      <c r="MXL59" s="557"/>
      <c r="MXM59" s="557"/>
      <c r="MXN59" s="557"/>
      <c r="MXO59" s="557"/>
      <c r="MXP59" s="557"/>
      <c r="MXQ59" s="557"/>
      <c r="MXR59" s="557"/>
      <c r="MXS59" s="557"/>
      <c r="MXT59" s="557"/>
      <c r="MXU59" s="557"/>
      <c r="MXV59" s="557"/>
      <c r="MXW59" s="557"/>
      <c r="MXX59" s="557"/>
      <c r="MXY59" s="557"/>
      <c r="MXZ59" s="557"/>
      <c r="MYA59" s="661"/>
      <c r="MYB59" s="556"/>
      <c r="MYC59" s="557"/>
      <c r="MYD59" s="557"/>
      <c r="MYE59" s="557"/>
      <c r="MYF59" s="557"/>
      <c r="MYG59" s="557"/>
      <c r="MYH59" s="557"/>
      <c r="MYI59" s="557"/>
      <c r="MYJ59" s="557"/>
      <c r="MYK59" s="557"/>
      <c r="MYL59" s="557"/>
      <c r="MYM59" s="557"/>
      <c r="MYN59" s="557"/>
      <c r="MYO59" s="557"/>
      <c r="MYP59" s="557"/>
      <c r="MYQ59" s="557"/>
      <c r="MYR59" s="557"/>
      <c r="MYS59" s="557"/>
      <c r="MYT59" s="557"/>
      <c r="MYU59" s="661"/>
      <c r="MYV59" s="556"/>
      <c r="MYW59" s="557"/>
      <c r="MYX59" s="557"/>
      <c r="MYY59" s="557"/>
      <c r="MYZ59" s="557"/>
      <c r="MZA59" s="557"/>
      <c r="MZB59" s="557"/>
      <c r="MZC59" s="557"/>
      <c r="MZD59" s="557"/>
      <c r="MZE59" s="557"/>
      <c r="MZF59" s="557"/>
      <c r="MZG59" s="557"/>
      <c r="MZH59" s="557"/>
      <c r="MZI59" s="557"/>
      <c r="MZJ59" s="557"/>
      <c r="MZK59" s="557"/>
      <c r="MZL59" s="557"/>
      <c r="MZM59" s="557"/>
      <c r="MZN59" s="557"/>
      <c r="MZO59" s="661"/>
      <c r="MZP59" s="556"/>
      <c r="MZQ59" s="557"/>
      <c r="MZR59" s="557"/>
      <c r="MZS59" s="557"/>
      <c r="MZT59" s="557"/>
      <c r="MZU59" s="557"/>
      <c r="MZV59" s="557"/>
      <c r="MZW59" s="557"/>
      <c r="MZX59" s="557"/>
      <c r="MZY59" s="557"/>
      <c r="MZZ59" s="557"/>
      <c r="NAA59" s="557"/>
      <c r="NAB59" s="557"/>
      <c r="NAC59" s="557"/>
      <c r="NAD59" s="557"/>
      <c r="NAE59" s="557"/>
      <c r="NAF59" s="557"/>
      <c r="NAG59" s="557"/>
      <c r="NAH59" s="557"/>
      <c r="NAI59" s="661"/>
      <c r="NAJ59" s="556"/>
      <c r="NAK59" s="557"/>
      <c r="NAL59" s="557"/>
      <c r="NAM59" s="557"/>
      <c r="NAN59" s="557"/>
      <c r="NAO59" s="557"/>
      <c r="NAP59" s="557"/>
      <c r="NAQ59" s="557"/>
      <c r="NAR59" s="557"/>
      <c r="NAS59" s="557"/>
      <c r="NAT59" s="557"/>
      <c r="NAU59" s="557"/>
      <c r="NAV59" s="557"/>
      <c r="NAW59" s="557"/>
      <c r="NAX59" s="557"/>
      <c r="NAY59" s="557"/>
      <c r="NAZ59" s="557"/>
      <c r="NBA59" s="557"/>
      <c r="NBB59" s="557"/>
      <c r="NBC59" s="661"/>
      <c r="NBD59" s="556"/>
      <c r="NBE59" s="557"/>
      <c r="NBF59" s="557"/>
      <c r="NBG59" s="557"/>
      <c r="NBH59" s="557"/>
      <c r="NBI59" s="557"/>
      <c r="NBJ59" s="557"/>
      <c r="NBK59" s="557"/>
      <c r="NBL59" s="557"/>
      <c r="NBM59" s="557"/>
      <c r="NBN59" s="557"/>
      <c r="NBO59" s="557"/>
      <c r="NBP59" s="557"/>
      <c r="NBQ59" s="557"/>
      <c r="NBR59" s="557"/>
      <c r="NBS59" s="557"/>
      <c r="NBT59" s="557"/>
      <c r="NBU59" s="557"/>
      <c r="NBV59" s="557"/>
      <c r="NBW59" s="661"/>
      <c r="NBX59" s="556"/>
      <c r="NBY59" s="557"/>
      <c r="NBZ59" s="557"/>
      <c r="NCA59" s="557"/>
      <c r="NCB59" s="557"/>
      <c r="NCC59" s="557"/>
      <c r="NCD59" s="557"/>
      <c r="NCE59" s="557"/>
      <c r="NCF59" s="557"/>
      <c r="NCG59" s="557"/>
      <c r="NCH59" s="557"/>
      <c r="NCI59" s="557"/>
      <c r="NCJ59" s="557"/>
      <c r="NCK59" s="557"/>
      <c r="NCL59" s="557"/>
      <c r="NCM59" s="557"/>
      <c r="NCN59" s="557"/>
      <c r="NCO59" s="557"/>
      <c r="NCP59" s="557"/>
      <c r="NCQ59" s="661"/>
      <c r="NCR59" s="556"/>
      <c r="NCS59" s="557"/>
      <c r="NCT59" s="557"/>
      <c r="NCU59" s="557"/>
      <c r="NCV59" s="557"/>
      <c r="NCW59" s="557"/>
      <c r="NCX59" s="557"/>
      <c r="NCY59" s="557"/>
      <c r="NCZ59" s="557"/>
      <c r="NDA59" s="557"/>
      <c r="NDB59" s="557"/>
      <c r="NDC59" s="557"/>
      <c r="NDD59" s="557"/>
      <c r="NDE59" s="557"/>
      <c r="NDF59" s="557"/>
      <c r="NDG59" s="557"/>
      <c r="NDH59" s="557"/>
      <c r="NDI59" s="557"/>
      <c r="NDJ59" s="557"/>
      <c r="NDK59" s="661"/>
      <c r="NDL59" s="556"/>
      <c r="NDM59" s="557"/>
      <c r="NDN59" s="557"/>
      <c r="NDO59" s="557"/>
      <c r="NDP59" s="557"/>
      <c r="NDQ59" s="557"/>
      <c r="NDR59" s="557"/>
      <c r="NDS59" s="557"/>
      <c r="NDT59" s="557"/>
      <c r="NDU59" s="557"/>
      <c r="NDV59" s="557"/>
      <c r="NDW59" s="557"/>
      <c r="NDX59" s="557"/>
      <c r="NDY59" s="557"/>
      <c r="NDZ59" s="557"/>
      <c r="NEA59" s="557"/>
      <c r="NEB59" s="557"/>
      <c r="NEC59" s="557"/>
      <c r="NED59" s="557"/>
      <c r="NEE59" s="661"/>
      <c r="NEF59" s="556"/>
      <c r="NEG59" s="557"/>
      <c r="NEH59" s="557"/>
      <c r="NEI59" s="557"/>
      <c r="NEJ59" s="557"/>
      <c r="NEK59" s="557"/>
      <c r="NEL59" s="557"/>
      <c r="NEM59" s="557"/>
      <c r="NEN59" s="557"/>
      <c r="NEO59" s="557"/>
      <c r="NEP59" s="557"/>
      <c r="NEQ59" s="557"/>
      <c r="NER59" s="557"/>
      <c r="NES59" s="557"/>
      <c r="NET59" s="557"/>
      <c r="NEU59" s="557"/>
      <c r="NEV59" s="557"/>
      <c r="NEW59" s="557"/>
      <c r="NEX59" s="557"/>
      <c r="NEY59" s="661"/>
      <c r="NEZ59" s="556"/>
      <c r="NFA59" s="557"/>
      <c r="NFB59" s="557"/>
      <c r="NFC59" s="557"/>
      <c r="NFD59" s="557"/>
      <c r="NFE59" s="557"/>
      <c r="NFF59" s="557"/>
      <c r="NFG59" s="557"/>
      <c r="NFH59" s="557"/>
      <c r="NFI59" s="557"/>
      <c r="NFJ59" s="557"/>
      <c r="NFK59" s="557"/>
      <c r="NFL59" s="557"/>
      <c r="NFM59" s="557"/>
      <c r="NFN59" s="557"/>
      <c r="NFO59" s="557"/>
      <c r="NFP59" s="557"/>
      <c r="NFQ59" s="557"/>
      <c r="NFR59" s="557"/>
      <c r="NFS59" s="661"/>
      <c r="NFT59" s="556"/>
      <c r="NFU59" s="557"/>
      <c r="NFV59" s="557"/>
      <c r="NFW59" s="557"/>
      <c r="NFX59" s="557"/>
      <c r="NFY59" s="557"/>
      <c r="NFZ59" s="557"/>
      <c r="NGA59" s="557"/>
      <c r="NGB59" s="557"/>
      <c r="NGC59" s="557"/>
      <c r="NGD59" s="557"/>
      <c r="NGE59" s="557"/>
      <c r="NGF59" s="557"/>
      <c r="NGG59" s="557"/>
      <c r="NGH59" s="557"/>
      <c r="NGI59" s="557"/>
      <c r="NGJ59" s="557"/>
      <c r="NGK59" s="557"/>
      <c r="NGL59" s="557"/>
      <c r="NGM59" s="661"/>
      <c r="NGN59" s="556"/>
      <c r="NGO59" s="557"/>
      <c r="NGP59" s="557"/>
      <c r="NGQ59" s="557"/>
      <c r="NGR59" s="557"/>
      <c r="NGS59" s="557"/>
      <c r="NGT59" s="557"/>
      <c r="NGU59" s="557"/>
      <c r="NGV59" s="557"/>
      <c r="NGW59" s="557"/>
      <c r="NGX59" s="557"/>
      <c r="NGY59" s="557"/>
      <c r="NGZ59" s="557"/>
      <c r="NHA59" s="557"/>
      <c r="NHB59" s="557"/>
      <c r="NHC59" s="557"/>
      <c r="NHD59" s="557"/>
      <c r="NHE59" s="557"/>
      <c r="NHF59" s="557"/>
      <c r="NHG59" s="661"/>
      <c r="NHH59" s="556"/>
      <c r="NHI59" s="557"/>
      <c r="NHJ59" s="557"/>
      <c r="NHK59" s="557"/>
      <c r="NHL59" s="557"/>
      <c r="NHM59" s="557"/>
      <c r="NHN59" s="557"/>
      <c r="NHO59" s="557"/>
      <c r="NHP59" s="557"/>
      <c r="NHQ59" s="557"/>
      <c r="NHR59" s="557"/>
      <c r="NHS59" s="557"/>
      <c r="NHT59" s="557"/>
      <c r="NHU59" s="557"/>
      <c r="NHV59" s="557"/>
      <c r="NHW59" s="557"/>
      <c r="NHX59" s="557"/>
      <c r="NHY59" s="557"/>
      <c r="NHZ59" s="557"/>
      <c r="NIA59" s="661"/>
      <c r="NIB59" s="556"/>
      <c r="NIC59" s="557"/>
      <c r="NID59" s="557"/>
      <c r="NIE59" s="557"/>
      <c r="NIF59" s="557"/>
      <c r="NIG59" s="557"/>
      <c r="NIH59" s="557"/>
      <c r="NII59" s="557"/>
      <c r="NIJ59" s="557"/>
      <c r="NIK59" s="557"/>
      <c r="NIL59" s="557"/>
      <c r="NIM59" s="557"/>
      <c r="NIN59" s="557"/>
      <c r="NIO59" s="557"/>
      <c r="NIP59" s="557"/>
      <c r="NIQ59" s="557"/>
      <c r="NIR59" s="557"/>
      <c r="NIS59" s="557"/>
      <c r="NIT59" s="557"/>
      <c r="NIU59" s="661"/>
      <c r="NIV59" s="556"/>
      <c r="NIW59" s="557"/>
      <c r="NIX59" s="557"/>
      <c r="NIY59" s="557"/>
      <c r="NIZ59" s="557"/>
      <c r="NJA59" s="557"/>
      <c r="NJB59" s="557"/>
      <c r="NJC59" s="557"/>
      <c r="NJD59" s="557"/>
      <c r="NJE59" s="557"/>
      <c r="NJF59" s="557"/>
      <c r="NJG59" s="557"/>
      <c r="NJH59" s="557"/>
      <c r="NJI59" s="557"/>
      <c r="NJJ59" s="557"/>
      <c r="NJK59" s="557"/>
      <c r="NJL59" s="557"/>
      <c r="NJM59" s="557"/>
      <c r="NJN59" s="557"/>
      <c r="NJO59" s="661"/>
      <c r="NJP59" s="556"/>
      <c r="NJQ59" s="557"/>
      <c r="NJR59" s="557"/>
      <c r="NJS59" s="557"/>
      <c r="NJT59" s="557"/>
      <c r="NJU59" s="557"/>
      <c r="NJV59" s="557"/>
      <c r="NJW59" s="557"/>
      <c r="NJX59" s="557"/>
      <c r="NJY59" s="557"/>
      <c r="NJZ59" s="557"/>
      <c r="NKA59" s="557"/>
      <c r="NKB59" s="557"/>
      <c r="NKC59" s="557"/>
      <c r="NKD59" s="557"/>
      <c r="NKE59" s="557"/>
      <c r="NKF59" s="557"/>
      <c r="NKG59" s="557"/>
      <c r="NKH59" s="557"/>
      <c r="NKI59" s="661"/>
      <c r="NKJ59" s="556"/>
      <c r="NKK59" s="557"/>
      <c r="NKL59" s="557"/>
      <c r="NKM59" s="557"/>
      <c r="NKN59" s="557"/>
      <c r="NKO59" s="557"/>
      <c r="NKP59" s="557"/>
      <c r="NKQ59" s="557"/>
      <c r="NKR59" s="557"/>
      <c r="NKS59" s="557"/>
      <c r="NKT59" s="557"/>
      <c r="NKU59" s="557"/>
      <c r="NKV59" s="557"/>
      <c r="NKW59" s="557"/>
      <c r="NKX59" s="557"/>
      <c r="NKY59" s="557"/>
      <c r="NKZ59" s="557"/>
      <c r="NLA59" s="557"/>
      <c r="NLB59" s="557"/>
      <c r="NLC59" s="661"/>
      <c r="NLD59" s="556"/>
      <c r="NLE59" s="557"/>
      <c r="NLF59" s="557"/>
      <c r="NLG59" s="557"/>
      <c r="NLH59" s="557"/>
      <c r="NLI59" s="557"/>
      <c r="NLJ59" s="557"/>
      <c r="NLK59" s="557"/>
      <c r="NLL59" s="557"/>
      <c r="NLM59" s="557"/>
      <c r="NLN59" s="557"/>
      <c r="NLO59" s="557"/>
      <c r="NLP59" s="557"/>
      <c r="NLQ59" s="557"/>
      <c r="NLR59" s="557"/>
      <c r="NLS59" s="557"/>
      <c r="NLT59" s="557"/>
      <c r="NLU59" s="557"/>
      <c r="NLV59" s="557"/>
      <c r="NLW59" s="661"/>
      <c r="NLX59" s="556"/>
      <c r="NLY59" s="557"/>
      <c r="NLZ59" s="557"/>
      <c r="NMA59" s="557"/>
      <c r="NMB59" s="557"/>
      <c r="NMC59" s="557"/>
      <c r="NMD59" s="557"/>
      <c r="NME59" s="557"/>
      <c r="NMF59" s="557"/>
      <c r="NMG59" s="557"/>
      <c r="NMH59" s="557"/>
      <c r="NMI59" s="557"/>
      <c r="NMJ59" s="557"/>
      <c r="NMK59" s="557"/>
      <c r="NML59" s="557"/>
      <c r="NMM59" s="557"/>
      <c r="NMN59" s="557"/>
      <c r="NMO59" s="557"/>
      <c r="NMP59" s="557"/>
      <c r="NMQ59" s="661"/>
      <c r="NMR59" s="556"/>
      <c r="NMS59" s="557"/>
      <c r="NMT59" s="557"/>
      <c r="NMU59" s="557"/>
      <c r="NMV59" s="557"/>
      <c r="NMW59" s="557"/>
      <c r="NMX59" s="557"/>
      <c r="NMY59" s="557"/>
      <c r="NMZ59" s="557"/>
      <c r="NNA59" s="557"/>
      <c r="NNB59" s="557"/>
      <c r="NNC59" s="557"/>
      <c r="NND59" s="557"/>
      <c r="NNE59" s="557"/>
      <c r="NNF59" s="557"/>
      <c r="NNG59" s="557"/>
      <c r="NNH59" s="557"/>
      <c r="NNI59" s="557"/>
      <c r="NNJ59" s="557"/>
      <c r="NNK59" s="661"/>
      <c r="NNL59" s="556"/>
      <c r="NNM59" s="557"/>
      <c r="NNN59" s="557"/>
      <c r="NNO59" s="557"/>
      <c r="NNP59" s="557"/>
      <c r="NNQ59" s="557"/>
      <c r="NNR59" s="557"/>
      <c r="NNS59" s="557"/>
      <c r="NNT59" s="557"/>
      <c r="NNU59" s="557"/>
      <c r="NNV59" s="557"/>
      <c r="NNW59" s="557"/>
      <c r="NNX59" s="557"/>
      <c r="NNY59" s="557"/>
      <c r="NNZ59" s="557"/>
      <c r="NOA59" s="557"/>
      <c r="NOB59" s="557"/>
      <c r="NOC59" s="557"/>
      <c r="NOD59" s="557"/>
      <c r="NOE59" s="661"/>
      <c r="NOF59" s="556"/>
      <c r="NOG59" s="557"/>
      <c r="NOH59" s="557"/>
      <c r="NOI59" s="557"/>
      <c r="NOJ59" s="557"/>
      <c r="NOK59" s="557"/>
      <c r="NOL59" s="557"/>
      <c r="NOM59" s="557"/>
      <c r="NON59" s="557"/>
      <c r="NOO59" s="557"/>
      <c r="NOP59" s="557"/>
      <c r="NOQ59" s="557"/>
      <c r="NOR59" s="557"/>
      <c r="NOS59" s="557"/>
      <c r="NOT59" s="557"/>
      <c r="NOU59" s="557"/>
      <c r="NOV59" s="557"/>
      <c r="NOW59" s="557"/>
      <c r="NOX59" s="557"/>
      <c r="NOY59" s="661"/>
      <c r="NOZ59" s="556"/>
      <c r="NPA59" s="557"/>
      <c r="NPB59" s="557"/>
      <c r="NPC59" s="557"/>
      <c r="NPD59" s="557"/>
      <c r="NPE59" s="557"/>
      <c r="NPF59" s="557"/>
      <c r="NPG59" s="557"/>
      <c r="NPH59" s="557"/>
      <c r="NPI59" s="557"/>
      <c r="NPJ59" s="557"/>
      <c r="NPK59" s="557"/>
      <c r="NPL59" s="557"/>
      <c r="NPM59" s="557"/>
      <c r="NPN59" s="557"/>
      <c r="NPO59" s="557"/>
      <c r="NPP59" s="557"/>
      <c r="NPQ59" s="557"/>
      <c r="NPR59" s="557"/>
      <c r="NPS59" s="661"/>
      <c r="NPT59" s="556"/>
      <c r="NPU59" s="557"/>
      <c r="NPV59" s="557"/>
      <c r="NPW59" s="557"/>
      <c r="NPX59" s="557"/>
      <c r="NPY59" s="557"/>
      <c r="NPZ59" s="557"/>
      <c r="NQA59" s="557"/>
      <c r="NQB59" s="557"/>
      <c r="NQC59" s="557"/>
      <c r="NQD59" s="557"/>
      <c r="NQE59" s="557"/>
      <c r="NQF59" s="557"/>
      <c r="NQG59" s="557"/>
      <c r="NQH59" s="557"/>
      <c r="NQI59" s="557"/>
      <c r="NQJ59" s="557"/>
      <c r="NQK59" s="557"/>
      <c r="NQL59" s="557"/>
      <c r="NQM59" s="661"/>
      <c r="NQN59" s="556"/>
      <c r="NQO59" s="557"/>
      <c r="NQP59" s="557"/>
      <c r="NQQ59" s="557"/>
      <c r="NQR59" s="557"/>
      <c r="NQS59" s="557"/>
      <c r="NQT59" s="557"/>
      <c r="NQU59" s="557"/>
      <c r="NQV59" s="557"/>
      <c r="NQW59" s="557"/>
      <c r="NQX59" s="557"/>
      <c r="NQY59" s="557"/>
      <c r="NQZ59" s="557"/>
      <c r="NRA59" s="557"/>
      <c r="NRB59" s="557"/>
      <c r="NRC59" s="557"/>
      <c r="NRD59" s="557"/>
      <c r="NRE59" s="557"/>
      <c r="NRF59" s="557"/>
      <c r="NRG59" s="661"/>
      <c r="NRH59" s="556"/>
      <c r="NRI59" s="557"/>
      <c r="NRJ59" s="557"/>
      <c r="NRK59" s="557"/>
      <c r="NRL59" s="557"/>
      <c r="NRM59" s="557"/>
      <c r="NRN59" s="557"/>
      <c r="NRO59" s="557"/>
      <c r="NRP59" s="557"/>
      <c r="NRQ59" s="557"/>
      <c r="NRR59" s="557"/>
      <c r="NRS59" s="557"/>
      <c r="NRT59" s="557"/>
      <c r="NRU59" s="557"/>
      <c r="NRV59" s="557"/>
      <c r="NRW59" s="557"/>
      <c r="NRX59" s="557"/>
      <c r="NRY59" s="557"/>
      <c r="NRZ59" s="557"/>
      <c r="NSA59" s="661"/>
      <c r="NSB59" s="556"/>
      <c r="NSC59" s="557"/>
      <c r="NSD59" s="557"/>
      <c r="NSE59" s="557"/>
      <c r="NSF59" s="557"/>
      <c r="NSG59" s="557"/>
      <c r="NSH59" s="557"/>
      <c r="NSI59" s="557"/>
      <c r="NSJ59" s="557"/>
      <c r="NSK59" s="557"/>
      <c r="NSL59" s="557"/>
      <c r="NSM59" s="557"/>
      <c r="NSN59" s="557"/>
      <c r="NSO59" s="557"/>
      <c r="NSP59" s="557"/>
      <c r="NSQ59" s="557"/>
      <c r="NSR59" s="557"/>
      <c r="NSS59" s="557"/>
      <c r="NST59" s="557"/>
      <c r="NSU59" s="661"/>
      <c r="NSV59" s="556"/>
      <c r="NSW59" s="557"/>
      <c r="NSX59" s="557"/>
      <c r="NSY59" s="557"/>
      <c r="NSZ59" s="557"/>
      <c r="NTA59" s="557"/>
      <c r="NTB59" s="557"/>
      <c r="NTC59" s="557"/>
      <c r="NTD59" s="557"/>
      <c r="NTE59" s="557"/>
      <c r="NTF59" s="557"/>
      <c r="NTG59" s="557"/>
      <c r="NTH59" s="557"/>
      <c r="NTI59" s="557"/>
      <c r="NTJ59" s="557"/>
      <c r="NTK59" s="557"/>
      <c r="NTL59" s="557"/>
      <c r="NTM59" s="557"/>
      <c r="NTN59" s="557"/>
      <c r="NTO59" s="661"/>
      <c r="NTP59" s="556"/>
      <c r="NTQ59" s="557"/>
      <c r="NTR59" s="557"/>
      <c r="NTS59" s="557"/>
      <c r="NTT59" s="557"/>
      <c r="NTU59" s="557"/>
      <c r="NTV59" s="557"/>
      <c r="NTW59" s="557"/>
      <c r="NTX59" s="557"/>
      <c r="NTY59" s="557"/>
      <c r="NTZ59" s="557"/>
      <c r="NUA59" s="557"/>
      <c r="NUB59" s="557"/>
      <c r="NUC59" s="557"/>
      <c r="NUD59" s="557"/>
      <c r="NUE59" s="557"/>
      <c r="NUF59" s="557"/>
      <c r="NUG59" s="557"/>
      <c r="NUH59" s="557"/>
      <c r="NUI59" s="661"/>
      <c r="NUJ59" s="556"/>
      <c r="NUK59" s="557"/>
      <c r="NUL59" s="557"/>
      <c r="NUM59" s="557"/>
      <c r="NUN59" s="557"/>
      <c r="NUO59" s="557"/>
      <c r="NUP59" s="557"/>
      <c r="NUQ59" s="557"/>
      <c r="NUR59" s="557"/>
      <c r="NUS59" s="557"/>
      <c r="NUT59" s="557"/>
      <c r="NUU59" s="557"/>
      <c r="NUV59" s="557"/>
      <c r="NUW59" s="557"/>
      <c r="NUX59" s="557"/>
      <c r="NUY59" s="557"/>
      <c r="NUZ59" s="557"/>
      <c r="NVA59" s="557"/>
      <c r="NVB59" s="557"/>
      <c r="NVC59" s="661"/>
      <c r="NVD59" s="556"/>
      <c r="NVE59" s="557"/>
      <c r="NVF59" s="557"/>
      <c r="NVG59" s="557"/>
      <c r="NVH59" s="557"/>
      <c r="NVI59" s="557"/>
      <c r="NVJ59" s="557"/>
      <c r="NVK59" s="557"/>
      <c r="NVL59" s="557"/>
      <c r="NVM59" s="557"/>
      <c r="NVN59" s="557"/>
      <c r="NVO59" s="557"/>
      <c r="NVP59" s="557"/>
      <c r="NVQ59" s="557"/>
      <c r="NVR59" s="557"/>
      <c r="NVS59" s="557"/>
      <c r="NVT59" s="557"/>
      <c r="NVU59" s="557"/>
      <c r="NVV59" s="557"/>
      <c r="NVW59" s="661"/>
      <c r="NVX59" s="556"/>
      <c r="NVY59" s="557"/>
      <c r="NVZ59" s="557"/>
      <c r="NWA59" s="557"/>
      <c r="NWB59" s="557"/>
      <c r="NWC59" s="557"/>
      <c r="NWD59" s="557"/>
      <c r="NWE59" s="557"/>
      <c r="NWF59" s="557"/>
      <c r="NWG59" s="557"/>
      <c r="NWH59" s="557"/>
      <c r="NWI59" s="557"/>
      <c r="NWJ59" s="557"/>
      <c r="NWK59" s="557"/>
      <c r="NWL59" s="557"/>
      <c r="NWM59" s="557"/>
      <c r="NWN59" s="557"/>
      <c r="NWO59" s="557"/>
      <c r="NWP59" s="557"/>
      <c r="NWQ59" s="661"/>
      <c r="NWR59" s="556"/>
      <c r="NWS59" s="557"/>
      <c r="NWT59" s="557"/>
      <c r="NWU59" s="557"/>
      <c r="NWV59" s="557"/>
      <c r="NWW59" s="557"/>
      <c r="NWX59" s="557"/>
      <c r="NWY59" s="557"/>
      <c r="NWZ59" s="557"/>
      <c r="NXA59" s="557"/>
      <c r="NXB59" s="557"/>
      <c r="NXC59" s="557"/>
      <c r="NXD59" s="557"/>
      <c r="NXE59" s="557"/>
      <c r="NXF59" s="557"/>
      <c r="NXG59" s="557"/>
      <c r="NXH59" s="557"/>
      <c r="NXI59" s="557"/>
      <c r="NXJ59" s="557"/>
      <c r="NXK59" s="661"/>
      <c r="NXL59" s="556"/>
      <c r="NXM59" s="557"/>
      <c r="NXN59" s="557"/>
      <c r="NXO59" s="557"/>
      <c r="NXP59" s="557"/>
      <c r="NXQ59" s="557"/>
      <c r="NXR59" s="557"/>
      <c r="NXS59" s="557"/>
      <c r="NXT59" s="557"/>
      <c r="NXU59" s="557"/>
      <c r="NXV59" s="557"/>
      <c r="NXW59" s="557"/>
      <c r="NXX59" s="557"/>
      <c r="NXY59" s="557"/>
      <c r="NXZ59" s="557"/>
      <c r="NYA59" s="557"/>
      <c r="NYB59" s="557"/>
      <c r="NYC59" s="557"/>
      <c r="NYD59" s="557"/>
      <c r="NYE59" s="661"/>
      <c r="NYF59" s="556"/>
      <c r="NYG59" s="557"/>
      <c r="NYH59" s="557"/>
      <c r="NYI59" s="557"/>
      <c r="NYJ59" s="557"/>
      <c r="NYK59" s="557"/>
      <c r="NYL59" s="557"/>
      <c r="NYM59" s="557"/>
      <c r="NYN59" s="557"/>
      <c r="NYO59" s="557"/>
      <c r="NYP59" s="557"/>
      <c r="NYQ59" s="557"/>
      <c r="NYR59" s="557"/>
      <c r="NYS59" s="557"/>
      <c r="NYT59" s="557"/>
      <c r="NYU59" s="557"/>
      <c r="NYV59" s="557"/>
      <c r="NYW59" s="557"/>
      <c r="NYX59" s="557"/>
      <c r="NYY59" s="661"/>
      <c r="NYZ59" s="556"/>
      <c r="NZA59" s="557"/>
      <c r="NZB59" s="557"/>
      <c r="NZC59" s="557"/>
      <c r="NZD59" s="557"/>
      <c r="NZE59" s="557"/>
      <c r="NZF59" s="557"/>
      <c r="NZG59" s="557"/>
      <c r="NZH59" s="557"/>
      <c r="NZI59" s="557"/>
      <c r="NZJ59" s="557"/>
      <c r="NZK59" s="557"/>
      <c r="NZL59" s="557"/>
      <c r="NZM59" s="557"/>
      <c r="NZN59" s="557"/>
      <c r="NZO59" s="557"/>
      <c r="NZP59" s="557"/>
      <c r="NZQ59" s="557"/>
      <c r="NZR59" s="557"/>
      <c r="NZS59" s="661"/>
      <c r="NZT59" s="556"/>
      <c r="NZU59" s="557"/>
      <c r="NZV59" s="557"/>
      <c r="NZW59" s="557"/>
      <c r="NZX59" s="557"/>
      <c r="NZY59" s="557"/>
      <c r="NZZ59" s="557"/>
      <c r="OAA59" s="557"/>
      <c r="OAB59" s="557"/>
      <c r="OAC59" s="557"/>
      <c r="OAD59" s="557"/>
      <c r="OAE59" s="557"/>
      <c r="OAF59" s="557"/>
      <c r="OAG59" s="557"/>
      <c r="OAH59" s="557"/>
      <c r="OAI59" s="557"/>
      <c r="OAJ59" s="557"/>
      <c r="OAK59" s="557"/>
      <c r="OAL59" s="557"/>
      <c r="OAM59" s="661"/>
      <c r="OAN59" s="556"/>
      <c r="OAO59" s="557"/>
      <c r="OAP59" s="557"/>
      <c r="OAQ59" s="557"/>
      <c r="OAR59" s="557"/>
      <c r="OAS59" s="557"/>
      <c r="OAT59" s="557"/>
      <c r="OAU59" s="557"/>
      <c r="OAV59" s="557"/>
      <c r="OAW59" s="557"/>
      <c r="OAX59" s="557"/>
      <c r="OAY59" s="557"/>
      <c r="OAZ59" s="557"/>
      <c r="OBA59" s="557"/>
      <c r="OBB59" s="557"/>
      <c r="OBC59" s="557"/>
      <c r="OBD59" s="557"/>
      <c r="OBE59" s="557"/>
      <c r="OBF59" s="557"/>
      <c r="OBG59" s="661"/>
      <c r="OBH59" s="556"/>
      <c r="OBI59" s="557"/>
      <c r="OBJ59" s="557"/>
      <c r="OBK59" s="557"/>
      <c r="OBL59" s="557"/>
      <c r="OBM59" s="557"/>
      <c r="OBN59" s="557"/>
      <c r="OBO59" s="557"/>
      <c r="OBP59" s="557"/>
      <c r="OBQ59" s="557"/>
      <c r="OBR59" s="557"/>
      <c r="OBS59" s="557"/>
      <c r="OBT59" s="557"/>
      <c r="OBU59" s="557"/>
      <c r="OBV59" s="557"/>
      <c r="OBW59" s="557"/>
      <c r="OBX59" s="557"/>
      <c r="OBY59" s="557"/>
      <c r="OBZ59" s="557"/>
      <c r="OCA59" s="661"/>
      <c r="OCB59" s="556"/>
      <c r="OCC59" s="557"/>
      <c r="OCD59" s="557"/>
      <c r="OCE59" s="557"/>
      <c r="OCF59" s="557"/>
      <c r="OCG59" s="557"/>
      <c r="OCH59" s="557"/>
      <c r="OCI59" s="557"/>
      <c r="OCJ59" s="557"/>
      <c r="OCK59" s="557"/>
      <c r="OCL59" s="557"/>
      <c r="OCM59" s="557"/>
      <c r="OCN59" s="557"/>
      <c r="OCO59" s="557"/>
      <c r="OCP59" s="557"/>
      <c r="OCQ59" s="557"/>
      <c r="OCR59" s="557"/>
      <c r="OCS59" s="557"/>
      <c r="OCT59" s="557"/>
      <c r="OCU59" s="661"/>
      <c r="OCV59" s="556"/>
      <c r="OCW59" s="557"/>
      <c r="OCX59" s="557"/>
      <c r="OCY59" s="557"/>
      <c r="OCZ59" s="557"/>
      <c r="ODA59" s="557"/>
      <c r="ODB59" s="557"/>
      <c r="ODC59" s="557"/>
      <c r="ODD59" s="557"/>
      <c r="ODE59" s="557"/>
      <c r="ODF59" s="557"/>
      <c r="ODG59" s="557"/>
      <c r="ODH59" s="557"/>
      <c r="ODI59" s="557"/>
      <c r="ODJ59" s="557"/>
      <c r="ODK59" s="557"/>
      <c r="ODL59" s="557"/>
      <c r="ODM59" s="557"/>
      <c r="ODN59" s="557"/>
      <c r="ODO59" s="661"/>
      <c r="ODP59" s="556"/>
      <c r="ODQ59" s="557"/>
      <c r="ODR59" s="557"/>
      <c r="ODS59" s="557"/>
      <c r="ODT59" s="557"/>
      <c r="ODU59" s="557"/>
      <c r="ODV59" s="557"/>
      <c r="ODW59" s="557"/>
      <c r="ODX59" s="557"/>
      <c r="ODY59" s="557"/>
      <c r="ODZ59" s="557"/>
      <c r="OEA59" s="557"/>
      <c r="OEB59" s="557"/>
      <c r="OEC59" s="557"/>
      <c r="OED59" s="557"/>
      <c r="OEE59" s="557"/>
      <c r="OEF59" s="557"/>
      <c r="OEG59" s="557"/>
      <c r="OEH59" s="557"/>
      <c r="OEI59" s="661"/>
      <c r="OEJ59" s="556"/>
      <c r="OEK59" s="557"/>
      <c r="OEL59" s="557"/>
      <c r="OEM59" s="557"/>
      <c r="OEN59" s="557"/>
      <c r="OEO59" s="557"/>
      <c r="OEP59" s="557"/>
      <c r="OEQ59" s="557"/>
      <c r="OER59" s="557"/>
      <c r="OES59" s="557"/>
      <c r="OET59" s="557"/>
      <c r="OEU59" s="557"/>
      <c r="OEV59" s="557"/>
      <c r="OEW59" s="557"/>
      <c r="OEX59" s="557"/>
      <c r="OEY59" s="557"/>
      <c r="OEZ59" s="557"/>
      <c r="OFA59" s="557"/>
      <c r="OFB59" s="557"/>
      <c r="OFC59" s="661"/>
      <c r="OFD59" s="556"/>
      <c r="OFE59" s="557"/>
      <c r="OFF59" s="557"/>
      <c r="OFG59" s="557"/>
      <c r="OFH59" s="557"/>
      <c r="OFI59" s="557"/>
      <c r="OFJ59" s="557"/>
      <c r="OFK59" s="557"/>
      <c r="OFL59" s="557"/>
      <c r="OFM59" s="557"/>
      <c r="OFN59" s="557"/>
      <c r="OFO59" s="557"/>
      <c r="OFP59" s="557"/>
      <c r="OFQ59" s="557"/>
      <c r="OFR59" s="557"/>
      <c r="OFS59" s="557"/>
      <c r="OFT59" s="557"/>
      <c r="OFU59" s="557"/>
      <c r="OFV59" s="557"/>
      <c r="OFW59" s="661"/>
      <c r="OFX59" s="556"/>
      <c r="OFY59" s="557"/>
      <c r="OFZ59" s="557"/>
      <c r="OGA59" s="557"/>
      <c r="OGB59" s="557"/>
      <c r="OGC59" s="557"/>
      <c r="OGD59" s="557"/>
      <c r="OGE59" s="557"/>
      <c r="OGF59" s="557"/>
      <c r="OGG59" s="557"/>
      <c r="OGH59" s="557"/>
      <c r="OGI59" s="557"/>
      <c r="OGJ59" s="557"/>
      <c r="OGK59" s="557"/>
      <c r="OGL59" s="557"/>
      <c r="OGM59" s="557"/>
      <c r="OGN59" s="557"/>
      <c r="OGO59" s="557"/>
      <c r="OGP59" s="557"/>
      <c r="OGQ59" s="661"/>
      <c r="OGR59" s="556"/>
      <c r="OGS59" s="557"/>
      <c r="OGT59" s="557"/>
      <c r="OGU59" s="557"/>
      <c r="OGV59" s="557"/>
      <c r="OGW59" s="557"/>
      <c r="OGX59" s="557"/>
      <c r="OGY59" s="557"/>
      <c r="OGZ59" s="557"/>
      <c r="OHA59" s="557"/>
      <c r="OHB59" s="557"/>
      <c r="OHC59" s="557"/>
      <c r="OHD59" s="557"/>
      <c r="OHE59" s="557"/>
      <c r="OHF59" s="557"/>
      <c r="OHG59" s="557"/>
      <c r="OHH59" s="557"/>
      <c r="OHI59" s="557"/>
      <c r="OHJ59" s="557"/>
      <c r="OHK59" s="661"/>
      <c r="OHL59" s="556"/>
      <c r="OHM59" s="557"/>
      <c r="OHN59" s="557"/>
      <c r="OHO59" s="557"/>
      <c r="OHP59" s="557"/>
      <c r="OHQ59" s="557"/>
      <c r="OHR59" s="557"/>
      <c r="OHS59" s="557"/>
      <c r="OHT59" s="557"/>
      <c r="OHU59" s="557"/>
      <c r="OHV59" s="557"/>
      <c r="OHW59" s="557"/>
      <c r="OHX59" s="557"/>
      <c r="OHY59" s="557"/>
      <c r="OHZ59" s="557"/>
      <c r="OIA59" s="557"/>
      <c r="OIB59" s="557"/>
      <c r="OIC59" s="557"/>
      <c r="OID59" s="557"/>
      <c r="OIE59" s="661"/>
      <c r="OIF59" s="556"/>
      <c r="OIG59" s="557"/>
      <c r="OIH59" s="557"/>
      <c r="OII59" s="557"/>
      <c r="OIJ59" s="557"/>
      <c r="OIK59" s="557"/>
      <c r="OIL59" s="557"/>
      <c r="OIM59" s="557"/>
      <c r="OIN59" s="557"/>
      <c r="OIO59" s="557"/>
      <c r="OIP59" s="557"/>
      <c r="OIQ59" s="557"/>
      <c r="OIR59" s="557"/>
      <c r="OIS59" s="557"/>
      <c r="OIT59" s="557"/>
      <c r="OIU59" s="557"/>
      <c r="OIV59" s="557"/>
      <c r="OIW59" s="557"/>
      <c r="OIX59" s="557"/>
      <c r="OIY59" s="661"/>
      <c r="OIZ59" s="556"/>
      <c r="OJA59" s="557"/>
      <c r="OJB59" s="557"/>
      <c r="OJC59" s="557"/>
      <c r="OJD59" s="557"/>
      <c r="OJE59" s="557"/>
      <c r="OJF59" s="557"/>
      <c r="OJG59" s="557"/>
      <c r="OJH59" s="557"/>
      <c r="OJI59" s="557"/>
      <c r="OJJ59" s="557"/>
      <c r="OJK59" s="557"/>
      <c r="OJL59" s="557"/>
      <c r="OJM59" s="557"/>
      <c r="OJN59" s="557"/>
      <c r="OJO59" s="557"/>
      <c r="OJP59" s="557"/>
      <c r="OJQ59" s="557"/>
      <c r="OJR59" s="557"/>
      <c r="OJS59" s="661"/>
      <c r="OJT59" s="556"/>
      <c r="OJU59" s="557"/>
      <c r="OJV59" s="557"/>
      <c r="OJW59" s="557"/>
      <c r="OJX59" s="557"/>
      <c r="OJY59" s="557"/>
      <c r="OJZ59" s="557"/>
      <c r="OKA59" s="557"/>
      <c r="OKB59" s="557"/>
      <c r="OKC59" s="557"/>
      <c r="OKD59" s="557"/>
      <c r="OKE59" s="557"/>
      <c r="OKF59" s="557"/>
      <c r="OKG59" s="557"/>
      <c r="OKH59" s="557"/>
      <c r="OKI59" s="557"/>
      <c r="OKJ59" s="557"/>
      <c r="OKK59" s="557"/>
      <c r="OKL59" s="557"/>
      <c r="OKM59" s="661"/>
      <c r="OKN59" s="556"/>
      <c r="OKO59" s="557"/>
      <c r="OKP59" s="557"/>
      <c r="OKQ59" s="557"/>
      <c r="OKR59" s="557"/>
      <c r="OKS59" s="557"/>
      <c r="OKT59" s="557"/>
      <c r="OKU59" s="557"/>
      <c r="OKV59" s="557"/>
      <c r="OKW59" s="557"/>
      <c r="OKX59" s="557"/>
      <c r="OKY59" s="557"/>
      <c r="OKZ59" s="557"/>
      <c r="OLA59" s="557"/>
      <c r="OLB59" s="557"/>
      <c r="OLC59" s="557"/>
      <c r="OLD59" s="557"/>
      <c r="OLE59" s="557"/>
      <c r="OLF59" s="557"/>
      <c r="OLG59" s="661"/>
      <c r="OLH59" s="556"/>
      <c r="OLI59" s="557"/>
      <c r="OLJ59" s="557"/>
      <c r="OLK59" s="557"/>
      <c r="OLL59" s="557"/>
      <c r="OLM59" s="557"/>
      <c r="OLN59" s="557"/>
      <c r="OLO59" s="557"/>
      <c r="OLP59" s="557"/>
      <c r="OLQ59" s="557"/>
      <c r="OLR59" s="557"/>
      <c r="OLS59" s="557"/>
      <c r="OLT59" s="557"/>
      <c r="OLU59" s="557"/>
      <c r="OLV59" s="557"/>
      <c r="OLW59" s="557"/>
      <c r="OLX59" s="557"/>
      <c r="OLY59" s="557"/>
      <c r="OLZ59" s="557"/>
      <c r="OMA59" s="661"/>
      <c r="OMB59" s="556"/>
      <c r="OMC59" s="557"/>
      <c r="OMD59" s="557"/>
      <c r="OME59" s="557"/>
      <c r="OMF59" s="557"/>
      <c r="OMG59" s="557"/>
      <c r="OMH59" s="557"/>
      <c r="OMI59" s="557"/>
      <c r="OMJ59" s="557"/>
      <c r="OMK59" s="557"/>
      <c r="OML59" s="557"/>
      <c r="OMM59" s="557"/>
      <c r="OMN59" s="557"/>
      <c r="OMO59" s="557"/>
      <c r="OMP59" s="557"/>
      <c r="OMQ59" s="557"/>
      <c r="OMR59" s="557"/>
      <c r="OMS59" s="557"/>
      <c r="OMT59" s="557"/>
      <c r="OMU59" s="661"/>
      <c r="OMV59" s="556"/>
      <c r="OMW59" s="557"/>
      <c r="OMX59" s="557"/>
      <c r="OMY59" s="557"/>
      <c r="OMZ59" s="557"/>
      <c r="ONA59" s="557"/>
      <c r="ONB59" s="557"/>
      <c r="ONC59" s="557"/>
      <c r="OND59" s="557"/>
      <c r="ONE59" s="557"/>
      <c r="ONF59" s="557"/>
      <c r="ONG59" s="557"/>
      <c r="ONH59" s="557"/>
      <c r="ONI59" s="557"/>
      <c r="ONJ59" s="557"/>
      <c r="ONK59" s="557"/>
      <c r="ONL59" s="557"/>
      <c r="ONM59" s="557"/>
      <c r="ONN59" s="557"/>
      <c r="ONO59" s="661"/>
      <c r="ONP59" s="556"/>
      <c r="ONQ59" s="557"/>
      <c r="ONR59" s="557"/>
      <c r="ONS59" s="557"/>
      <c r="ONT59" s="557"/>
      <c r="ONU59" s="557"/>
      <c r="ONV59" s="557"/>
      <c r="ONW59" s="557"/>
      <c r="ONX59" s="557"/>
      <c r="ONY59" s="557"/>
      <c r="ONZ59" s="557"/>
      <c r="OOA59" s="557"/>
      <c r="OOB59" s="557"/>
      <c r="OOC59" s="557"/>
      <c r="OOD59" s="557"/>
      <c r="OOE59" s="557"/>
      <c r="OOF59" s="557"/>
      <c r="OOG59" s="557"/>
      <c r="OOH59" s="557"/>
      <c r="OOI59" s="661"/>
      <c r="OOJ59" s="556"/>
      <c r="OOK59" s="557"/>
      <c r="OOL59" s="557"/>
      <c r="OOM59" s="557"/>
      <c r="OON59" s="557"/>
      <c r="OOO59" s="557"/>
      <c r="OOP59" s="557"/>
      <c r="OOQ59" s="557"/>
      <c r="OOR59" s="557"/>
      <c r="OOS59" s="557"/>
      <c r="OOT59" s="557"/>
      <c r="OOU59" s="557"/>
      <c r="OOV59" s="557"/>
      <c r="OOW59" s="557"/>
      <c r="OOX59" s="557"/>
      <c r="OOY59" s="557"/>
      <c r="OOZ59" s="557"/>
      <c r="OPA59" s="557"/>
      <c r="OPB59" s="557"/>
      <c r="OPC59" s="661"/>
      <c r="OPD59" s="556"/>
      <c r="OPE59" s="557"/>
      <c r="OPF59" s="557"/>
      <c r="OPG59" s="557"/>
      <c r="OPH59" s="557"/>
      <c r="OPI59" s="557"/>
      <c r="OPJ59" s="557"/>
      <c r="OPK59" s="557"/>
      <c r="OPL59" s="557"/>
      <c r="OPM59" s="557"/>
      <c r="OPN59" s="557"/>
      <c r="OPO59" s="557"/>
      <c r="OPP59" s="557"/>
      <c r="OPQ59" s="557"/>
      <c r="OPR59" s="557"/>
      <c r="OPS59" s="557"/>
      <c r="OPT59" s="557"/>
      <c r="OPU59" s="557"/>
      <c r="OPV59" s="557"/>
      <c r="OPW59" s="661"/>
      <c r="OPX59" s="556"/>
      <c r="OPY59" s="557"/>
      <c r="OPZ59" s="557"/>
      <c r="OQA59" s="557"/>
      <c r="OQB59" s="557"/>
      <c r="OQC59" s="557"/>
      <c r="OQD59" s="557"/>
      <c r="OQE59" s="557"/>
      <c r="OQF59" s="557"/>
      <c r="OQG59" s="557"/>
      <c r="OQH59" s="557"/>
      <c r="OQI59" s="557"/>
      <c r="OQJ59" s="557"/>
      <c r="OQK59" s="557"/>
      <c r="OQL59" s="557"/>
      <c r="OQM59" s="557"/>
      <c r="OQN59" s="557"/>
      <c r="OQO59" s="557"/>
      <c r="OQP59" s="557"/>
      <c r="OQQ59" s="661"/>
      <c r="OQR59" s="556"/>
      <c r="OQS59" s="557"/>
      <c r="OQT59" s="557"/>
      <c r="OQU59" s="557"/>
      <c r="OQV59" s="557"/>
      <c r="OQW59" s="557"/>
      <c r="OQX59" s="557"/>
      <c r="OQY59" s="557"/>
      <c r="OQZ59" s="557"/>
      <c r="ORA59" s="557"/>
      <c r="ORB59" s="557"/>
      <c r="ORC59" s="557"/>
      <c r="ORD59" s="557"/>
      <c r="ORE59" s="557"/>
      <c r="ORF59" s="557"/>
      <c r="ORG59" s="557"/>
      <c r="ORH59" s="557"/>
      <c r="ORI59" s="557"/>
      <c r="ORJ59" s="557"/>
      <c r="ORK59" s="661"/>
      <c r="ORL59" s="556"/>
      <c r="ORM59" s="557"/>
      <c r="ORN59" s="557"/>
      <c r="ORO59" s="557"/>
      <c r="ORP59" s="557"/>
      <c r="ORQ59" s="557"/>
      <c r="ORR59" s="557"/>
      <c r="ORS59" s="557"/>
      <c r="ORT59" s="557"/>
      <c r="ORU59" s="557"/>
      <c r="ORV59" s="557"/>
      <c r="ORW59" s="557"/>
      <c r="ORX59" s="557"/>
      <c r="ORY59" s="557"/>
      <c r="ORZ59" s="557"/>
      <c r="OSA59" s="557"/>
      <c r="OSB59" s="557"/>
      <c r="OSC59" s="557"/>
      <c r="OSD59" s="557"/>
      <c r="OSE59" s="661"/>
      <c r="OSF59" s="556"/>
      <c r="OSG59" s="557"/>
      <c r="OSH59" s="557"/>
      <c r="OSI59" s="557"/>
      <c r="OSJ59" s="557"/>
      <c r="OSK59" s="557"/>
      <c r="OSL59" s="557"/>
      <c r="OSM59" s="557"/>
      <c r="OSN59" s="557"/>
      <c r="OSO59" s="557"/>
      <c r="OSP59" s="557"/>
      <c r="OSQ59" s="557"/>
      <c r="OSR59" s="557"/>
      <c r="OSS59" s="557"/>
      <c r="OST59" s="557"/>
      <c r="OSU59" s="557"/>
      <c r="OSV59" s="557"/>
      <c r="OSW59" s="557"/>
      <c r="OSX59" s="557"/>
      <c r="OSY59" s="661"/>
      <c r="OSZ59" s="556"/>
      <c r="OTA59" s="557"/>
      <c r="OTB59" s="557"/>
      <c r="OTC59" s="557"/>
      <c r="OTD59" s="557"/>
      <c r="OTE59" s="557"/>
      <c r="OTF59" s="557"/>
      <c r="OTG59" s="557"/>
      <c r="OTH59" s="557"/>
      <c r="OTI59" s="557"/>
      <c r="OTJ59" s="557"/>
      <c r="OTK59" s="557"/>
      <c r="OTL59" s="557"/>
      <c r="OTM59" s="557"/>
      <c r="OTN59" s="557"/>
      <c r="OTO59" s="557"/>
      <c r="OTP59" s="557"/>
      <c r="OTQ59" s="557"/>
      <c r="OTR59" s="557"/>
      <c r="OTS59" s="661"/>
      <c r="OTT59" s="556"/>
      <c r="OTU59" s="557"/>
      <c r="OTV59" s="557"/>
      <c r="OTW59" s="557"/>
      <c r="OTX59" s="557"/>
      <c r="OTY59" s="557"/>
      <c r="OTZ59" s="557"/>
      <c r="OUA59" s="557"/>
      <c r="OUB59" s="557"/>
      <c r="OUC59" s="557"/>
      <c r="OUD59" s="557"/>
      <c r="OUE59" s="557"/>
      <c r="OUF59" s="557"/>
      <c r="OUG59" s="557"/>
      <c r="OUH59" s="557"/>
      <c r="OUI59" s="557"/>
      <c r="OUJ59" s="557"/>
      <c r="OUK59" s="557"/>
      <c r="OUL59" s="557"/>
      <c r="OUM59" s="661"/>
      <c r="OUN59" s="556"/>
      <c r="OUO59" s="557"/>
      <c r="OUP59" s="557"/>
      <c r="OUQ59" s="557"/>
      <c r="OUR59" s="557"/>
      <c r="OUS59" s="557"/>
      <c r="OUT59" s="557"/>
      <c r="OUU59" s="557"/>
      <c r="OUV59" s="557"/>
      <c r="OUW59" s="557"/>
      <c r="OUX59" s="557"/>
      <c r="OUY59" s="557"/>
      <c r="OUZ59" s="557"/>
      <c r="OVA59" s="557"/>
      <c r="OVB59" s="557"/>
      <c r="OVC59" s="557"/>
      <c r="OVD59" s="557"/>
      <c r="OVE59" s="557"/>
      <c r="OVF59" s="557"/>
      <c r="OVG59" s="661"/>
      <c r="OVH59" s="556"/>
      <c r="OVI59" s="557"/>
      <c r="OVJ59" s="557"/>
      <c r="OVK59" s="557"/>
      <c r="OVL59" s="557"/>
      <c r="OVM59" s="557"/>
      <c r="OVN59" s="557"/>
      <c r="OVO59" s="557"/>
      <c r="OVP59" s="557"/>
      <c r="OVQ59" s="557"/>
      <c r="OVR59" s="557"/>
      <c r="OVS59" s="557"/>
      <c r="OVT59" s="557"/>
      <c r="OVU59" s="557"/>
      <c r="OVV59" s="557"/>
      <c r="OVW59" s="557"/>
      <c r="OVX59" s="557"/>
      <c r="OVY59" s="557"/>
      <c r="OVZ59" s="557"/>
      <c r="OWA59" s="661"/>
      <c r="OWB59" s="556"/>
      <c r="OWC59" s="557"/>
      <c r="OWD59" s="557"/>
      <c r="OWE59" s="557"/>
      <c r="OWF59" s="557"/>
      <c r="OWG59" s="557"/>
      <c r="OWH59" s="557"/>
      <c r="OWI59" s="557"/>
      <c r="OWJ59" s="557"/>
      <c r="OWK59" s="557"/>
      <c r="OWL59" s="557"/>
      <c r="OWM59" s="557"/>
      <c r="OWN59" s="557"/>
      <c r="OWO59" s="557"/>
      <c r="OWP59" s="557"/>
      <c r="OWQ59" s="557"/>
      <c r="OWR59" s="557"/>
      <c r="OWS59" s="557"/>
      <c r="OWT59" s="557"/>
      <c r="OWU59" s="661"/>
      <c r="OWV59" s="556"/>
      <c r="OWW59" s="557"/>
      <c r="OWX59" s="557"/>
      <c r="OWY59" s="557"/>
      <c r="OWZ59" s="557"/>
      <c r="OXA59" s="557"/>
      <c r="OXB59" s="557"/>
      <c r="OXC59" s="557"/>
      <c r="OXD59" s="557"/>
      <c r="OXE59" s="557"/>
      <c r="OXF59" s="557"/>
      <c r="OXG59" s="557"/>
      <c r="OXH59" s="557"/>
      <c r="OXI59" s="557"/>
      <c r="OXJ59" s="557"/>
      <c r="OXK59" s="557"/>
      <c r="OXL59" s="557"/>
      <c r="OXM59" s="557"/>
      <c r="OXN59" s="557"/>
      <c r="OXO59" s="661"/>
      <c r="OXP59" s="556"/>
      <c r="OXQ59" s="557"/>
      <c r="OXR59" s="557"/>
      <c r="OXS59" s="557"/>
      <c r="OXT59" s="557"/>
      <c r="OXU59" s="557"/>
      <c r="OXV59" s="557"/>
      <c r="OXW59" s="557"/>
      <c r="OXX59" s="557"/>
      <c r="OXY59" s="557"/>
      <c r="OXZ59" s="557"/>
      <c r="OYA59" s="557"/>
      <c r="OYB59" s="557"/>
      <c r="OYC59" s="557"/>
      <c r="OYD59" s="557"/>
      <c r="OYE59" s="557"/>
      <c r="OYF59" s="557"/>
      <c r="OYG59" s="557"/>
      <c r="OYH59" s="557"/>
      <c r="OYI59" s="661"/>
      <c r="OYJ59" s="556"/>
      <c r="OYK59" s="557"/>
      <c r="OYL59" s="557"/>
      <c r="OYM59" s="557"/>
      <c r="OYN59" s="557"/>
      <c r="OYO59" s="557"/>
      <c r="OYP59" s="557"/>
      <c r="OYQ59" s="557"/>
      <c r="OYR59" s="557"/>
      <c r="OYS59" s="557"/>
      <c r="OYT59" s="557"/>
      <c r="OYU59" s="557"/>
      <c r="OYV59" s="557"/>
      <c r="OYW59" s="557"/>
      <c r="OYX59" s="557"/>
      <c r="OYY59" s="557"/>
      <c r="OYZ59" s="557"/>
      <c r="OZA59" s="557"/>
      <c r="OZB59" s="557"/>
      <c r="OZC59" s="661"/>
      <c r="OZD59" s="556"/>
      <c r="OZE59" s="557"/>
      <c r="OZF59" s="557"/>
      <c r="OZG59" s="557"/>
      <c r="OZH59" s="557"/>
      <c r="OZI59" s="557"/>
      <c r="OZJ59" s="557"/>
      <c r="OZK59" s="557"/>
      <c r="OZL59" s="557"/>
      <c r="OZM59" s="557"/>
      <c r="OZN59" s="557"/>
      <c r="OZO59" s="557"/>
      <c r="OZP59" s="557"/>
      <c r="OZQ59" s="557"/>
      <c r="OZR59" s="557"/>
      <c r="OZS59" s="557"/>
      <c r="OZT59" s="557"/>
      <c r="OZU59" s="557"/>
      <c r="OZV59" s="557"/>
      <c r="OZW59" s="661"/>
      <c r="OZX59" s="556"/>
      <c r="OZY59" s="557"/>
      <c r="OZZ59" s="557"/>
      <c r="PAA59" s="557"/>
      <c r="PAB59" s="557"/>
      <c r="PAC59" s="557"/>
      <c r="PAD59" s="557"/>
      <c r="PAE59" s="557"/>
      <c r="PAF59" s="557"/>
      <c r="PAG59" s="557"/>
      <c r="PAH59" s="557"/>
      <c r="PAI59" s="557"/>
      <c r="PAJ59" s="557"/>
      <c r="PAK59" s="557"/>
      <c r="PAL59" s="557"/>
      <c r="PAM59" s="557"/>
      <c r="PAN59" s="557"/>
      <c r="PAO59" s="557"/>
      <c r="PAP59" s="557"/>
      <c r="PAQ59" s="661"/>
      <c r="PAR59" s="556"/>
      <c r="PAS59" s="557"/>
      <c r="PAT59" s="557"/>
      <c r="PAU59" s="557"/>
      <c r="PAV59" s="557"/>
      <c r="PAW59" s="557"/>
      <c r="PAX59" s="557"/>
      <c r="PAY59" s="557"/>
      <c r="PAZ59" s="557"/>
      <c r="PBA59" s="557"/>
      <c r="PBB59" s="557"/>
      <c r="PBC59" s="557"/>
      <c r="PBD59" s="557"/>
      <c r="PBE59" s="557"/>
      <c r="PBF59" s="557"/>
      <c r="PBG59" s="557"/>
      <c r="PBH59" s="557"/>
      <c r="PBI59" s="557"/>
      <c r="PBJ59" s="557"/>
      <c r="PBK59" s="661"/>
      <c r="PBL59" s="556"/>
      <c r="PBM59" s="557"/>
      <c r="PBN59" s="557"/>
      <c r="PBO59" s="557"/>
      <c r="PBP59" s="557"/>
      <c r="PBQ59" s="557"/>
      <c r="PBR59" s="557"/>
      <c r="PBS59" s="557"/>
      <c r="PBT59" s="557"/>
      <c r="PBU59" s="557"/>
      <c r="PBV59" s="557"/>
      <c r="PBW59" s="557"/>
      <c r="PBX59" s="557"/>
      <c r="PBY59" s="557"/>
      <c r="PBZ59" s="557"/>
      <c r="PCA59" s="557"/>
      <c r="PCB59" s="557"/>
      <c r="PCC59" s="557"/>
      <c r="PCD59" s="557"/>
      <c r="PCE59" s="661"/>
      <c r="PCF59" s="556"/>
      <c r="PCG59" s="557"/>
      <c r="PCH59" s="557"/>
      <c r="PCI59" s="557"/>
      <c r="PCJ59" s="557"/>
      <c r="PCK59" s="557"/>
      <c r="PCL59" s="557"/>
      <c r="PCM59" s="557"/>
      <c r="PCN59" s="557"/>
      <c r="PCO59" s="557"/>
      <c r="PCP59" s="557"/>
      <c r="PCQ59" s="557"/>
      <c r="PCR59" s="557"/>
      <c r="PCS59" s="557"/>
      <c r="PCT59" s="557"/>
      <c r="PCU59" s="557"/>
      <c r="PCV59" s="557"/>
      <c r="PCW59" s="557"/>
      <c r="PCX59" s="557"/>
      <c r="PCY59" s="661"/>
      <c r="PCZ59" s="556"/>
      <c r="PDA59" s="557"/>
      <c r="PDB59" s="557"/>
      <c r="PDC59" s="557"/>
      <c r="PDD59" s="557"/>
      <c r="PDE59" s="557"/>
      <c r="PDF59" s="557"/>
      <c r="PDG59" s="557"/>
      <c r="PDH59" s="557"/>
      <c r="PDI59" s="557"/>
      <c r="PDJ59" s="557"/>
      <c r="PDK59" s="557"/>
      <c r="PDL59" s="557"/>
      <c r="PDM59" s="557"/>
      <c r="PDN59" s="557"/>
      <c r="PDO59" s="557"/>
      <c r="PDP59" s="557"/>
      <c r="PDQ59" s="557"/>
      <c r="PDR59" s="557"/>
      <c r="PDS59" s="661"/>
      <c r="PDT59" s="556"/>
      <c r="PDU59" s="557"/>
      <c r="PDV59" s="557"/>
      <c r="PDW59" s="557"/>
      <c r="PDX59" s="557"/>
      <c r="PDY59" s="557"/>
      <c r="PDZ59" s="557"/>
      <c r="PEA59" s="557"/>
      <c r="PEB59" s="557"/>
      <c r="PEC59" s="557"/>
      <c r="PED59" s="557"/>
      <c r="PEE59" s="557"/>
      <c r="PEF59" s="557"/>
      <c r="PEG59" s="557"/>
      <c r="PEH59" s="557"/>
      <c r="PEI59" s="557"/>
      <c r="PEJ59" s="557"/>
      <c r="PEK59" s="557"/>
      <c r="PEL59" s="557"/>
      <c r="PEM59" s="661"/>
      <c r="PEN59" s="556"/>
      <c r="PEO59" s="557"/>
      <c r="PEP59" s="557"/>
      <c r="PEQ59" s="557"/>
      <c r="PER59" s="557"/>
      <c r="PES59" s="557"/>
      <c r="PET59" s="557"/>
      <c r="PEU59" s="557"/>
      <c r="PEV59" s="557"/>
      <c r="PEW59" s="557"/>
      <c r="PEX59" s="557"/>
      <c r="PEY59" s="557"/>
      <c r="PEZ59" s="557"/>
      <c r="PFA59" s="557"/>
      <c r="PFB59" s="557"/>
      <c r="PFC59" s="557"/>
      <c r="PFD59" s="557"/>
      <c r="PFE59" s="557"/>
      <c r="PFF59" s="557"/>
      <c r="PFG59" s="661"/>
      <c r="PFH59" s="556"/>
      <c r="PFI59" s="557"/>
      <c r="PFJ59" s="557"/>
      <c r="PFK59" s="557"/>
      <c r="PFL59" s="557"/>
      <c r="PFM59" s="557"/>
      <c r="PFN59" s="557"/>
      <c r="PFO59" s="557"/>
      <c r="PFP59" s="557"/>
      <c r="PFQ59" s="557"/>
      <c r="PFR59" s="557"/>
      <c r="PFS59" s="557"/>
      <c r="PFT59" s="557"/>
      <c r="PFU59" s="557"/>
      <c r="PFV59" s="557"/>
      <c r="PFW59" s="557"/>
      <c r="PFX59" s="557"/>
      <c r="PFY59" s="557"/>
      <c r="PFZ59" s="557"/>
      <c r="PGA59" s="661"/>
      <c r="PGB59" s="556"/>
      <c r="PGC59" s="557"/>
      <c r="PGD59" s="557"/>
      <c r="PGE59" s="557"/>
      <c r="PGF59" s="557"/>
      <c r="PGG59" s="557"/>
      <c r="PGH59" s="557"/>
      <c r="PGI59" s="557"/>
      <c r="PGJ59" s="557"/>
      <c r="PGK59" s="557"/>
      <c r="PGL59" s="557"/>
      <c r="PGM59" s="557"/>
      <c r="PGN59" s="557"/>
      <c r="PGO59" s="557"/>
      <c r="PGP59" s="557"/>
      <c r="PGQ59" s="557"/>
      <c r="PGR59" s="557"/>
      <c r="PGS59" s="557"/>
      <c r="PGT59" s="557"/>
      <c r="PGU59" s="661"/>
      <c r="PGV59" s="556"/>
      <c r="PGW59" s="557"/>
      <c r="PGX59" s="557"/>
      <c r="PGY59" s="557"/>
      <c r="PGZ59" s="557"/>
      <c r="PHA59" s="557"/>
      <c r="PHB59" s="557"/>
      <c r="PHC59" s="557"/>
      <c r="PHD59" s="557"/>
      <c r="PHE59" s="557"/>
      <c r="PHF59" s="557"/>
      <c r="PHG59" s="557"/>
      <c r="PHH59" s="557"/>
      <c r="PHI59" s="557"/>
      <c r="PHJ59" s="557"/>
      <c r="PHK59" s="557"/>
      <c r="PHL59" s="557"/>
      <c r="PHM59" s="557"/>
      <c r="PHN59" s="557"/>
      <c r="PHO59" s="661"/>
      <c r="PHP59" s="556"/>
      <c r="PHQ59" s="557"/>
      <c r="PHR59" s="557"/>
      <c r="PHS59" s="557"/>
      <c r="PHT59" s="557"/>
      <c r="PHU59" s="557"/>
      <c r="PHV59" s="557"/>
      <c r="PHW59" s="557"/>
      <c r="PHX59" s="557"/>
      <c r="PHY59" s="557"/>
      <c r="PHZ59" s="557"/>
      <c r="PIA59" s="557"/>
      <c r="PIB59" s="557"/>
      <c r="PIC59" s="557"/>
      <c r="PID59" s="557"/>
      <c r="PIE59" s="557"/>
      <c r="PIF59" s="557"/>
      <c r="PIG59" s="557"/>
      <c r="PIH59" s="557"/>
      <c r="PII59" s="661"/>
      <c r="PIJ59" s="556"/>
      <c r="PIK59" s="557"/>
      <c r="PIL59" s="557"/>
      <c r="PIM59" s="557"/>
      <c r="PIN59" s="557"/>
      <c r="PIO59" s="557"/>
      <c r="PIP59" s="557"/>
      <c r="PIQ59" s="557"/>
      <c r="PIR59" s="557"/>
      <c r="PIS59" s="557"/>
      <c r="PIT59" s="557"/>
      <c r="PIU59" s="557"/>
      <c r="PIV59" s="557"/>
      <c r="PIW59" s="557"/>
      <c r="PIX59" s="557"/>
      <c r="PIY59" s="557"/>
      <c r="PIZ59" s="557"/>
      <c r="PJA59" s="557"/>
      <c r="PJB59" s="557"/>
      <c r="PJC59" s="661"/>
      <c r="PJD59" s="556"/>
      <c r="PJE59" s="557"/>
      <c r="PJF59" s="557"/>
      <c r="PJG59" s="557"/>
      <c r="PJH59" s="557"/>
      <c r="PJI59" s="557"/>
      <c r="PJJ59" s="557"/>
      <c r="PJK59" s="557"/>
      <c r="PJL59" s="557"/>
      <c r="PJM59" s="557"/>
      <c r="PJN59" s="557"/>
      <c r="PJO59" s="557"/>
      <c r="PJP59" s="557"/>
      <c r="PJQ59" s="557"/>
      <c r="PJR59" s="557"/>
      <c r="PJS59" s="557"/>
      <c r="PJT59" s="557"/>
      <c r="PJU59" s="557"/>
      <c r="PJV59" s="557"/>
      <c r="PJW59" s="661"/>
      <c r="PJX59" s="556"/>
      <c r="PJY59" s="557"/>
      <c r="PJZ59" s="557"/>
      <c r="PKA59" s="557"/>
      <c r="PKB59" s="557"/>
      <c r="PKC59" s="557"/>
      <c r="PKD59" s="557"/>
      <c r="PKE59" s="557"/>
      <c r="PKF59" s="557"/>
      <c r="PKG59" s="557"/>
      <c r="PKH59" s="557"/>
      <c r="PKI59" s="557"/>
      <c r="PKJ59" s="557"/>
      <c r="PKK59" s="557"/>
      <c r="PKL59" s="557"/>
      <c r="PKM59" s="557"/>
      <c r="PKN59" s="557"/>
      <c r="PKO59" s="557"/>
      <c r="PKP59" s="557"/>
      <c r="PKQ59" s="661"/>
      <c r="PKR59" s="556"/>
      <c r="PKS59" s="557"/>
      <c r="PKT59" s="557"/>
      <c r="PKU59" s="557"/>
      <c r="PKV59" s="557"/>
      <c r="PKW59" s="557"/>
      <c r="PKX59" s="557"/>
      <c r="PKY59" s="557"/>
      <c r="PKZ59" s="557"/>
      <c r="PLA59" s="557"/>
      <c r="PLB59" s="557"/>
      <c r="PLC59" s="557"/>
      <c r="PLD59" s="557"/>
      <c r="PLE59" s="557"/>
      <c r="PLF59" s="557"/>
      <c r="PLG59" s="557"/>
      <c r="PLH59" s="557"/>
      <c r="PLI59" s="557"/>
      <c r="PLJ59" s="557"/>
      <c r="PLK59" s="661"/>
      <c r="PLL59" s="556"/>
      <c r="PLM59" s="557"/>
      <c r="PLN59" s="557"/>
      <c r="PLO59" s="557"/>
      <c r="PLP59" s="557"/>
      <c r="PLQ59" s="557"/>
      <c r="PLR59" s="557"/>
      <c r="PLS59" s="557"/>
      <c r="PLT59" s="557"/>
      <c r="PLU59" s="557"/>
      <c r="PLV59" s="557"/>
      <c r="PLW59" s="557"/>
      <c r="PLX59" s="557"/>
      <c r="PLY59" s="557"/>
      <c r="PLZ59" s="557"/>
      <c r="PMA59" s="557"/>
      <c r="PMB59" s="557"/>
      <c r="PMC59" s="557"/>
      <c r="PMD59" s="557"/>
      <c r="PME59" s="661"/>
      <c r="PMF59" s="556"/>
      <c r="PMG59" s="557"/>
      <c r="PMH59" s="557"/>
      <c r="PMI59" s="557"/>
      <c r="PMJ59" s="557"/>
      <c r="PMK59" s="557"/>
      <c r="PML59" s="557"/>
      <c r="PMM59" s="557"/>
      <c r="PMN59" s="557"/>
      <c r="PMO59" s="557"/>
      <c r="PMP59" s="557"/>
      <c r="PMQ59" s="557"/>
      <c r="PMR59" s="557"/>
      <c r="PMS59" s="557"/>
      <c r="PMT59" s="557"/>
      <c r="PMU59" s="557"/>
      <c r="PMV59" s="557"/>
      <c r="PMW59" s="557"/>
      <c r="PMX59" s="557"/>
      <c r="PMY59" s="661"/>
      <c r="PMZ59" s="556"/>
      <c r="PNA59" s="557"/>
      <c r="PNB59" s="557"/>
      <c r="PNC59" s="557"/>
      <c r="PND59" s="557"/>
      <c r="PNE59" s="557"/>
      <c r="PNF59" s="557"/>
      <c r="PNG59" s="557"/>
      <c r="PNH59" s="557"/>
      <c r="PNI59" s="557"/>
      <c r="PNJ59" s="557"/>
      <c r="PNK59" s="557"/>
      <c r="PNL59" s="557"/>
      <c r="PNM59" s="557"/>
      <c r="PNN59" s="557"/>
      <c r="PNO59" s="557"/>
      <c r="PNP59" s="557"/>
      <c r="PNQ59" s="557"/>
      <c r="PNR59" s="557"/>
      <c r="PNS59" s="661"/>
      <c r="PNT59" s="556"/>
      <c r="PNU59" s="557"/>
      <c r="PNV59" s="557"/>
      <c r="PNW59" s="557"/>
      <c r="PNX59" s="557"/>
      <c r="PNY59" s="557"/>
      <c r="PNZ59" s="557"/>
      <c r="POA59" s="557"/>
      <c r="POB59" s="557"/>
      <c r="POC59" s="557"/>
      <c r="POD59" s="557"/>
      <c r="POE59" s="557"/>
      <c r="POF59" s="557"/>
      <c r="POG59" s="557"/>
      <c r="POH59" s="557"/>
      <c r="POI59" s="557"/>
      <c r="POJ59" s="557"/>
      <c r="POK59" s="557"/>
      <c r="POL59" s="557"/>
      <c r="POM59" s="661"/>
      <c r="PON59" s="556"/>
      <c r="POO59" s="557"/>
      <c r="POP59" s="557"/>
      <c r="POQ59" s="557"/>
      <c r="POR59" s="557"/>
      <c r="POS59" s="557"/>
      <c r="POT59" s="557"/>
      <c r="POU59" s="557"/>
      <c r="POV59" s="557"/>
      <c r="POW59" s="557"/>
      <c r="POX59" s="557"/>
      <c r="POY59" s="557"/>
      <c r="POZ59" s="557"/>
      <c r="PPA59" s="557"/>
      <c r="PPB59" s="557"/>
      <c r="PPC59" s="557"/>
      <c r="PPD59" s="557"/>
      <c r="PPE59" s="557"/>
      <c r="PPF59" s="557"/>
      <c r="PPG59" s="661"/>
      <c r="PPH59" s="556"/>
      <c r="PPI59" s="557"/>
      <c r="PPJ59" s="557"/>
      <c r="PPK59" s="557"/>
      <c r="PPL59" s="557"/>
      <c r="PPM59" s="557"/>
      <c r="PPN59" s="557"/>
      <c r="PPO59" s="557"/>
      <c r="PPP59" s="557"/>
      <c r="PPQ59" s="557"/>
      <c r="PPR59" s="557"/>
      <c r="PPS59" s="557"/>
      <c r="PPT59" s="557"/>
      <c r="PPU59" s="557"/>
      <c r="PPV59" s="557"/>
      <c r="PPW59" s="557"/>
      <c r="PPX59" s="557"/>
      <c r="PPY59" s="557"/>
      <c r="PPZ59" s="557"/>
      <c r="PQA59" s="661"/>
      <c r="PQB59" s="556"/>
      <c r="PQC59" s="557"/>
      <c r="PQD59" s="557"/>
      <c r="PQE59" s="557"/>
      <c r="PQF59" s="557"/>
      <c r="PQG59" s="557"/>
      <c r="PQH59" s="557"/>
      <c r="PQI59" s="557"/>
      <c r="PQJ59" s="557"/>
      <c r="PQK59" s="557"/>
      <c r="PQL59" s="557"/>
      <c r="PQM59" s="557"/>
      <c r="PQN59" s="557"/>
      <c r="PQO59" s="557"/>
      <c r="PQP59" s="557"/>
      <c r="PQQ59" s="557"/>
      <c r="PQR59" s="557"/>
      <c r="PQS59" s="557"/>
      <c r="PQT59" s="557"/>
      <c r="PQU59" s="661"/>
      <c r="PQV59" s="556"/>
      <c r="PQW59" s="557"/>
      <c r="PQX59" s="557"/>
      <c r="PQY59" s="557"/>
      <c r="PQZ59" s="557"/>
      <c r="PRA59" s="557"/>
      <c r="PRB59" s="557"/>
      <c r="PRC59" s="557"/>
      <c r="PRD59" s="557"/>
      <c r="PRE59" s="557"/>
      <c r="PRF59" s="557"/>
      <c r="PRG59" s="557"/>
      <c r="PRH59" s="557"/>
      <c r="PRI59" s="557"/>
      <c r="PRJ59" s="557"/>
      <c r="PRK59" s="557"/>
      <c r="PRL59" s="557"/>
      <c r="PRM59" s="557"/>
      <c r="PRN59" s="557"/>
      <c r="PRO59" s="661"/>
      <c r="PRP59" s="556"/>
      <c r="PRQ59" s="557"/>
      <c r="PRR59" s="557"/>
      <c r="PRS59" s="557"/>
      <c r="PRT59" s="557"/>
      <c r="PRU59" s="557"/>
      <c r="PRV59" s="557"/>
      <c r="PRW59" s="557"/>
      <c r="PRX59" s="557"/>
      <c r="PRY59" s="557"/>
      <c r="PRZ59" s="557"/>
      <c r="PSA59" s="557"/>
      <c r="PSB59" s="557"/>
      <c r="PSC59" s="557"/>
      <c r="PSD59" s="557"/>
      <c r="PSE59" s="557"/>
      <c r="PSF59" s="557"/>
      <c r="PSG59" s="557"/>
      <c r="PSH59" s="557"/>
      <c r="PSI59" s="661"/>
      <c r="PSJ59" s="556"/>
      <c r="PSK59" s="557"/>
      <c r="PSL59" s="557"/>
      <c r="PSM59" s="557"/>
      <c r="PSN59" s="557"/>
      <c r="PSO59" s="557"/>
      <c r="PSP59" s="557"/>
      <c r="PSQ59" s="557"/>
      <c r="PSR59" s="557"/>
      <c r="PSS59" s="557"/>
      <c r="PST59" s="557"/>
      <c r="PSU59" s="557"/>
      <c r="PSV59" s="557"/>
      <c r="PSW59" s="557"/>
      <c r="PSX59" s="557"/>
      <c r="PSY59" s="557"/>
      <c r="PSZ59" s="557"/>
      <c r="PTA59" s="557"/>
      <c r="PTB59" s="557"/>
      <c r="PTC59" s="661"/>
      <c r="PTD59" s="556"/>
      <c r="PTE59" s="557"/>
      <c r="PTF59" s="557"/>
      <c r="PTG59" s="557"/>
      <c r="PTH59" s="557"/>
      <c r="PTI59" s="557"/>
      <c r="PTJ59" s="557"/>
      <c r="PTK59" s="557"/>
      <c r="PTL59" s="557"/>
      <c r="PTM59" s="557"/>
      <c r="PTN59" s="557"/>
      <c r="PTO59" s="557"/>
      <c r="PTP59" s="557"/>
      <c r="PTQ59" s="557"/>
      <c r="PTR59" s="557"/>
      <c r="PTS59" s="557"/>
      <c r="PTT59" s="557"/>
      <c r="PTU59" s="557"/>
      <c r="PTV59" s="557"/>
      <c r="PTW59" s="661"/>
      <c r="PTX59" s="556"/>
      <c r="PTY59" s="557"/>
      <c r="PTZ59" s="557"/>
      <c r="PUA59" s="557"/>
      <c r="PUB59" s="557"/>
      <c r="PUC59" s="557"/>
      <c r="PUD59" s="557"/>
      <c r="PUE59" s="557"/>
      <c r="PUF59" s="557"/>
      <c r="PUG59" s="557"/>
      <c r="PUH59" s="557"/>
      <c r="PUI59" s="557"/>
      <c r="PUJ59" s="557"/>
      <c r="PUK59" s="557"/>
      <c r="PUL59" s="557"/>
      <c r="PUM59" s="557"/>
      <c r="PUN59" s="557"/>
      <c r="PUO59" s="557"/>
      <c r="PUP59" s="557"/>
      <c r="PUQ59" s="661"/>
      <c r="PUR59" s="556"/>
      <c r="PUS59" s="557"/>
      <c r="PUT59" s="557"/>
      <c r="PUU59" s="557"/>
      <c r="PUV59" s="557"/>
      <c r="PUW59" s="557"/>
      <c r="PUX59" s="557"/>
      <c r="PUY59" s="557"/>
      <c r="PUZ59" s="557"/>
      <c r="PVA59" s="557"/>
      <c r="PVB59" s="557"/>
      <c r="PVC59" s="557"/>
      <c r="PVD59" s="557"/>
      <c r="PVE59" s="557"/>
      <c r="PVF59" s="557"/>
      <c r="PVG59" s="557"/>
      <c r="PVH59" s="557"/>
      <c r="PVI59" s="557"/>
      <c r="PVJ59" s="557"/>
      <c r="PVK59" s="661"/>
      <c r="PVL59" s="556"/>
      <c r="PVM59" s="557"/>
      <c r="PVN59" s="557"/>
      <c r="PVO59" s="557"/>
      <c r="PVP59" s="557"/>
      <c r="PVQ59" s="557"/>
      <c r="PVR59" s="557"/>
      <c r="PVS59" s="557"/>
      <c r="PVT59" s="557"/>
      <c r="PVU59" s="557"/>
      <c r="PVV59" s="557"/>
      <c r="PVW59" s="557"/>
      <c r="PVX59" s="557"/>
      <c r="PVY59" s="557"/>
      <c r="PVZ59" s="557"/>
      <c r="PWA59" s="557"/>
      <c r="PWB59" s="557"/>
      <c r="PWC59" s="557"/>
      <c r="PWD59" s="557"/>
      <c r="PWE59" s="661"/>
      <c r="PWF59" s="556"/>
      <c r="PWG59" s="557"/>
      <c r="PWH59" s="557"/>
      <c r="PWI59" s="557"/>
      <c r="PWJ59" s="557"/>
      <c r="PWK59" s="557"/>
      <c r="PWL59" s="557"/>
      <c r="PWM59" s="557"/>
      <c r="PWN59" s="557"/>
      <c r="PWO59" s="557"/>
      <c r="PWP59" s="557"/>
      <c r="PWQ59" s="557"/>
      <c r="PWR59" s="557"/>
      <c r="PWS59" s="557"/>
      <c r="PWT59" s="557"/>
      <c r="PWU59" s="557"/>
      <c r="PWV59" s="557"/>
      <c r="PWW59" s="557"/>
      <c r="PWX59" s="557"/>
      <c r="PWY59" s="661"/>
      <c r="PWZ59" s="556"/>
      <c r="PXA59" s="557"/>
      <c r="PXB59" s="557"/>
      <c r="PXC59" s="557"/>
      <c r="PXD59" s="557"/>
      <c r="PXE59" s="557"/>
      <c r="PXF59" s="557"/>
      <c r="PXG59" s="557"/>
      <c r="PXH59" s="557"/>
      <c r="PXI59" s="557"/>
      <c r="PXJ59" s="557"/>
      <c r="PXK59" s="557"/>
      <c r="PXL59" s="557"/>
      <c r="PXM59" s="557"/>
      <c r="PXN59" s="557"/>
      <c r="PXO59" s="557"/>
      <c r="PXP59" s="557"/>
      <c r="PXQ59" s="557"/>
      <c r="PXR59" s="557"/>
      <c r="PXS59" s="661"/>
      <c r="PXT59" s="556"/>
      <c r="PXU59" s="557"/>
      <c r="PXV59" s="557"/>
      <c r="PXW59" s="557"/>
      <c r="PXX59" s="557"/>
      <c r="PXY59" s="557"/>
      <c r="PXZ59" s="557"/>
      <c r="PYA59" s="557"/>
      <c r="PYB59" s="557"/>
      <c r="PYC59" s="557"/>
      <c r="PYD59" s="557"/>
      <c r="PYE59" s="557"/>
      <c r="PYF59" s="557"/>
      <c r="PYG59" s="557"/>
      <c r="PYH59" s="557"/>
      <c r="PYI59" s="557"/>
      <c r="PYJ59" s="557"/>
      <c r="PYK59" s="557"/>
      <c r="PYL59" s="557"/>
      <c r="PYM59" s="661"/>
      <c r="PYN59" s="556"/>
      <c r="PYO59" s="557"/>
      <c r="PYP59" s="557"/>
      <c r="PYQ59" s="557"/>
      <c r="PYR59" s="557"/>
      <c r="PYS59" s="557"/>
      <c r="PYT59" s="557"/>
      <c r="PYU59" s="557"/>
      <c r="PYV59" s="557"/>
      <c r="PYW59" s="557"/>
      <c r="PYX59" s="557"/>
      <c r="PYY59" s="557"/>
      <c r="PYZ59" s="557"/>
      <c r="PZA59" s="557"/>
      <c r="PZB59" s="557"/>
      <c r="PZC59" s="557"/>
      <c r="PZD59" s="557"/>
      <c r="PZE59" s="557"/>
      <c r="PZF59" s="557"/>
      <c r="PZG59" s="661"/>
      <c r="PZH59" s="556"/>
      <c r="PZI59" s="557"/>
      <c r="PZJ59" s="557"/>
      <c r="PZK59" s="557"/>
      <c r="PZL59" s="557"/>
      <c r="PZM59" s="557"/>
      <c r="PZN59" s="557"/>
      <c r="PZO59" s="557"/>
      <c r="PZP59" s="557"/>
      <c r="PZQ59" s="557"/>
      <c r="PZR59" s="557"/>
      <c r="PZS59" s="557"/>
      <c r="PZT59" s="557"/>
      <c r="PZU59" s="557"/>
      <c r="PZV59" s="557"/>
      <c r="PZW59" s="557"/>
      <c r="PZX59" s="557"/>
      <c r="PZY59" s="557"/>
      <c r="PZZ59" s="557"/>
      <c r="QAA59" s="661"/>
      <c r="QAB59" s="556"/>
      <c r="QAC59" s="557"/>
      <c r="QAD59" s="557"/>
      <c r="QAE59" s="557"/>
      <c r="QAF59" s="557"/>
      <c r="QAG59" s="557"/>
      <c r="QAH59" s="557"/>
      <c r="QAI59" s="557"/>
      <c r="QAJ59" s="557"/>
      <c r="QAK59" s="557"/>
      <c r="QAL59" s="557"/>
      <c r="QAM59" s="557"/>
      <c r="QAN59" s="557"/>
      <c r="QAO59" s="557"/>
      <c r="QAP59" s="557"/>
      <c r="QAQ59" s="557"/>
      <c r="QAR59" s="557"/>
      <c r="QAS59" s="557"/>
      <c r="QAT59" s="557"/>
      <c r="QAU59" s="661"/>
      <c r="QAV59" s="556"/>
      <c r="QAW59" s="557"/>
      <c r="QAX59" s="557"/>
      <c r="QAY59" s="557"/>
      <c r="QAZ59" s="557"/>
      <c r="QBA59" s="557"/>
      <c r="QBB59" s="557"/>
      <c r="QBC59" s="557"/>
      <c r="QBD59" s="557"/>
      <c r="QBE59" s="557"/>
      <c r="QBF59" s="557"/>
      <c r="QBG59" s="557"/>
      <c r="QBH59" s="557"/>
      <c r="QBI59" s="557"/>
      <c r="QBJ59" s="557"/>
      <c r="QBK59" s="557"/>
      <c r="QBL59" s="557"/>
      <c r="QBM59" s="557"/>
      <c r="QBN59" s="557"/>
      <c r="QBO59" s="661"/>
      <c r="QBP59" s="556"/>
      <c r="QBQ59" s="557"/>
      <c r="QBR59" s="557"/>
      <c r="QBS59" s="557"/>
      <c r="QBT59" s="557"/>
      <c r="QBU59" s="557"/>
      <c r="QBV59" s="557"/>
      <c r="QBW59" s="557"/>
      <c r="QBX59" s="557"/>
      <c r="QBY59" s="557"/>
      <c r="QBZ59" s="557"/>
      <c r="QCA59" s="557"/>
      <c r="QCB59" s="557"/>
      <c r="QCC59" s="557"/>
      <c r="QCD59" s="557"/>
      <c r="QCE59" s="557"/>
      <c r="QCF59" s="557"/>
      <c r="QCG59" s="557"/>
      <c r="QCH59" s="557"/>
      <c r="QCI59" s="661"/>
      <c r="QCJ59" s="556"/>
      <c r="QCK59" s="557"/>
      <c r="QCL59" s="557"/>
      <c r="QCM59" s="557"/>
      <c r="QCN59" s="557"/>
      <c r="QCO59" s="557"/>
      <c r="QCP59" s="557"/>
      <c r="QCQ59" s="557"/>
      <c r="QCR59" s="557"/>
      <c r="QCS59" s="557"/>
      <c r="QCT59" s="557"/>
      <c r="QCU59" s="557"/>
      <c r="QCV59" s="557"/>
      <c r="QCW59" s="557"/>
      <c r="QCX59" s="557"/>
      <c r="QCY59" s="557"/>
      <c r="QCZ59" s="557"/>
      <c r="QDA59" s="557"/>
      <c r="QDB59" s="557"/>
      <c r="QDC59" s="661"/>
      <c r="QDD59" s="556"/>
      <c r="QDE59" s="557"/>
      <c r="QDF59" s="557"/>
      <c r="QDG59" s="557"/>
      <c r="QDH59" s="557"/>
      <c r="QDI59" s="557"/>
      <c r="QDJ59" s="557"/>
      <c r="QDK59" s="557"/>
      <c r="QDL59" s="557"/>
      <c r="QDM59" s="557"/>
      <c r="QDN59" s="557"/>
      <c r="QDO59" s="557"/>
      <c r="QDP59" s="557"/>
      <c r="QDQ59" s="557"/>
      <c r="QDR59" s="557"/>
      <c r="QDS59" s="557"/>
      <c r="QDT59" s="557"/>
      <c r="QDU59" s="557"/>
      <c r="QDV59" s="557"/>
      <c r="QDW59" s="661"/>
      <c r="QDX59" s="556"/>
      <c r="QDY59" s="557"/>
      <c r="QDZ59" s="557"/>
      <c r="QEA59" s="557"/>
      <c r="QEB59" s="557"/>
      <c r="QEC59" s="557"/>
      <c r="QED59" s="557"/>
      <c r="QEE59" s="557"/>
      <c r="QEF59" s="557"/>
      <c r="QEG59" s="557"/>
      <c r="QEH59" s="557"/>
      <c r="QEI59" s="557"/>
      <c r="QEJ59" s="557"/>
      <c r="QEK59" s="557"/>
      <c r="QEL59" s="557"/>
      <c r="QEM59" s="557"/>
      <c r="QEN59" s="557"/>
      <c r="QEO59" s="557"/>
      <c r="QEP59" s="557"/>
      <c r="QEQ59" s="661"/>
      <c r="QER59" s="556"/>
      <c r="QES59" s="557"/>
      <c r="QET59" s="557"/>
      <c r="QEU59" s="557"/>
      <c r="QEV59" s="557"/>
      <c r="QEW59" s="557"/>
      <c r="QEX59" s="557"/>
      <c r="QEY59" s="557"/>
      <c r="QEZ59" s="557"/>
      <c r="QFA59" s="557"/>
      <c r="QFB59" s="557"/>
      <c r="QFC59" s="557"/>
      <c r="QFD59" s="557"/>
      <c r="QFE59" s="557"/>
      <c r="QFF59" s="557"/>
      <c r="QFG59" s="557"/>
      <c r="QFH59" s="557"/>
      <c r="QFI59" s="557"/>
      <c r="QFJ59" s="557"/>
      <c r="QFK59" s="661"/>
      <c r="QFL59" s="556"/>
      <c r="QFM59" s="557"/>
      <c r="QFN59" s="557"/>
      <c r="QFO59" s="557"/>
      <c r="QFP59" s="557"/>
      <c r="QFQ59" s="557"/>
      <c r="QFR59" s="557"/>
      <c r="QFS59" s="557"/>
      <c r="QFT59" s="557"/>
      <c r="QFU59" s="557"/>
      <c r="QFV59" s="557"/>
      <c r="QFW59" s="557"/>
      <c r="QFX59" s="557"/>
      <c r="QFY59" s="557"/>
      <c r="QFZ59" s="557"/>
      <c r="QGA59" s="557"/>
      <c r="QGB59" s="557"/>
      <c r="QGC59" s="557"/>
      <c r="QGD59" s="557"/>
      <c r="QGE59" s="661"/>
      <c r="QGF59" s="556"/>
      <c r="QGG59" s="557"/>
      <c r="QGH59" s="557"/>
      <c r="QGI59" s="557"/>
      <c r="QGJ59" s="557"/>
      <c r="QGK59" s="557"/>
      <c r="QGL59" s="557"/>
      <c r="QGM59" s="557"/>
      <c r="QGN59" s="557"/>
      <c r="QGO59" s="557"/>
      <c r="QGP59" s="557"/>
      <c r="QGQ59" s="557"/>
      <c r="QGR59" s="557"/>
      <c r="QGS59" s="557"/>
      <c r="QGT59" s="557"/>
      <c r="QGU59" s="557"/>
      <c r="QGV59" s="557"/>
      <c r="QGW59" s="557"/>
      <c r="QGX59" s="557"/>
      <c r="QGY59" s="661"/>
      <c r="QGZ59" s="556"/>
      <c r="QHA59" s="557"/>
      <c r="QHB59" s="557"/>
      <c r="QHC59" s="557"/>
      <c r="QHD59" s="557"/>
      <c r="QHE59" s="557"/>
      <c r="QHF59" s="557"/>
      <c r="QHG59" s="557"/>
      <c r="QHH59" s="557"/>
      <c r="QHI59" s="557"/>
      <c r="QHJ59" s="557"/>
      <c r="QHK59" s="557"/>
      <c r="QHL59" s="557"/>
      <c r="QHM59" s="557"/>
      <c r="QHN59" s="557"/>
      <c r="QHO59" s="557"/>
      <c r="QHP59" s="557"/>
      <c r="QHQ59" s="557"/>
      <c r="QHR59" s="557"/>
      <c r="QHS59" s="661"/>
      <c r="QHT59" s="556"/>
      <c r="QHU59" s="557"/>
      <c r="QHV59" s="557"/>
      <c r="QHW59" s="557"/>
      <c r="QHX59" s="557"/>
      <c r="QHY59" s="557"/>
      <c r="QHZ59" s="557"/>
      <c r="QIA59" s="557"/>
      <c r="QIB59" s="557"/>
      <c r="QIC59" s="557"/>
      <c r="QID59" s="557"/>
      <c r="QIE59" s="557"/>
      <c r="QIF59" s="557"/>
      <c r="QIG59" s="557"/>
      <c r="QIH59" s="557"/>
      <c r="QII59" s="557"/>
      <c r="QIJ59" s="557"/>
      <c r="QIK59" s="557"/>
      <c r="QIL59" s="557"/>
      <c r="QIM59" s="661"/>
      <c r="QIN59" s="556"/>
      <c r="QIO59" s="557"/>
      <c r="QIP59" s="557"/>
      <c r="QIQ59" s="557"/>
      <c r="QIR59" s="557"/>
      <c r="QIS59" s="557"/>
      <c r="QIT59" s="557"/>
      <c r="QIU59" s="557"/>
      <c r="QIV59" s="557"/>
      <c r="QIW59" s="557"/>
      <c r="QIX59" s="557"/>
      <c r="QIY59" s="557"/>
      <c r="QIZ59" s="557"/>
      <c r="QJA59" s="557"/>
      <c r="QJB59" s="557"/>
      <c r="QJC59" s="557"/>
      <c r="QJD59" s="557"/>
      <c r="QJE59" s="557"/>
      <c r="QJF59" s="557"/>
      <c r="QJG59" s="661"/>
      <c r="QJH59" s="556"/>
      <c r="QJI59" s="557"/>
      <c r="QJJ59" s="557"/>
      <c r="QJK59" s="557"/>
      <c r="QJL59" s="557"/>
      <c r="QJM59" s="557"/>
      <c r="QJN59" s="557"/>
      <c r="QJO59" s="557"/>
      <c r="QJP59" s="557"/>
      <c r="QJQ59" s="557"/>
      <c r="QJR59" s="557"/>
      <c r="QJS59" s="557"/>
      <c r="QJT59" s="557"/>
      <c r="QJU59" s="557"/>
      <c r="QJV59" s="557"/>
      <c r="QJW59" s="557"/>
      <c r="QJX59" s="557"/>
      <c r="QJY59" s="557"/>
      <c r="QJZ59" s="557"/>
      <c r="QKA59" s="661"/>
      <c r="QKB59" s="556"/>
      <c r="QKC59" s="557"/>
      <c r="QKD59" s="557"/>
      <c r="QKE59" s="557"/>
      <c r="QKF59" s="557"/>
      <c r="QKG59" s="557"/>
      <c r="QKH59" s="557"/>
      <c r="QKI59" s="557"/>
      <c r="QKJ59" s="557"/>
      <c r="QKK59" s="557"/>
      <c r="QKL59" s="557"/>
      <c r="QKM59" s="557"/>
      <c r="QKN59" s="557"/>
      <c r="QKO59" s="557"/>
      <c r="QKP59" s="557"/>
      <c r="QKQ59" s="557"/>
      <c r="QKR59" s="557"/>
      <c r="QKS59" s="557"/>
      <c r="QKT59" s="557"/>
      <c r="QKU59" s="661"/>
      <c r="QKV59" s="556"/>
      <c r="QKW59" s="557"/>
      <c r="QKX59" s="557"/>
      <c r="QKY59" s="557"/>
      <c r="QKZ59" s="557"/>
      <c r="QLA59" s="557"/>
      <c r="QLB59" s="557"/>
      <c r="QLC59" s="557"/>
      <c r="QLD59" s="557"/>
      <c r="QLE59" s="557"/>
      <c r="QLF59" s="557"/>
      <c r="QLG59" s="557"/>
      <c r="QLH59" s="557"/>
      <c r="QLI59" s="557"/>
      <c r="QLJ59" s="557"/>
      <c r="QLK59" s="557"/>
      <c r="QLL59" s="557"/>
      <c r="QLM59" s="557"/>
      <c r="QLN59" s="557"/>
      <c r="QLO59" s="661"/>
      <c r="QLP59" s="556"/>
      <c r="QLQ59" s="557"/>
      <c r="QLR59" s="557"/>
      <c r="QLS59" s="557"/>
      <c r="QLT59" s="557"/>
      <c r="QLU59" s="557"/>
      <c r="QLV59" s="557"/>
      <c r="QLW59" s="557"/>
      <c r="QLX59" s="557"/>
      <c r="QLY59" s="557"/>
      <c r="QLZ59" s="557"/>
      <c r="QMA59" s="557"/>
      <c r="QMB59" s="557"/>
      <c r="QMC59" s="557"/>
      <c r="QMD59" s="557"/>
      <c r="QME59" s="557"/>
      <c r="QMF59" s="557"/>
      <c r="QMG59" s="557"/>
      <c r="QMH59" s="557"/>
      <c r="QMI59" s="661"/>
      <c r="QMJ59" s="556"/>
      <c r="QMK59" s="557"/>
      <c r="QML59" s="557"/>
      <c r="QMM59" s="557"/>
      <c r="QMN59" s="557"/>
      <c r="QMO59" s="557"/>
      <c r="QMP59" s="557"/>
      <c r="QMQ59" s="557"/>
      <c r="QMR59" s="557"/>
      <c r="QMS59" s="557"/>
      <c r="QMT59" s="557"/>
      <c r="QMU59" s="557"/>
      <c r="QMV59" s="557"/>
      <c r="QMW59" s="557"/>
      <c r="QMX59" s="557"/>
      <c r="QMY59" s="557"/>
      <c r="QMZ59" s="557"/>
      <c r="QNA59" s="557"/>
      <c r="QNB59" s="557"/>
      <c r="QNC59" s="661"/>
      <c r="QND59" s="556"/>
      <c r="QNE59" s="557"/>
      <c r="QNF59" s="557"/>
      <c r="QNG59" s="557"/>
      <c r="QNH59" s="557"/>
      <c r="QNI59" s="557"/>
      <c r="QNJ59" s="557"/>
      <c r="QNK59" s="557"/>
      <c r="QNL59" s="557"/>
      <c r="QNM59" s="557"/>
      <c r="QNN59" s="557"/>
      <c r="QNO59" s="557"/>
      <c r="QNP59" s="557"/>
      <c r="QNQ59" s="557"/>
      <c r="QNR59" s="557"/>
      <c r="QNS59" s="557"/>
      <c r="QNT59" s="557"/>
      <c r="QNU59" s="557"/>
      <c r="QNV59" s="557"/>
      <c r="QNW59" s="661"/>
      <c r="QNX59" s="556"/>
      <c r="QNY59" s="557"/>
      <c r="QNZ59" s="557"/>
      <c r="QOA59" s="557"/>
      <c r="QOB59" s="557"/>
      <c r="QOC59" s="557"/>
      <c r="QOD59" s="557"/>
      <c r="QOE59" s="557"/>
      <c r="QOF59" s="557"/>
      <c r="QOG59" s="557"/>
      <c r="QOH59" s="557"/>
      <c r="QOI59" s="557"/>
      <c r="QOJ59" s="557"/>
      <c r="QOK59" s="557"/>
      <c r="QOL59" s="557"/>
      <c r="QOM59" s="557"/>
      <c r="QON59" s="557"/>
      <c r="QOO59" s="557"/>
      <c r="QOP59" s="557"/>
      <c r="QOQ59" s="661"/>
      <c r="QOR59" s="556"/>
      <c r="QOS59" s="557"/>
      <c r="QOT59" s="557"/>
      <c r="QOU59" s="557"/>
      <c r="QOV59" s="557"/>
      <c r="QOW59" s="557"/>
      <c r="QOX59" s="557"/>
      <c r="QOY59" s="557"/>
      <c r="QOZ59" s="557"/>
      <c r="QPA59" s="557"/>
      <c r="QPB59" s="557"/>
      <c r="QPC59" s="557"/>
      <c r="QPD59" s="557"/>
      <c r="QPE59" s="557"/>
      <c r="QPF59" s="557"/>
      <c r="QPG59" s="557"/>
      <c r="QPH59" s="557"/>
      <c r="QPI59" s="557"/>
      <c r="QPJ59" s="557"/>
      <c r="QPK59" s="661"/>
      <c r="QPL59" s="556"/>
      <c r="QPM59" s="557"/>
      <c r="QPN59" s="557"/>
      <c r="QPO59" s="557"/>
      <c r="QPP59" s="557"/>
      <c r="QPQ59" s="557"/>
      <c r="QPR59" s="557"/>
      <c r="QPS59" s="557"/>
      <c r="QPT59" s="557"/>
      <c r="QPU59" s="557"/>
      <c r="QPV59" s="557"/>
      <c r="QPW59" s="557"/>
      <c r="QPX59" s="557"/>
      <c r="QPY59" s="557"/>
      <c r="QPZ59" s="557"/>
      <c r="QQA59" s="557"/>
      <c r="QQB59" s="557"/>
      <c r="QQC59" s="557"/>
      <c r="QQD59" s="557"/>
      <c r="QQE59" s="661"/>
      <c r="QQF59" s="556"/>
      <c r="QQG59" s="557"/>
      <c r="QQH59" s="557"/>
      <c r="QQI59" s="557"/>
      <c r="QQJ59" s="557"/>
      <c r="QQK59" s="557"/>
      <c r="QQL59" s="557"/>
      <c r="QQM59" s="557"/>
      <c r="QQN59" s="557"/>
      <c r="QQO59" s="557"/>
      <c r="QQP59" s="557"/>
      <c r="QQQ59" s="557"/>
      <c r="QQR59" s="557"/>
      <c r="QQS59" s="557"/>
      <c r="QQT59" s="557"/>
      <c r="QQU59" s="557"/>
      <c r="QQV59" s="557"/>
      <c r="QQW59" s="557"/>
      <c r="QQX59" s="557"/>
      <c r="QQY59" s="661"/>
      <c r="QQZ59" s="556"/>
      <c r="QRA59" s="557"/>
      <c r="QRB59" s="557"/>
      <c r="QRC59" s="557"/>
      <c r="QRD59" s="557"/>
      <c r="QRE59" s="557"/>
      <c r="QRF59" s="557"/>
      <c r="QRG59" s="557"/>
      <c r="QRH59" s="557"/>
      <c r="QRI59" s="557"/>
      <c r="QRJ59" s="557"/>
      <c r="QRK59" s="557"/>
      <c r="QRL59" s="557"/>
      <c r="QRM59" s="557"/>
      <c r="QRN59" s="557"/>
      <c r="QRO59" s="557"/>
      <c r="QRP59" s="557"/>
      <c r="QRQ59" s="557"/>
      <c r="QRR59" s="557"/>
      <c r="QRS59" s="661"/>
      <c r="QRT59" s="556"/>
      <c r="QRU59" s="557"/>
      <c r="QRV59" s="557"/>
      <c r="QRW59" s="557"/>
      <c r="QRX59" s="557"/>
      <c r="QRY59" s="557"/>
      <c r="QRZ59" s="557"/>
      <c r="QSA59" s="557"/>
      <c r="QSB59" s="557"/>
      <c r="QSC59" s="557"/>
      <c r="QSD59" s="557"/>
      <c r="QSE59" s="557"/>
      <c r="QSF59" s="557"/>
      <c r="QSG59" s="557"/>
      <c r="QSH59" s="557"/>
      <c r="QSI59" s="557"/>
      <c r="QSJ59" s="557"/>
      <c r="QSK59" s="557"/>
      <c r="QSL59" s="557"/>
      <c r="QSM59" s="661"/>
      <c r="QSN59" s="556"/>
      <c r="QSO59" s="557"/>
      <c r="QSP59" s="557"/>
      <c r="QSQ59" s="557"/>
      <c r="QSR59" s="557"/>
      <c r="QSS59" s="557"/>
      <c r="QST59" s="557"/>
      <c r="QSU59" s="557"/>
      <c r="QSV59" s="557"/>
      <c r="QSW59" s="557"/>
      <c r="QSX59" s="557"/>
      <c r="QSY59" s="557"/>
      <c r="QSZ59" s="557"/>
      <c r="QTA59" s="557"/>
      <c r="QTB59" s="557"/>
      <c r="QTC59" s="557"/>
      <c r="QTD59" s="557"/>
      <c r="QTE59" s="557"/>
      <c r="QTF59" s="557"/>
      <c r="QTG59" s="661"/>
      <c r="QTH59" s="556"/>
      <c r="QTI59" s="557"/>
      <c r="QTJ59" s="557"/>
      <c r="QTK59" s="557"/>
      <c r="QTL59" s="557"/>
      <c r="QTM59" s="557"/>
      <c r="QTN59" s="557"/>
      <c r="QTO59" s="557"/>
      <c r="QTP59" s="557"/>
      <c r="QTQ59" s="557"/>
      <c r="QTR59" s="557"/>
      <c r="QTS59" s="557"/>
      <c r="QTT59" s="557"/>
      <c r="QTU59" s="557"/>
      <c r="QTV59" s="557"/>
      <c r="QTW59" s="557"/>
      <c r="QTX59" s="557"/>
      <c r="QTY59" s="557"/>
      <c r="QTZ59" s="557"/>
      <c r="QUA59" s="661"/>
      <c r="QUB59" s="556"/>
      <c r="QUC59" s="557"/>
      <c r="QUD59" s="557"/>
      <c r="QUE59" s="557"/>
      <c r="QUF59" s="557"/>
      <c r="QUG59" s="557"/>
      <c r="QUH59" s="557"/>
      <c r="QUI59" s="557"/>
      <c r="QUJ59" s="557"/>
      <c r="QUK59" s="557"/>
      <c r="QUL59" s="557"/>
      <c r="QUM59" s="557"/>
      <c r="QUN59" s="557"/>
      <c r="QUO59" s="557"/>
      <c r="QUP59" s="557"/>
      <c r="QUQ59" s="557"/>
      <c r="QUR59" s="557"/>
      <c r="QUS59" s="557"/>
      <c r="QUT59" s="557"/>
      <c r="QUU59" s="661"/>
      <c r="QUV59" s="556"/>
      <c r="QUW59" s="557"/>
      <c r="QUX59" s="557"/>
      <c r="QUY59" s="557"/>
      <c r="QUZ59" s="557"/>
      <c r="QVA59" s="557"/>
      <c r="QVB59" s="557"/>
      <c r="QVC59" s="557"/>
      <c r="QVD59" s="557"/>
      <c r="QVE59" s="557"/>
      <c r="QVF59" s="557"/>
      <c r="QVG59" s="557"/>
      <c r="QVH59" s="557"/>
      <c r="QVI59" s="557"/>
      <c r="QVJ59" s="557"/>
      <c r="QVK59" s="557"/>
      <c r="QVL59" s="557"/>
      <c r="QVM59" s="557"/>
      <c r="QVN59" s="557"/>
      <c r="QVO59" s="661"/>
      <c r="QVP59" s="556"/>
      <c r="QVQ59" s="557"/>
      <c r="QVR59" s="557"/>
      <c r="QVS59" s="557"/>
      <c r="QVT59" s="557"/>
      <c r="QVU59" s="557"/>
      <c r="QVV59" s="557"/>
      <c r="QVW59" s="557"/>
      <c r="QVX59" s="557"/>
      <c r="QVY59" s="557"/>
      <c r="QVZ59" s="557"/>
      <c r="QWA59" s="557"/>
      <c r="QWB59" s="557"/>
      <c r="QWC59" s="557"/>
      <c r="QWD59" s="557"/>
      <c r="QWE59" s="557"/>
      <c r="QWF59" s="557"/>
      <c r="QWG59" s="557"/>
      <c r="QWH59" s="557"/>
      <c r="QWI59" s="661"/>
      <c r="QWJ59" s="556"/>
      <c r="QWK59" s="557"/>
      <c r="QWL59" s="557"/>
      <c r="QWM59" s="557"/>
      <c r="QWN59" s="557"/>
      <c r="QWO59" s="557"/>
      <c r="QWP59" s="557"/>
      <c r="QWQ59" s="557"/>
      <c r="QWR59" s="557"/>
      <c r="QWS59" s="557"/>
      <c r="QWT59" s="557"/>
      <c r="QWU59" s="557"/>
      <c r="QWV59" s="557"/>
      <c r="QWW59" s="557"/>
      <c r="QWX59" s="557"/>
      <c r="QWY59" s="557"/>
      <c r="QWZ59" s="557"/>
      <c r="QXA59" s="557"/>
      <c r="QXB59" s="557"/>
      <c r="QXC59" s="661"/>
      <c r="QXD59" s="556"/>
      <c r="QXE59" s="557"/>
      <c r="QXF59" s="557"/>
      <c r="QXG59" s="557"/>
      <c r="QXH59" s="557"/>
      <c r="QXI59" s="557"/>
      <c r="QXJ59" s="557"/>
      <c r="QXK59" s="557"/>
      <c r="QXL59" s="557"/>
      <c r="QXM59" s="557"/>
      <c r="QXN59" s="557"/>
      <c r="QXO59" s="557"/>
      <c r="QXP59" s="557"/>
      <c r="QXQ59" s="557"/>
      <c r="QXR59" s="557"/>
      <c r="QXS59" s="557"/>
      <c r="QXT59" s="557"/>
      <c r="QXU59" s="557"/>
      <c r="QXV59" s="557"/>
      <c r="QXW59" s="661"/>
      <c r="QXX59" s="556"/>
      <c r="QXY59" s="557"/>
      <c r="QXZ59" s="557"/>
      <c r="QYA59" s="557"/>
      <c r="QYB59" s="557"/>
      <c r="QYC59" s="557"/>
      <c r="QYD59" s="557"/>
      <c r="QYE59" s="557"/>
      <c r="QYF59" s="557"/>
      <c r="QYG59" s="557"/>
      <c r="QYH59" s="557"/>
      <c r="QYI59" s="557"/>
      <c r="QYJ59" s="557"/>
      <c r="QYK59" s="557"/>
      <c r="QYL59" s="557"/>
      <c r="QYM59" s="557"/>
      <c r="QYN59" s="557"/>
      <c r="QYO59" s="557"/>
      <c r="QYP59" s="557"/>
      <c r="QYQ59" s="661"/>
      <c r="QYR59" s="556"/>
      <c r="QYS59" s="557"/>
      <c r="QYT59" s="557"/>
      <c r="QYU59" s="557"/>
      <c r="QYV59" s="557"/>
      <c r="QYW59" s="557"/>
      <c r="QYX59" s="557"/>
      <c r="QYY59" s="557"/>
      <c r="QYZ59" s="557"/>
      <c r="QZA59" s="557"/>
      <c r="QZB59" s="557"/>
      <c r="QZC59" s="557"/>
      <c r="QZD59" s="557"/>
      <c r="QZE59" s="557"/>
      <c r="QZF59" s="557"/>
      <c r="QZG59" s="557"/>
      <c r="QZH59" s="557"/>
      <c r="QZI59" s="557"/>
      <c r="QZJ59" s="557"/>
      <c r="QZK59" s="661"/>
      <c r="QZL59" s="556"/>
      <c r="QZM59" s="557"/>
      <c r="QZN59" s="557"/>
      <c r="QZO59" s="557"/>
      <c r="QZP59" s="557"/>
      <c r="QZQ59" s="557"/>
      <c r="QZR59" s="557"/>
      <c r="QZS59" s="557"/>
      <c r="QZT59" s="557"/>
      <c r="QZU59" s="557"/>
      <c r="QZV59" s="557"/>
      <c r="QZW59" s="557"/>
      <c r="QZX59" s="557"/>
      <c r="QZY59" s="557"/>
      <c r="QZZ59" s="557"/>
      <c r="RAA59" s="557"/>
      <c r="RAB59" s="557"/>
      <c r="RAC59" s="557"/>
      <c r="RAD59" s="557"/>
      <c r="RAE59" s="661"/>
      <c r="RAF59" s="556"/>
      <c r="RAG59" s="557"/>
      <c r="RAH59" s="557"/>
      <c r="RAI59" s="557"/>
      <c r="RAJ59" s="557"/>
      <c r="RAK59" s="557"/>
      <c r="RAL59" s="557"/>
      <c r="RAM59" s="557"/>
      <c r="RAN59" s="557"/>
      <c r="RAO59" s="557"/>
      <c r="RAP59" s="557"/>
      <c r="RAQ59" s="557"/>
      <c r="RAR59" s="557"/>
      <c r="RAS59" s="557"/>
      <c r="RAT59" s="557"/>
      <c r="RAU59" s="557"/>
      <c r="RAV59" s="557"/>
      <c r="RAW59" s="557"/>
      <c r="RAX59" s="557"/>
      <c r="RAY59" s="661"/>
      <c r="RAZ59" s="556"/>
      <c r="RBA59" s="557"/>
      <c r="RBB59" s="557"/>
      <c r="RBC59" s="557"/>
      <c r="RBD59" s="557"/>
      <c r="RBE59" s="557"/>
      <c r="RBF59" s="557"/>
      <c r="RBG59" s="557"/>
      <c r="RBH59" s="557"/>
      <c r="RBI59" s="557"/>
      <c r="RBJ59" s="557"/>
      <c r="RBK59" s="557"/>
      <c r="RBL59" s="557"/>
      <c r="RBM59" s="557"/>
      <c r="RBN59" s="557"/>
      <c r="RBO59" s="557"/>
      <c r="RBP59" s="557"/>
      <c r="RBQ59" s="557"/>
      <c r="RBR59" s="557"/>
      <c r="RBS59" s="661"/>
      <c r="RBT59" s="556"/>
      <c r="RBU59" s="557"/>
      <c r="RBV59" s="557"/>
      <c r="RBW59" s="557"/>
      <c r="RBX59" s="557"/>
      <c r="RBY59" s="557"/>
      <c r="RBZ59" s="557"/>
      <c r="RCA59" s="557"/>
      <c r="RCB59" s="557"/>
      <c r="RCC59" s="557"/>
      <c r="RCD59" s="557"/>
      <c r="RCE59" s="557"/>
      <c r="RCF59" s="557"/>
      <c r="RCG59" s="557"/>
      <c r="RCH59" s="557"/>
      <c r="RCI59" s="557"/>
      <c r="RCJ59" s="557"/>
      <c r="RCK59" s="557"/>
      <c r="RCL59" s="557"/>
      <c r="RCM59" s="661"/>
      <c r="RCN59" s="556"/>
      <c r="RCO59" s="557"/>
      <c r="RCP59" s="557"/>
      <c r="RCQ59" s="557"/>
      <c r="RCR59" s="557"/>
      <c r="RCS59" s="557"/>
      <c r="RCT59" s="557"/>
      <c r="RCU59" s="557"/>
      <c r="RCV59" s="557"/>
      <c r="RCW59" s="557"/>
      <c r="RCX59" s="557"/>
      <c r="RCY59" s="557"/>
      <c r="RCZ59" s="557"/>
      <c r="RDA59" s="557"/>
      <c r="RDB59" s="557"/>
      <c r="RDC59" s="557"/>
      <c r="RDD59" s="557"/>
      <c r="RDE59" s="557"/>
      <c r="RDF59" s="557"/>
      <c r="RDG59" s="661"/>
      <c r="RDH59" s="556"/>
      <c r="RDI59" s="557"/>
      <c r="RDJ59" s="557"/>
      <c r="RDK59" s="557"/>
      <c r="RDL59" s="557"/>
      <c r="RDM59" s="557"/>
      <c r="RDN59" s="557"/>
      <c r="RDO59" s="557"/>
      <c r="RDP59" s="557"/>
      <c r="RDQ59" s="557"/>
      <c r="RDR59" s="557"/>
      <c r="RDS59" s="557"/>
      <c r="RDT59" s="557"/>
      <c r="RDU59" s="557"/>
      <c r="RDV59" s="557"/>
      <c r="RDW59" s="557"/>
      <c r="RDX59" s="557"/>
      <c r="RDY59" s="557"/>
      <c r="RDZ59" s="557"/>
      <c r="REA59" s="661"/>
      <c r="REB59" s="556"/>
      <c r="REC59" s="557"/>
      <c r="RED59" s="557"/>
      <c r="REE59" s="557"/>
      <c r="REF59" s="557"/>
      <c r="REG59" s="557"/>
      <c r="REH59" s="557"/>
      <c r="REI59" s="557"/>
      <c r="REJ59" s="557"/>
      <c r="REK59" s="557"/>
      <c r="REL59" s="557"/>
      <c r="REM59" s="557"/>
      <c r="REN59" s="557"/>
      <c r="REO59" s="557"/>
      <c r="REP59" s="557"/>
      <c r="REQ59" s="557"/>
      <c r="RER59" s="557"/>
      <c r="RES59" s="557"/>
      <c r="RET59" s="557"/>
      <c r="REU59" s="661"/>
      <c r="REV59" s="556"/>
      <c r="REW59" s="557"/>
      <c r="REX59" s="557"/>
      <c r="REY59" s="557"/>
      <c r="REZ59" s="557"/>
      <c r="RFA59" s="557"/>
      <c r="RFB59" s="557"/>
      <c r="RFC59" s="557"/>
      <c r="RFD59" s="557"/>
      <c r="RFE59" s="557"/>
      <c r="RFF59" s="557"/>
      <c r="RFG59" s="557"/>
      <c r="RFH59" s="557"/>
      <c r="RFI59" s="557"/>
      <c r="RFJ59" s="557"/>
      <c r="RFK59" s="557"/>
      <c r="RFL59" s="557"/>
      <c r="RFM59" s="557"/>
      <c r="RFN59" s="557"/>
      <c r="RFO59" s="661"/>
      <c r="RFP59" s="556"/>
      <c r="RFQ59" s="557"/>
      <c r="RFR59" s="557"/>
      <c r="RFS59" s="557"/>
      <c r="RFT59" s="557"/>
      <c r="RFU59" s="557"/>
      <c r="RFV59" s="557"/>
      <c r="RFW59" s="557"/>
      <c r="RFX59" s="557"/>
      <c r="RFY59" s="557"/>
      <c r="RFZ59" s="557"/>
      <c r="RGA59" s="557"/>
      <c r="RGB59" s="557"/>
      <c r="RGC59" s="557"/>
      <c r="RGD59" s="557"/>
      <c r="RGE59" s="557"/>
      <c r="RGF59" s="557"/>
      <c r="RGG59" s="557"/>
      <c r="RGH59" s="557"/>
      <c r="RGI59" s="661"/>
      <c r="RGJ59" s="556"/>
      <c r="RGK59" s="557"/>
      <c r="RGL59" s="557"/>
      <c r="RGM59" s="557"/>
      <c r="RGN59" s="557"/>
      <c r="RGO59" s="557"/>
      <c r="RGP59" s="557"/>
      <c r="RGQ59" s="557"/>
      <c r="RGR59" s="557"/>
      <c r="RGS59" s="557"/>
      <c r="RGT59" s="557"/>
      <c r="RGU59" s="557"/>
      <c r="RGV59" s="557"/>
      <c r="RGW59" s="557"/>
      <c r="RGX59" s="557"/>
      <c r="RGY59" s="557"/>
      <c r="RGZ59" s="557"/>
      <c r="RHA59" s="557"/>
      <c r="RHB59" s="557"/>
      <c r="RHC59" s="661"/>
      <c r="RHD59" s="556"/>
      <c r="RHE59" s="557"/>
      <c r="RHF59" s="557"/>
      <c r="RHG59" s="557"/>
      <c r="RHH59" s="557"/>
      <c r="RHI59" s="557"/>
      <c r="RHJ59" s="557"/>
      <c r="RHK59" s="557"/>
      <c r="RHL59" s="557"/>
      <c r="RHM59" s="557"/>
      <c r="RHN59" s="557"/>
      <c r="RHO59" s="557"/>
      <c r="RHP59" s="557"/>
      <c r="RHQ59" s="557"/>
      <c r="RHR59" s="557"/>
      <c r="RHS59" s="557"/>
      <c r="RHT59" s="557"/>
      <c r="RHU59" s="557"/>
      <c r="RHV59" s="557"/>
      <c r="RHW59" s="661"/>
      <c r="RHX59" s="556"/>
      <c r="RHY59" s="557"/>
      <c r="RHZ59" s="557"/>
      <c r="RIA59" s="557"/>
      <c r="RIB59" s="557"/>
      <c r="RIC59" s="557"/>
      <c r="RID59" s="557"/>
      <c r="RIE59" s="557"/>
      <c r="RIF59" s="557"/>
      <c r="RIG59" s="557"/>
      <c r="RIH59" s="557"/>
      <c r="RII59" s="557"/>
      <c r="RIJ59" s="557"/>
      <c r="RIK59" s="557"/>
      <c r="RIL59" s="557"/>
      <c r="RIM59" s="557"/>
      <c r="RIN59" s="557"/>
      <c r="RIO59" s="557"/>
      <c r="RIP59" s="557"/>
      <c r="RIQ59" s="661"/>
      <c r="RIR59" s="556"/>
      <c r="RIS59" s="557"/>
      <c r="RIT59" s="557"/>
      <c r="RIU59" s="557"/>
      <c r="RIV59" s="557"/>
      <c r="RIW59" s="557"/>
      <c r="RIX59" s="557"/>
      <c r="RIY59" s="557"/>
      <c r="RIZ59" s="557"/>
      <c r="RJA59" s="557"/>
      <c r="RJB59" s="557"/>
      <c r="RJC59" s="557"/>
      <c r="RJD59" s="557"/>
      <c r="RJE59" s="557"/>
      <c r="RJF59" s="557"/>
      <c r="RJG59" s="557"/>
      <c r="RJH59" s="557"/>
      <c r="RJI59" s="557"/>
      <c r="RJJ59" s="557"/>
      <c r="RJK59" s="661"/>
      <c r="RJL59" s="556"/>
      <c r="RJM59" s="557"/>
      <c r="RJN59" s="557"/>
      <c r="RJO59" s="557"/>
      <c r="RJP59" s="557"/>
      <c r="RJQ59" s="557"/>
      <c r="RJR59" s="557"/>
      <c r="RJS59" s="557"/>
      <c r="RJT59" s="557"/>
      <c r="RJU59" s="557"/>
      <c r="RJV59" s="557"/>
      <c r="RJW59" s="557"/>
      <c r="RJX59" s="557"/>
      <c r="RJY59" s="557"/>
      <c r="RJZ59" s="557"/>
      <c r="RKA59" s="557"/>
      <c r="RKB59" s="557"/>
      <c r="RKC59" s="557"/>
      <c r="RKD59" s="557"/>
      <c r="RKE59" s="661"/>
      <c r="RKF59" s="556"/>
      <c r="RKG59" s="557"/>
      <c r="RKH59" s="557"/>
      <c r="RKI59" s="557"/>
      <c r="RKJ59" s="557"/>
      <c r="RKK59" s="557"/>
      <c r="RKL59" s="557"/>
      <c r="RKM59" s="557"/>
      <c r="RKN59" s="557"/>
      <c r="RKO59" s="557"/>
      <c r="RKP59" s="557"/>
      <c r="RKQ59" s="557"/>
      <c r="RKR59" s="557"/>
      <c r="RKS59" s="557"/>
      <c r="RKT59" s="557"/>
      <c r="RKU59" s="557"/>
      <c r="RKV59" s="557"/>
      <c r="RKW59" s="557"/>
      <c r="RKX59" s="557"/>
      <c r="RKY59" s="661"/>
      <c r="RKZ59" s="556"/>
      <c r="RLA59" s="557"/>
      <c r="RLB59" s="557"/>
      <c r="RLC59" s="557"/>
      <c r="RLD59" s="557"/>
      <c r="RLE59" s="557"/>
      <c r="RLF59" s="557"/>
      <c r="RLG59" s="557"/>
      <c r="RLH59" s="557"/>
      <c r="RLI59" s="557"/>
      <c r="RLJ59" s="557"/>
      <c r="RLK59" s="557"/>
      <c r="RLL59" s="557"/>
      <c r="RLM59" s="557"/>
      <c r="RLN59" s="557"/>
      <c r="RLO59" s="557"/>
      <c r="RLP59" s="557"/>
      <c r="RLQ59" s="557"/>
      <c r="RLR59" s="557"/>
      <c r="RLS59" s="661"/>
      <c r="RLT59" s="556"/>
      <c r="RLU59" s="557"/>
      <c r="RLV59" s="557"/>
      <c r="RLW59" s="557"/>
      <c r="RLX59" s="557"/>
      <c r="RLY59" s="557"/>
      <c r="RLZ59" s="557"/>
      <c r="RMA59" s="557"/>
      <c r="RMB59" s="557"/>
      <c r="RMC59" s="557"/>
      <c r="RMD59" s="557"/>
      <c r="RME59" s="557"/>
      <c r="RMF59" s="557"/>
      <c r="RMG59" s="557"/>
      <c r="RMH59" s="557"/>
      <c r="RMI59" s="557"/>
      <c r="RMJ59" s="557"/>
      <c r="RMK59" s="557"/>
      <c r="RML59" s="557"/>
      <c r="RMM59" s="661"/>
      <c r="RMN59" s="556"/>
      <c r="RMO59" s="557"/>
      <c r="RMP59" s="557"/>
      <c r="RMQ59" s="557"/>
      <c r="RMR59" s="557"/>
      <c r="RMS59" s="557"/>
      <c r="RMT59" s="557"/>
      <c r="RMU59" s="557"/>
      <c r="RMV59" s="557"/>
      <c r="RMW59" s="557"/>
      <c r="RMX59" s="557"/>
      <c r="RMY59" s="557"/>
      <c r="RMZ59" s="557"/>
      <c r="RNA59" s="557"/>
      <c r="RNB59" s="557"/>
      <c r="RNC59" s="557"/>
      <c r="RND59" s="557"/>
      <c r="RNE59" s="557"/>
      <c r="RNF59" s="557"/>
      <c r="RNG59" s="661"/>
      <c r="RNH59" s="556"/>
      <c r="RNI59" s="557"/>
      <c r="RNJ59" s="557"/>
      <c r="RNK59" s="557"/>
      <c r="RNL59" s="557"/>
      <c r="RNM59" s="557"/>
      <c r="RNN59" s="557"/>
      <c r="RNO59" s="557"/>
      <c r="RNP59" s="557"/>
      <c r="RNQ59" s="557"/>
      <c r="RNR59" s="557"/>
      <c r="RNS59" s="557"/>
      <c r="RNT59" s="557"/>
      <c r="RNU59" s="557"/>
      <c r="RNV59" s="557"/>
      <c r="RNW59" s="557"/>
      <c r="RNX59" s="557"/>
      <c r="RNY59" s="557"/>
      <c r="RNZ59" s="557"/>
      <c r="ROA59" s="661"/>
      <c r="ROB59" s="556"/>
      <c r="ROC59" s="557"/>
      <c r="ROD59" s="557"/>
      <c r="ROE59" s="557"/>
      <c r="ROF59" s="557"/>
      <c r="ROG59" s="557"/>
      <c r="ROH59" s="557"/>
      <c r="ROI59" s="557"/>
      <c r="ROJ59" s="557"/>
      <c r="ROK59" s="557"/>
      <c r="ROL59" s="557"/>
      <c r="ROM59" s="557"/>
      <c r="RON59" s="557"/>
      <c r="ROO59" s="557"/>
      <c r="ROP59" s="557"/>
      <c r="ROQ59" s="557"/>
      <c r="ROR59" s="557"/>
      <c r="ROS59" s="557"/>
      <c r="ROT59" s="557"/>
      <c r="ROU59" s="661"/>
      <c r="ROV59" s="556"/>
      <c r="ROW59" s="557"/>
      <c r="ROX59" s="557"/>
      <c r="ROY59" s="557"/>
      <c r="ROZ59" s="557"/>
      <c r="RPA59" s="557"/>
      <c r="RPB59" s="557"/>
      <c r="RPC59" s="557"/>
      <c r="RPD59" s="557"/>
      <c r="RPE59" s="557"/>
      <c r="RPF59" s="557"/>
      <c r="RPG59" s="557"/>
      <c r="RPH59" s="557"/>
      <c r="RPI59" s="557"/>
      <c r="RPJ59" s="557"/>
      <c r="RPK59" s="557"/>
      <c r="RPL59" s="557"/>
      <c r="RPM59" s="557"/>
      <c r="RPN59" s="557"/>
      <c r="RPO59" s="661"/>
      <c r="RPP59" s="556"/>
      <c r="RPQ59" s="557"/>
      <c r="RPR59" s="557"/>
      <c r="RPS59" s="557"/>
      <c r="RPT59" s="557"/>
      <c r="RPU59" s="557"/>
      <c r="RPV59" s="557"/>
      <c r="RPW59" s="557"/>
      <c r="RPX59" s="557"/>
      <c r="RPY59" s="557"/>
      <c r="RPZ59" s="557"/>
      <c r="RQA59" s="557"/>
      <c r="RQB59" s="557"/>
      <c r="RQC59" s="557"/>
      <c r="RQD59" s="557"/>
      <c r="RQE59" s="557"/>
      <c r="RQF59" s="557"/>
      <c r="RQG59" s="557"/>
      <c r="RQH59" s="557"/>
      <c r="RQI59" s="661"/>
      <c r="RQJ59" s="556"/>
      <c r="RQK59" s="557"/>
      <c r="RQL59" s="557"/>
      <c r="RQM59" s="557"/>
      <c r="RQN59" s="557"/>
      <c r="RQO59" s="557"/>
      <c r="RQP59" s="557"/>
      <c r="RQQ59" s="557"/>
      <c r="RQR59" s="557"/>
      <c r="RQS59" s="557"/>
      <c r="RQT59" s="557"/>
      <c r="RQU59" s="557"/>
      <c r="RQV59" s="557"/>
      <c r="RQW59" s="557"/>
      <c r="RQX59" s="557"/>
      <c r="RQY59" s="557"/>
      <c r="RQZ59" s="557"/>
      <c r="RRA59" s="557"/>
      <c r="RRB59" s="557"/>
      <c r="RRC59" s="661"/>
      <c r="RRD59" s="556"/>
      <c r="RRE59" s="557"/>
      <c r="RRF59" s="557"/>
      <c r="RRG59" s="557"/>
      <c r="RRH59" s="557"/>
      <c r="RRI59" s="557"/>
      <c r="RRJ59" s="557"/>
      <c r="RRK59" s="557"/>
      <c r="RRL59" s="557"/>
      <c r="RRM59" s="557"/>
      <c r="RRN59" s="557"/>
      <c r="RRO59" s="557"/>
      <c r="RRP59" s="557"/>
      <c r="RRQ59" s="557"/>
      <c r="RRR59" s="557"/>
      <c r="RRS59" s="557"/>
      <c r="RRT59" s="557"/>
      <c r="RRU59" s="557"/>
      <c r="RRV59" s="557"/>
      <c r="RRW59" s="661"/>
      <c r="RRX59" s="556"/>
      <c r="RRY59" s="557"/>
      <c r="RRZ59" s="557"/>
      <c r="RSA59" s="557"/>
      <c r="RSB59" s="557"/>
      <c r="RSC59" s="557"/>
      <c r="RSD59" s="557"/>
      <c r="RSE59" s="557"/>
      <c r="RSF59" s="557"/>
      <c r="RSG59" s="557"/>
      <c r="RSH59" s="557"/>
      <c r="RSI59" s="557"/>
      <c r="RSJ59" s="557"/>
      <c r="RSK59" s="557"/>
      <c r="RSL59" s="557"/>
      <c r="RSM59" s="557"/>
      <c r="RSN59" s="557"/>
      <c r="RSO59" s="557"/>
      <c r="RSP59" s="557"/>
      <c r="RSQ59" s="661"/>
      <c r="RSR59" s="556"/>
      <c r="RSS59" s="557"/>
      <c r="RST59" s="557"/>
      <c r="RSU59" s="557"/>
      <c r="RSV59" s="557"/>
      <c r="RSW59" s="557"/>
      <c r="RSX59" s="557"/>
      <c r="RSY59" s="557"/>
      <c r="RSZ59" s="557"/>
      <c r="RTA59" s="557"/>
      <c r="RTB59" s="557"/>
      <c r="RTC59" s="557"/>
      <c r="RTD59" s="557"/>
      <c r="RTE59" s="557"/>
      <c r="RTF59" s="557"/>
      <c r="RTG59" s="557"/>
      <c r="RTH59" s="557"/>
      <c r="RTI59" s="557"/>
      <c r="RTJ59" s="557"/>
      <c r="RTK59" s="661"/>
      <c r="RTL59" s="556"/>
      <c r="RTM59" s="557"/>
      <c r="RTN59" s="557"/>
      <c r="RTO59" s="557"/>
      <c r="RTP59" s="557"/>
      <c r="RTQ59" s="557"/>
      <c r="RTR59" s="557"/>
      <c r="RTS59" s="557"/>
      <c r="RTT59" s="557"/>
      <c r="RTU59" s="557"/>
      <c r="RTV59" s="557"/>
      <c r="RTW59" s="557"/>
      <c r="RTX59" s="557"/>
      <c r="RTY59" s="557"/>
      <c r="RTZ59" s="557"/>
      <c r="RUA59" s="557"/>
      <c r="RUB59" s="557"/>
      <c r="RUC59" s="557"/>
      <c r="RUD59" s="557"/>
      <c r="RUE59" s="661"/>
      <c r="RUF59" s="556"/>
      <c r="RUG59" s="557"/>
      <c r="RUH59" s="557"/>
      <c r="RUI59" s="557"/>
      <c r="RUJ59" s="557"/>
      <c r="RUK59" s="557"/>
      <c r="RUL59" s="557"/>
      <c r="RUM59" s="557"/>
      <c r="RUN59" s="557"/>
      <c r="RUO59" s="557"/>
      <c r="RUP59" s="557"/>
      <c r="RUQ59" s="557"/>
      <c r="RUR59" s="557"/>
      <c r="RUS59" s="557"/>
      <c r="RUT59" s="557"/>
      <c r="RUU59" s="557"/>
      <c r="RUV59" s="557"/>
      <c r="RUW59" s="557"/>
      <c r="RUX59" s="557"/>
      <c r="RUY59" s="661"/>
      <c r="RUZ59" s="556"/>
      <c r="RVA59" s="557"/>
      <c r="RVB59" s="557"/>
      <c r="RVC59" s="557"/>
      <c r="RVD59" s="557"/>
      <c r="RVE59" s="557"/>
      <c r="RVF59" s="557"/>
      <c r="RVG59" s="557"/>
      <c r="RVH59" s="557"/>
      <c r="RVI59" s="557"/>
      <c r="RVJ59" s="557"/>
      <c r="RVK59" s="557"/>
      <c r="RVL59" s="557"/>
      <c r="RVM59" s="557"/>
      <c r="RVN59" s="557"/>
      <c r="RVO59" s="557"/>
      <c r="RVP59" s="557"/>
      <c r="RVQ59" s="557"/>
      <c r="RVR59" s="557"/>
      <c r="RVS59" s="661"/>
      <c r="RVT59" s="556"/>
      <c r="RVU59" s="557"/>
      <c r="RVV59" s="557"/>
      <c r="RVW59" s="557"/>
      <c r="RVX59" s="557"/>
      <c r="RVY59" s="557"/>
      <c r="RVZ59" s="557"/>
      <c r="RWA59" s="557"/>
      <c r="RWB59" s="557"/>
      <c r="RWC59" s="557"/>
      <c r="RWD59" s="557"/>
      <c r="RWE59" s="557"/>
      <c r="RWF59" s="557"/>
      <c r="RWG59" s="557"/>
      <c r="RWH59" s="557"/>
      <c r="RWI59" s="557"/>
      <c r="RWJ59" s="557"/>
      <c r="RWK59" s="557"/>
      <c r="RWL59" s="557"/>
      <c r="RWM59" s="661"/>
      <c r="RWN59" s="556"/>
      <c r="RWO59" s="557"/>
      <c r="RWP59" s="557"/>
      <c r="RWQ59" s="557"/>
      <c r="RWR59" s="557"/>
      <c r="RWS59" s="557"/>
      <c r="RWT59" s="557"/>
      <c r="RWU59" s="557"/>
      <c r="RWV59" s="557"/>
      <c r="RWW59" s="557"/>
      <c r="RWX59" s="557"/>
      <c r="RWY59" s="557"/>
      <c r="RWZ59" s="557"/>
      <c r="RXA59" s="557"/>
      <c r="RXB59" s="557"/>
      <c r="RXC59" s="557"/>
      <c r="RXD59" s="557"/>
      <c r="RXE59" s="557"/>
      <c r="RXF59" s="557"/>
      <c r="RXG59" s="661"/>
      <c r="RXH59" s="556"/>
      <c r="RXI59" s="557"/>
      <c r="RXJ59" s="557"/>
      <c r="RXK59" s="557"/>
      <c r="RXL59" s="557"/>
      <c r="RXM59" s="557"/>
      <c r="RXN59" s="557"/>
      <c r="RXO59" s="557"/>
      <c r="RXP59" s="557"/>
      <c r="RXQ59" s="557"/>
      <c r="RXR59" s="557"/>
      <c r="RXS59" s="557"/>
      <c r="RXT59" s="557"/>
      <c r="RXU59" s="557"/>
      <c r="RXV59" s="557"/>
      <c r="RXW59" s="557"/>
      <c r="RXX59" s="557"/>
      <c r="RXY59" s="557"/>
      <c r="RXZ59" s="557"/>
      <c r="RYA59" s="661"/>
      <c r="RYB59" s="556"/>
      <c r="RYC59" s="557"/>
      <c r="RYD59" s="557"/>
      <c r="RYE59" s="557"/>
      <c r="RYF59" s="557"/>
      <c r="RYG59" s="557"/>
      <c r="RYH59" s="557"/>
      <c r="RYI59" s="557"/>
      <c r="RYJ59" s="557"/>
      <c r="RYK59" s="557"/>
      <c r="RYL59" s="557"/>
      <c r="RYM59" s="557"/>
      <c r="RYN59" s="557"/>
      <c r="RYO59" s="557"/>
      <c r="RYP59" s="557"/>
      <c r="RYQ59" s="557"/>
      <c r="RYR59" s="557"/>
      <c r="RYS59" s="557"/>
      <c r="RYT59" s="557"/>
      <c r="RYU59" s="661"/>
      <c r="RYV59" s="556"/>
      <c r="RYW59" s="557"/>
      <c r="RYX59" s="557"/>
      <c r="RYY59" s="557"/>
      <c r="RYZ59" s="557"/>
      <c r="RZA59" s="557"/>
      <c r="RZB59" s="557"/>
      <c r="RZC59" s="557"/>
      <c r="RZD59" s="557"/>
      <c r="RZE59" s="557"/>
      <c r="RZF59" s="557"/>
      <c r="RZG59" s="557"/>
      <c r="RZH59" s="557"/>
      <c r="RZI59" s="557"/>
      <c r="RZJ59" s="557"/>
      <c r="RZK59" s="557"/>
      <c r="RZL59" s="557"/>
      <c r="RZM59" s="557"/>
      <c r="RZN59" s="557"/>
      <c r="RZO59" s="661"/>
      <c r="RZP59" s="556"/>
      <c r="RZQ59" s="557"/>
      <c r="RZR59" s="557"/>
      <c r="RZS59" s="557"/>
      <c r="RZT59" s="557"/>
      <c r="RZU59" s="557"/>
      <c r="RZV59" s="557"/>
      <c r="RZW59" s="557"/>
      <c r="RZX59" s="557"/>
      <c r="RZY59" s="557"/>
      <c r="RZZ59" s="557"/>
      <c r="SAA59" s="557"/>
      <c r="SAB59" s="557"/>
      <c r="SAC59" s="557"/>
      <c r="SAD59" s="557"/>
      <c r="SAE59" s="557"/>
      <c r="SAF59" s="557"/>
      <c r="SAG59" s="557"/>
      <c r="SAH59" s="557"/>
      <c r="SAI59" s="661"/>
      <c r="SAJ59" s="556"/>
      <c r="SAK59" s="557"/>
      <c r="SAL59" s="557"/>
      <c r="SAM59" s="557"/>
      <c r="SAN59" s="557"/>
      <c r="SAO59" s="557"/>
      <c r="SAP59" s="557"/>
      <c r="SAQ59" s="557"/>
      <c r="SAR59" s="557"/>
      <c r="SAS59" s="557"/>
      <c r="SAT59" s="557"/>
      <c r="SAU59" s="557"/>
      <c r="SAV59" s="557"/>
      <c r="SAW59" s="557"/>
      <c r="SAX59" s="557"/>
      <c r="SAY59" s="557"/>
      <c r="SAZ59" s="557"/>
      <c r="SBA59" s="557"/>
      <c r="SBB59" s="557"/>
      <c r="SBC59" s="661"/>
      <c r="SBD59" s="556"/>
      <c r="SBE59" s="557"/>
      <c r="SBF59" s="557"/>
      <c r="SBG59" s="557"/>
      <c r="SBH59" s="557"/>
      <c r="SBI59" s="557"/>
      <c r="SBJ59" s="557"/>
      <c r="SBK59" s="557"/>
      <c r="SBL59" s="557"/>
      <c r="SBM59" s="557"/>
      <c r="SBN59" s="557"/>
      <c r="SBO59" s="557"/>
      <c r="SBP59" s="557"/>
      <c r="SBQ59" s="557"/>
      <c r="SBR59" s="557"/>
      <c r="SBS59" s="557"/>
      <c r="SBT59" s="557"/>
      <c r="SBU59" s="557"/>
      <c r="SBV59" s="557"/>
      <c r="SBW59" s="661"/>
      <c r="SBX59" s="556"/>
      <c r="SBY59" s="557"/>
      <c r="SBZ59" s="557"/>
      <c r="SCA59" s="557"/>
      <c r="SCB59" s="557"/>
      <c r="SCC59" s="557"/>
      <c r="SCD59" s="557"/>
      <c r="SCE59" s="557"/>
      <c r="SCF59" s="557"/>
      <c r="SCG59" s="557"/>
      <c r="SCH59" s="557"/>
      <c r="SCI59" s="557"/>
      <c r="SCJ59" s="557"/>
      <c r="SCK59" s="557"/>
      <c r="SCL59" s="557"/>
      <c r="SCM59" s="557"/>
      <c r="SCN59" s="557"/>
      <c r="SCO59" s="557"/>
      <c r="SCP59" s="557"/>
      <c r="SCQ59" s="661"/>
      <c r="SCR59" s="556"/>
      <c r="SCS59" s="557"/>
      <c r="SCT59" s="557"/>
      <c r="SCU59" s="557"/>
      <c r="SCV59" s="557"/>
      <c r="SCW59" s="557"/>
      <c r="SCX59" s="557"/>
      <c r="SCY59" s="557"/>
      <c r="SCZ59" s="557"/>
      <c r="SDA59" s="557"/>
      <c r="SDB59" s="557"/>
      <c r="SDC59" s="557"/>
      <c r="SDD59" s="557"/>
      <c r="SDE59" s="557"/>
      <c r="SDF59" s="557"/>
      <c r="SDG59" s="557"/>
      <c r="SDH59" s="557"/>
      <c r="SDI59" s="557"/>
      <c r="SDJ59" s="557"/>
      <c r="SDK59" s="661"/>
      <c r="SDL59" s="556"/>
      <c r="SDM59" s="557"/>
      <c r="SDN59" s="557"/>
      <c r="SDO59" s="557"/>
      <c r="SDP59" s="557"/>
      <c r="SDQ59" s="557"/>
      <c r="SDR59" s="557"/>
      <c r="SDS59" s="557"/>
      <c r="SDT59" s="557"/>
      <c r="SDU59" s="557"/>
      <c r="SDV59" s="557"/>
      <c r="SDW59" s="557"/>
      <c r="SDX59" s="557"/>
      <c r="SDY59" s="557"/>
      <c r="SDZ59" s="557"/>
      <c r="SEA59" s="557"/>
      <c r="SEB59" s="557"/>
      <c r="SEC59" s="557"/>
      <c r="SED59" s="557"/>
      <c r="SEE59" s="661"/>
      <c r="SEF59" s="556"/>
      <c r="SEG59" s="557"/>
      <c r="SEH59" s="557"/>
      <c r="SEI59" s="557"/>
      <c r="SEJ59" s="557"/>
      <c r="SEK59" s="557"/>
      <c r="SEL59" s="557"/>
      <c r="SEM59" s="557"/>
      <c r="SEN59" s="557"/>
      <c r="SEO59" s="557"/>
      <c r="SEP59" s="557"/>
      <c r="SEQ59" s="557"/>
      <c r="SER59" s="557"/>
      <c r="SES59" s="557"/>
      <c r="SET59" s="557"/>
      <c r="SEU59" s="557"/>
      <c r="SEV59" s="557"/>
      <c r="SEW59" s="557"/>
      <c r="SEX59" s="557"/>
      <c r="SEY59" s="661"/>
      <c r="SEZ59" s="556"/>
      <c r="SFA59" s="557"/>
      <c r="SFB59" s="557"/>
      <c r="SFC59" s="557"/>
      <c r="SFD59" s="557"/>
      <c r="SFE59" s="557"/>
      <c r="SFF59" s="557"/>
      <c r="SFG59" s="557"/>
      <c r="SFH59" s="557"/>
      <c r="SFI59" s="557"/>
      <c r="SFJ59" s="557"/>
      <c r="SFK59" s="557"/>
      <c r="SFL59" s="557"/>
      <c r="SFM59" s="557"/>
      <c r="SFN59" s="557"/>
      <c r="SFO59" s="557"/>
      <c r="SFP59" s="557"/>
      <c r="SFQ59" s="557"/>
      <c r="SFR59" s="557"/>
      <c r="SFS59" s="661"/>
      <c r="SFT59" s="556"/>
      <c r="SFU59" s="557"/>
      <c r="SFV59" s="557"/>
      <c r="SFW59" s="557"/>
      <c r="SFX59" s="557"/>
      <c r="SFY59" s="557"/>
      <c r="SFZ59" s="557"/>
      <c r="SGA59" s="557"/>
      <c r="SGB59" s="557"/>
      <c r="SGC59" s="557"/>
      <c r="SGD59" s="557"/>
      <c r="SGE59" s="557"/>
      <c r="SGF59" s="557"/>
      <c r="SGG59" s="557"/>
      <c r="SGH59" s="557"/>
      <c r="SGI59" s="557"/>
      <c r="SGJ59" s="557"/>
      <c r="SGK59" s="557"/>
      <c r="SGL59" s="557"/>
      <c r="SGM59" s="661"/>
      <c r="SGN59" s="556"/>
      <c r="SGO59" s="557"/>
      <c r="SGP59" s="557"/>
      <c r="SGQ59" s="557"/>
      <c r="SGR59" s="557"/>
      <c r="SGS59" s="557"/>
      <c r="SGT59" s="557"/>
      <c r="SGU59" s="557"/>
      <c r="SGV59" s="557"/>
      <c r="SGW59" s="557"/>
      <c r="SGX59" s="557"/>
      <c r="SGY59" s="557"/>
      <c r="SGZ59" s="557"/>
      <c r="SHA59" s="557"/>
      <c r="SHB59" s="557"/>
      <c r="SHC59" s="557"/>
      <c r="SHD59" s="557"/>
      <c r="SHE59" s="557"/>
      <c r="SHF59" s="557"/>
      <c r="SHG59" s="661"/>
      <c r="SHH59" s="556"/>
      <c r="SHI59" s="557"/>
      <c r="SHJ59" s="557"/>
      <c r="SHK59" s="557"/>
      <c r="SHL59" s="557"/>
      <c r="SHM59" s="557"/>
      <c r="SHN59" s="557"/>
      <c r="SHO59" s="557"/>
      <c r="SHP59" s="557"/>
      <c r="SHQ59" s="557"/>
      <c r="SHR59" s="557"/>
      <c r="SHS59" s="557"/>
      <c r="SHT59" s="557"/>
      <c r="SHU59" s="557"/>
      <c r="SHV59" s="557"/>
      <c r="SHW59" s="557"/>
      <c r="SHX59" s="557"/>
      <c r="SHY59" s="557"/>
      <c r="SHZ59" s="557"/>
      <c r="SIA59" s="661"/>
      <c r="SIB59" s="556"/>
      <c r="SIC59" s="557"/>
      <c r="SID59" s="557"/>
      <c r="SIE59" s="557"/>
      <c r="SIF59" s="557"/>
      <c r="SIG59" s="557"/>
      <c r="SIH59" s="557"/>
      <c r="SII59" s="557"/>
      <c r="SIJ59" s="557"/>
      <c r="SIK59" s="557"/>
      <c r="SIL59" s="557"/>
      <c r="SIM59" s="557"/>
      <c r="SIN59" s="557"/>
      <c r="SIO59" s="557"/>
      <c r="SIP59" s="557"/>
      <c r="SIQ59" s="557"/>
      <c r="SIR59" s="557"/>
      <c r="SIS59" s="557"/>
      <c r="SIT59" s="557"/>
      <c r="SIU59" s="661"/>
      <c r="SIV59" s="556"/>
      <c r="SIW59" s="557"/>
      <c r="SIX59" s="557"/>
      <c r="SIY59" s="557"/>
      <c r="SIZ59" s="557"/>
      <c r="SJA59" s="557"/>
      <c r="SJB59" s="557"/>
      <c r="SJC59" s="557"/>
      <c r="SJD59" s="557"/>
      <c r="SJE59" s="557"/>
      <c r="SJF59" s="557"/>
      <c r="SJG59" s="557"/>
      <c r="SJH59" s="557"/>
      <c r="SJI59" s="557"/>
      <c r="SJJ59" s="557"/>
      <c r="SJK59" s="557"/>
      <c r="SJL59" s="557"/>
      <c r="SJM59" s="557"/>
      <c r="SJN59" s="557"/>
      <c r="SJO59" s="661"/>
      <c r="SJP59" s="556"/>
      <c r="SJQ59" s="557"/>
      <c r="SJR59" s="557"/>
      <c r="SJS59" s="557"/>
      <c r="SJT59" s="557"/>
      <c r="SJU59" s="557"/>
      <c r="SJV59" s="557"/>
      <c r="SJW59" s="557"/>
      <c r="SJX59" s="557"/>
      <c r="SJY59" s="557"/>
      <c r="SJZ59" s="557"/>
      <c r="SKA59" s="557"/>
      <c r="SKB59" s="557"/>
      <c r="SKC59" s="557"/>
      <c r="SKD59" s="557"/>
      <c r="SKE59" s="557"/>
      <c r="SKF59" s="557"/>
      <c r="SKG59" s="557"/>
      <c r="SKH59" s="557"/>
      <c r="SKI59" s="661"/>
      <c r="SKJ59" s="556"/>
      <c r="SKK59" s="557"/>
      <c r="SKL59" s="557"/>
      <c r="SKM59" s="557"/>
      <c r="SKN59" s="557"/>
      <c r="SKO59" s="557"/>
      <c r="SKP59" s="557"/>
      <c r="SKQ59" s="557"/>
      <c r="SKR59" s="557"/>
      <c r="SKS59" s="557"/>
      <c r="SKT59" s="557"/>
      <c r="SKU59" s="557"/>
      <c r="SKV59" s="557"/>
      <c r="SKW59" s="557"/>
      <c r="SKX59" s="557"/>
      <c r="SKY59" s="557"/>
      <c r="SKZ59" s="557"/>
      <c r="SLA59" s="557"/>
      <c r="SLB59" s="557"/>
      <c r="SLC59" s="661"/>
      <c r="SLD59" s="556"/>
      <c r="SLE59" s="557"/>
      <c r="SLF59" s="557"/>
      <c r="SLG59" s="557"/>
      <c r="SLH59" s="557"/>
      <c r="SLI59" s="557"/>
      <c r="SLJ59" s="557"/>
      <c r="SLK59" s="557"/>
      <c r="SLL59" s="557"/>
      <c r="SLM59" s="557"/>
      <c r="SLN59" s="557"/>
      <c r="SLO59" s="557"/>
      <c r="SLP59" s="557"/>
      <c r="SLQ59" s="557"/>
      <c r="SLR59" s="557"/>
      <c r="SLS59" s="557"/>
      <c r="SLT59" s="557"/>
      <c r="SLU59" s="557"/>
      <c r="SLV59" s="557"/>
      <c r="SLW59" s="661"/>
      <c r="SLX59" s="556"/>
      <c r="SLY59" s="557"/>
      <c r="SLZ59" s="557"/>
      <c r="SMA59" s="557"/>
      <c r="SMB59" s="557"/>
      <c r="SMC59" s="557"/>
      <c r="SMD59" s="557"/>
      <c r="SME59" s="557"/>
      <c r="SMF59" s="557"/>
      <c r="SMG59" s="557"/>
      <c r="SMH59" s="557"/>
      <c r="SMI59" s="557"/>
      <c r="SMJ59" s="557"/>
      <c r="SMK59" s="557"/>
      <c r="SML59" s="557"/>
      <c r="SMM59" s="557"/>
      <c r="SMN59" s="557"/>
      <c r="SMO59" s="557"/>
      <c r="SMP59" s="557"/>
      <c r="SMQ59" s="661"/>
      <c r="SMR59" s="556"/>
      <c r="SMS59" s="557"/>
      <c r="SMT59" s="557"/>
      <c r="SMU59" s="557"/>
      <c r="SMV59" s="557"/>
      <c r="SMW59" s="557"/>
      <c r="SMX59" s="557"/>
      <c r="SMY59" s="557"/>
      <c r="SMZ59" s="557"/>
      <c r="SNA59" s="557"/>
      <c r="SNB59" s="557"/>
      <c r="SNC59" s="557"/>
      <c r="SND59" s="557"/>
      <c r="SNE59" s="557"/>
      <c r="SNF59" s="557"/>
      <c r="SNG59" s="557"/>
      <c r="SNH59" s="557"/>
      <c r="SNI59" s="557"/>
      <c r="SNJ59" s="557"/>
      <c r="SNK59" s="661"/>
      <c r="SNL59" s="556"/>
      <c r="SNM59" s="557"/>
      <c r="SNN59" s="557"/>
      <c r="SNO59" s="557"/>
      <c r="SNP59" s="557"/>
      <c r="SNQ59" s="557"/>
      <c r="SNR59" s="557"/>
      <c r="SNS59" s="557"/>
      <c r="SNT59" s="557"/>
      <c r="SNU59" s="557"/>
      <c r="SNV59" s="557"/>
      <c r="SNW59" s="557"/>
      <c r="SNX59" s="557"/>
      <c r="SNY59" s="557"/>
      <c r="SNZ59" s="557"/>
      <c r="SOA59" s="557"/>
      <c r="SOB59" s="557"/>
      <c r="SOC59" s="557"/>
      <c r="SOD59" s="557"/>
      <c r="SOE59" s="661"/>
      <c r="SOF59" s="556"/>
      <c r="SOG59" s="557"/>
      <c r="SOH59" s="557"/>
      <c r="SOI59" s="557"/>
      <c r="SOJ59" s="557"/>
      <c r="SOK59" s="557"/>
      <c r="SOL59" s="557"/>
      <c r="SOM59" s="557"/>
      <c r="SON59" s="557"/>
      <c r="SOO59" s="557"/>
      <c r="SOP59" s="557"/>
      <c r="SOQ59" s="557"/>
      <c r="SOR59" s="557"/>
      <c r="SOS59" s="557"/>
      <c r="SOT59" s="557"/>
      <c r="SOU59" s="557"/>
      <c r="SOV59" s="557"/>
      <c r="SOW59" s="557"/>
      <c r="SOX59" s="557"/>
      <c r="SOY59" s="661"/>
      <c r="SOZ59" s="556"/>
      <c r="SPA59" s="557"/>
      <c r="SPB59" s="557"/>
      <c r="SPC59" s="557"/>
      <c r="SPD59" s="557"/>
      <c r="SPE59" s="557"/>
      <c r="SPF59" s="557"/>
      <c r="SPG59" s="557"/>
      <c r="SPH59" s="557"/>
      <c r="SPI59" s="557"/>
      <c r="SPJ59" s="557"/>
      <c r="SPK59" s="557"/>
      <c r="SPL59" s="557"/>
      <c r="SPM59" s="557"/>
      <c r="SPN59" s="557"/>
      <c r="SPO59" s="557"/>
      <c r="SPP59" s="557"/>
      <c r="SPQ59" s="557"/>
      <c r="SPR59" s="557"/>
      <c r="SPS59" s="661"/>
      <c r="SPT59" s="556"/>
      <c r="SPU59" s="557"/>
      <c r="SPV59" s="557"/>
      <c r="SPW59" s="557"/>
      <c r="SPX59" s="557"/>
      <c r="SPY59" s="557"/>
      <c r="SPZ59" s="557"/>
      <c r="SQA59" s="557"/>
      <c r="SQB59" s="557"/>
      <c r="SQC59" s="557"/>
      <c r="SQD59" s="557"/>
      <c r="SQE59" s="557"/>
      <c r="SQF59" s="557"/>
      <c r="SQG59" s="557"/>
      <c r="SQH59" s="557"/>
      <c r="SQI59" s="557"/>
      <c r="SQJ59" s="557"/>
      <c r="SQK59" s="557"/>
      <c r="SQL59" s="557"/>
      <c r="SQM59" s="661"/>
      <c r="SQN59" s="556"/>
      <c r="SQO59" s="557"/>
      <c r="SQP59" s="557"/>
      <c r="SQQ59" s="557"/>
      <c r="SQR59" s="557"/>
      <c r="SQS59" s="557"/>
      <c r="SQT59" s="557"/>
      <c r="SQU59" s="557"/>
      <c r="SQV59" s="557"/>
      <c r="SQW59" s="557"/>
      <c r="SQX59" s="557"/>
      <c r="SQY59" s="557"/>
      <c r="SQZ59" s="557"/>
      <c r="SRA59" s="557"/>
      <c r="SRB59" s="557"/>
      <c r="SRC59" s="557"/>
      <c r="SRD59" s="557"/>
      <c r="SRE59" s="557"/>
      <c r="SRF59" s="557"/>
      <c r="SRG59" s="661"/>
      <c r="SRH59" s="556"/>
      <c r="SRI59" s="557"/>
      <c r="SRJ59" s="557"/>
      <c r="SRK59" s="557"/>
      <c r="SRL59" s="557"/>
      <c r="SRM59" s="557"/>
      <c r="SRN59" s="557"/>
      <c r="SRO59" s="557"/>
      <c r="SRP59" s="557"/>
      <c r="SRQ59" s="557"/>
      <c r="SRR59" s="557"/>
      <c r="SRS59" s="557"/>
      <c r="SRT59" s="557"/>
      <c r="SRU59" s="557"/>
      <c r="SRV59" s="557"/>
      <c r="SRW59" s="557"/>
      <c r="SRX59" s="557"/>
      <c r="SRY59" s="557"/>
      <c r="SRZ59" s="557"/>
      <c r="SSA59" s="661"/>
      <c r="SSB59" s="556"/>
      <c r="SSC59" s="557"/>
      <c r="SSD59" s="557"/>
      <c r="SSE59" s="557"/>
      <c r="SSF59" s="557"/>
      <c r="SSG59" s="557"/>
      <c r="SSH59" s="557"/>
      <c r="SSI59" s="557"/>
      <c r="SSJ59" s="557"/>
      <c r="SSK59" s="557"/>
      <c r="SSL59" s="557"/>
      <c r="SSM59" s="557"/>
      <c r="SSN59" s="557"/>
      <c r="SSO59" s="557"/>
      <c r="SSP59" s="557"/>
      <c r="SSQ59" s="557"/>
      <c r="SSR59" s="557"/>
      <c r="SSS59" s="557"/>
      <c r="SST59" s="557"/>
      <c r="SSU59" s="661"/>
      <c r="SSV59" s="556"/>
      <c r="SSW59" s="557"/>
      <c r="SSX59" s="557"/>
      <c r="SSY59" s="557"/>
      <c r="SSZ59" s="557"/>
      <c r="STA59" s="557"/>
      <c r="STB59" s="557"/>
      <c r="STC59" s="557"/>
      <c r="STD59" s="557"/>
      <c r="STE59" s="557"/>
      <c r="STF59" s="557"/>
      <c r="STG59" s="557"/>
      <c r="STH59" s="557"/>
      <c r="STI59" s="557"/>
      <c r="STJ59" s="557"/>
      <c r="STK59" s="557"/>
      <c r="STL59" s="557"/>
      <c r="STM59" s="557"/>
      <c r="STN59" s="557"/>
      <c r="STO59" s="661"/>
      <c r="STP59" s="556"/>
      <c r="STQ59" s="557"/>
      <c r="STR59" s="557"/>
      <c r="STS59" s="557"/>
      <c r="STT59" s="557"/>
      <c r="STU59" s="557"/>
      <c r="STV59" s="557"/>
      <c r="STW59" s="557"/>
      <c r="STX59" s="557"/>
      <c r="STY59" s="557"/>
      <c r="STZ59" s="557"/>
      <c r="SUA59" s="557"/>
      <c r="SUB59" s="557"/>
      <c r="SUC59" s="557"/>
      <c r="SUD59" s="557"/>
      <c r="SUE59" s="557"/>
      <c r="SUF59" s="557"/>
      <c r="SUG59" s="557"/>
      <c r="SUH59" s="557"/>
      <c r="SUI59" s="661"/>
      <c r="SUJ59" s="556"/>
      <c r="SUK59" s="557"/>
      <c r="SUL59" s="557"/>
      <c r="SUM59" s="557"/>
      <c r="SUN59" s="557"/>
      <c r="SUO59" s="557"/>
      <c r="SUP59" s="557"/>
      <c r="SUQ59" s="557"/>
      <c r="SUR59" s="557"/>
      <c r="SUS59" s="557"/>
      <c r="SUT59" s="557"/>
      <c r="SUU59" s="557"/>
      <c r="SUV59" s="557"/>
      <c r="SUW59" s="557"/>
      <c r="SUX59" s="557"/>
      <c r="SUY59" s="557"/>
      <c r="SUZ59" s="557"/>
      <c r="SVA59" s="557"/>
      <c r="SVB59" s="557"/>
      <c r="SVC59" s="661"/>
      <c r="SVD59" s="556"/>
      <c r="SVE59" s="557"/>
      <c r="SVF59" s="557"/>
      <c r="SVG59" s="557"/>
      <c r="SVH59" s="557"/>
      <c r="SVI59" s="557"/>
      <c r="SVJ59" s="557"/>
      <c r="SVK59" s="557"/>
      <c r="SVL59" s="557"/>
      <c r="SVM59" s="557"/>
      <c r="SVN59" s="557"/>
      <c r="SVO59" s="557"/>
      <c r="SVP59" s="557"/>
      <c r="SVQ59" s="557"/>
      <c r="SVR59" s="557"/>
      <c r="SVS59" s="557"/>
      <c r="SVT59" s="557"/>
      <c r="SVU59" s="557"/>
      <c r="SVV59" s="557"/>
      <c r="SVW59" s="661"/>
      <c r="SVX59" s="556"/>
      <c r="SVY59" s="557"/>
      <c r="SVZ59" s="557"/>
      <c r="SWA59" s="557"/>
      <c r="SWB59" s="557"/>
      <c r="SWC59" s="557"/>
      <c r="SWD59" s="557"/>
      <c r="SWE59" s="557"/>
      <c r="SWF59" s="557"/>
      <c r="SWG59" s="557"/>
      <c r="SWH59" s="557"/>
      <c r="SWI59" s="557"/>
      <c r="SWJ59" s="557"/>
      <c r="SWK59" s="557"/>
      <c r="SWL59" s="557"/>
      <c r="SWM59" s="557"/>
      <c r="SWN59" s="557"/>
      <c r="SWO59" s="557"/>
      <c r="SWP59" s="557"/>
      <c r="SWQ59" s="661"/>
      <c r="SWR59" s="556"/>
      <c r="SWS59" s="557"/>
      <c r="SWT59" s="557"/>
      <c r="SWU59" s="557"/>
      <c r="SWV59" s="557"/>
      <c r="SWW59" s="557"/>
      <c r="SWX59" s="557"/>
      <c r="SWY59" s="557"/>
      <c r="SWZ59" s="557"/>
      <c r="SXA59" s="557"/>
      <c r="SXB59" s="557"/>
      <c r="SXC59" s="557"/>
      <c r="SXD59" s="557"/>
      <c r="SXE59" s="557"/>
      <c r="SXF59" s="557"/>
      <c r="SXG59" s="557"/>
      <c r="SXH59" s="557"/>
      <c r="SXI59" s="557"/>
      <c r="SXJ59" s="557"/>
      <c r="SXK59" s="661"/>
      <c r="SXL59" s="556"/>
      <c r="SXM59" s="557"/>
      <c r="SXN59" s="557"/>
      <c r="SXO59" s="557"/>
      <c r="SXP59" s="557"/>
      <c r="SXQ59" s="557"/>
      <c r="SXR59" s="557"/>
      <c r="SXS59" s="557"/>
      <c r="SXT59" s="557"/>
      <c r="SXU59" s="557"/>
      <c r="SXV59" s="557"/>
      <c r="SXW59" s="557"/>
      <c r="SXX59" s="557"/>
      <c r="SXY59" s="557"/>
      <c r="SXZ59" s="557"/>
      <c r="SYA59" s="557"/>
      <c r="SYB59" s="557"/>
      <c r="SYC59" s="557"/>
      <c r="SYD59" s="557"/>
      <c r="SYE59" s="661"/>
      <c r="SYF59" s="556"/>
      <c r="SYG59" s="557"/>
      <c r="SYH59" s="557"/>
      <c r="SYI59" s="557"/>
      <c r="SYJ59" s="557"/>
      <c r="SYK59" s="557"/>
      <c r="SYL59" s="557"/>
      <c r="SYM59" s="557"/>
      <c r="SYN59" s="557"/>
      <c r="SYO59" s="557"/>
      <c r="SYP59" s="557"/>
      <c r="SYQ59" s="557"/>
      <c r="SYR59" s="557"/>
      <c r="SYS59" s="557"/>
      <c r="SYT59" s="557"/>
      <c r="SYU59" s="557"/>
      <c r="SYV59" s="557"/>
      <c r="SYW59" s="557"/>
      <c r="SYX59" s="557"/>
      <c r="SYY59" s="661"/>
      <c r="SYZ59" s="556"/>
      <c r="SZA59" s="557"/>
      <c r="SZB59" s="557"/>
      <c r="SZC59" s="557"/>
      <c r="SZD59" s="557"/>
      <c r="SZE59" s="557"/>
      <c r="SZF59" s="557"/>
      <c r="SZG59" s="557"/>
      <c r="SZH59" s="557"/>
      <c r="SZI59" s="557"/>
      <c r="SZJ59" s="557"/>
      <c r="SZK59" s="557"/>
      <c r="SZL59" s="557"/>
      <c r="SZM59" s="557"/>
      <c r="SZN59" s="557"/>
      <c r="SZO59" s="557"/>
      <c r="SZP59" s="557"/>
      <c r="SZQ59" s="557"/>
      <c r="SZR59" s="557"/>
      <c r="SZS59" s="661"/>
      <c r="SZT59" s="556"/>
      <c r="SZU59" s="557"/>
      <c r="SZV59" s="557"/>
      <c r="SZW59" s="557"/>
      <c r="SZX59" s="557"/>
      <c r="SZY59" s="557"/>
      <c r="SZZ59" s="557"/>
      <c r="TAA59" s="557"/>
      <c r="TAB59" s="557"/>
      <c r="TAC59" s="557"/>
      <c r="TAD59" s="557"/>
      <c r="TAE59" s="557"/>
      <c r="TAF59" s="557"/>
      <c r="TAG59" s="557"/>
      <c r="TAH59" s="557"/>
      <c r="TAI59" s="557"/>
      <c r="TAJ59" s="557"/>
      <c r="TAK59" s="557"/>
      <c r="TAL59" s="557"/>
      <c r="TAM59" s="661"/>
      <c r="TAN59" s="556"/>
      <c r="TAO59" s="557"/>
      <c r="TAP59" s="557"/>
      <c r="TAQ59" s="557"/>
      <c r="TAR59" s="557"/>
      <c r="TAS59" s="557"/>
      <c r="TAT59" s="557"/>
      <c r="TAU59" s="557"/>
      <c r="TAV59" s="557"/>
      <c r="TAW59" s="557"/>
      <c r="TAX59" s="557"/>
      <c r="TAY59" s="557"/>
      <c r="TAZ59" s="557"/>
      <c r="TBA59" s="557"/>
      <c r="TBB59" s="557"/>
      <c r="TBC59" s="557"/>
      <c r="TBD59" s="557"/>
      <c r="TBE59" s="557"/>
      <c r="TBF59" s="557"/>
      <c r="TBG59" s="661"/>
      <c r="TBH59" s="556"/>
      <c r="TBI59" s="557"/>
      <c r="TBJ59" s="557"/>
      <c r="TBK59" s="557"/>
      <c r="TBL59" s="557"/>
      <c r="TBM59" s="557"/>
      <c r="TBN59" s="557"/>
      <c r="TBO59" s="557"/>
      <c r="TBP59" s="557"/>
      <c r="TBQ59" s="557"/>
      <c r="TBR59" s="557"/>
      <c r="TBS59" s="557"/>
      <c r="TBT59" s="557"/>
      <c r="TBU59" s="557"/>
      <c r="TBV59" s="557"/>
      <c r="TBW59" s="557"/>
      <c r="TBX59" s="557"/>
      <c r="TBY59" s="557"/>
      <c r="TBZ59" s="557"/>
      <c r="TCA59" s="661"/>
      <c r="TCB59" s="556"/>
      <c r="TCC59" s="557"/>
      <c r="TCD59" s="557"/>
      <c r="TCE59" s="557"/>
      <c r="TCF59" s="557"/>
      <c r="TCG59" s="557"/>
      <c r="TCH59" s="557"/>
      <c r="TCI59" s="557"/>
      <c r="TCJ59" s="557"/>
      <c r="TCK59" s="557"/>
      <c r="TCL59" s="557"/>
      <c r="TCM59" s="557"/>
      <c r="TCN59" s="557"/>
      <c r="TCO59" s="557"/>
      <c r="TCP59" s="557"/>
      <c r="TCQ59" s="557"/>
      <c r="TCR59" s="557"/>
      <c r="TCS59" s="557"/>
      <c r="TCT59" s="557"/>
      <c r="TCU59" s="661"/>
      <c r="TCV59" s="556"/>
      <c r="TCW59" s="557"/>
      <c r="TCX59" s="557"/>
      <c r="TCY59" s="557"/>
      <c r="TCZ59" s="557"/>
      <c r="TDA59" s="557"/>
      <c r="TDB59" s="557"/>
      <c r="TDC59" s="557"/>
      <c r="TDD59" s="557"/>
      <c r="TDE59" s="557"/>
      <c r="TDF59" s="557"/>
      <c r="TDG59" s="557"/>
      <c r="TDH59" s="557"/>
      <c r="TDI59" s="557"/>
      <c r="TDJ59" s="557"/>
      <c r="TDK59" s="557"/>
      <c r="TDL59" s="557"/>
      <c r="TDM59" s="557"/>
      <c r="TDN59" s="557"/>
      <c r="TDO59" s="661"/>
      <c r="TDP59" s="556"/>
      <c r="TDQ59" s="557"/>
      <c r="TDR59" s="557"/>
      <c r="TDS59" s="557"/>
      <c r="TDT59" s="557"/>
      <c r="TDU59" s="557"/>
      <c r="TDV59" s="557"/>
      <c r="TDW59" s="557"/>
      <c r="TDX59" s="557"/>
      <c r="TDY59" s="557"/>
      <c r="TDZ59" s="557"/>
      <c r="TEA59" s="557"/>
      <c r="TEB59" s="557"/>
      <c r="TEC59" s="557"/>
      <c r="TED59" s="557"/>
      <c r="TEE59" s="557"/>
      <c r="TEF59" s="557"/>
      <c r="TEG59" s="557"/>
      <c r="TEH59" s="557"/>
      <c r="TEI59" s="661"/>
      <c r="TEJ59" s="556"/>
      <c r="TEK59" s="557"/>
      <c r="TEL59" s="557"/>
      <c r="TEM59" s="557"/>
      <c r="TEN59" s="557"/>
      <c r="TEO59" s="557"/>
      <c r="TEP59" s="557"/>
      <c r="TEQ59" s="557"/>
      <c r="TER59" s="557"/>
      <c r="TES59" s="557"/>
      <c r="TET59" s="557"/>
      <c r="TEU59" s="557"/>
      <c r="TEV59" s="557"/>
      <c r="TEW59" s="557"/>
      <c r="TEX59" s="557"/>
      <c r="TEY59" s="557"/>
      <c r="TEZ59" s="557"/>
      <c r="TFA59" s="557"/>
      <c r="TFB59" s="557"/>
      <c r="TFC59" s="661"/>
      <c r="TFD59" s="556"/>
      <c r="TFE59" s="557"/>
      <c r="TFF59" s="557"/>
      <c r="TFG59" s="557"/>
      <c r="TFH59" s="557"/>
      <c r="TFI59" s="557"/>
      <c r="TFJ59" s="557"/>
      <c r="TFK59" s="557"/>
      <c r="TFL59" s="557"/>
      <c r="TFM59" s="557"/>
      <c r="TFN59" s="557"/>
      <c r="TFO59" s="557"/>
      <c r="TFP59" s="557"/>
      <c r="TFQ59" s="557"/>
      <c r="TFR59" s="557"/>
      <c r="TFS59" s="557"/>
      <c r="TFT59" s="557"/>
      <c r="TFU59" s="557"/>
      <c r="TFV59" s="557"/>
      <c r="TFW59" s="661"/>
      <c r="TFX59" s="556"/>
      <c r="TFY59" s="557"/>
      <c r="TFZ59" s="557"/>
      <c r="TGA59" s="557"/>
      <c r="TGB59" s="557"/>
      <c r="TGC59" s="557"/>
      <c r="TGD59" s="557"/>
      <c r="TGE59" s="557"/>
      <c r="TGF59" s="557"/>
      <c r="TGG59" s="557"/>
      <c r="TGH59" s="557"/>
      <c r="TGI59" s="557"/>
      <c r="TGJ59" s="557"/>
      <c r="TGK59" s="557"/>
      <c r="TGL59" s="557"/>
      <c r="TGM59" s="557"/>
      <c r="TGN59" s="557"/>
      <c r="TGO59" s="557"/>
      <c r="TGP59" s="557"/>
      <c r="TGQ59" s="661"/>
      <c r="TGR59" s="556"/>
      <c r="TGS59" s="557"/>
      <c r="TGT59" s="557"/>
      <c r="TGU59" s="557"/>
      <c r="TGV59" s="557"/>
      <c r="TGW59" s="557"/>
      <c r="TGX59" s="557"/>
      <c r="TGY59" s="557"/>
      <c r="TGZ59" s="557"/>
      <c r="THA59" s="557"/>
      <c r="THB59" s="557"/>
      <c r="THC59" s="557"/>
      <c r="THD59" s="557"/>
      <c r="THE59" s="557"/>
      <c r="THF59" s="557"/>
      <c r="THG59" s="557"/>
      <c r="THH59" s="557"/>
      <c r="THI59" s="557"/>
      <c r="THJ59" s="557"/>
      <c r="THK59" s="661"/>
      <c r="THL59" s="556"/>
      <c r="THM59" s="557"/>
      <c r="THN59" s="557"/>
      <c r="THO59" s="557"/>
      <c r="THP59" s="557"/>
      <c r="THQ59" s="557"/>
      <c r="THR59" s="557"/>
      <c r="THS59" s="557"/>
      <c r="THT59" s="557"/>
      <c r="THU59" s="557"/>
      <c r="THV59" s="557"/>
      <c r="THW59" s="557"/>
      <c r="THX59" s="557"/>
      <c r="THY59" s="557"/>
      <c r="THZ59" s="557"/>
      <c r="TIA59" s="557"/>
      <c r="TIB59" s="557"/>
      <c r="TIC59" s="557"/>
      <c r="TID59" s="557"/>
      <c r="TIE59" s="661"/>
      <c r="TIF59" s="556"/>
      <c r="TIG59" s="557"/>
      <c r="TIH59" s="557"/>
      <c r="TII59" s="557"/>
      <c r="TIJ59" s="557"/>
      <c r="TIK59" s="557"/>
      <c r="TIL59" s="557"/>
      <c r="TIM59" s="557"/>
      <c r="TIN59" s="557"/>
      <c r="TIO59" s="557"/>
      <c r="TIP59" s="557"/>
      <c r="TIQ59" s="557"/>
      <c r="TIR59" s="557"/>
      <c r="TIS59" s="557"/>
      <c r="TIT59" s="557"/>
      <c r="TIU59" s="557"/>
      <c r="TIV59" s="557"/>
      <c r="TIW59" s="557"/>
      <c r="TIX59" s="557"/>
      <c r="TIY59" s="661"/>
      <c r="TIZ59" s="556"/>
      <c r="TJA59" s="557"/>
      <c r="TJB59" s="557"/>
      <c r="TJC59" s="557"/>
      <c r="TJD59" s="557"/>
      <c r="TJE59" s="557"/>
      <c r="TJF59" s="557"/>
      <c r="TJG59" s="557"/>
      <c r="TJH59" s="557"/>
      <c r="TJI59" s="557"/>
      <c r="TJJ59" s="557"/>
      <c r="TJK59" s="557"/>
      <c r="TJL59" s="557"/>
      <c r="TJM59" s="557"/>
      <c r="TJN59" s="557"/>
      <c r="TJO59" s="557"/>
      <c r="TJP59" s="557"/>
      <c r="TJQ59" s="557"/>
      <c r="TJR59" s="557"/>
      <c r="TJS59" s="661"/>
      <c r="TJT59" s="556"/>
      <c r="TJU59" s="557"/>
      <c r="TJV59" s="557"/>
      <c r="TJW59" s="557"/>
      <c r="TJX59" s="557"/>
      <c r="TJY59" s="557"/>
      <c r="TJZ59" s="557"/>
      <c r="TKA59" s="557"/>
      <c r="TKB59" s="557"/>
      <c r="TKC59" s="557"/>
      <c r="TKD59" s="557"/>
      <c r="TKE59" s="557"/>
      <c r="TKF59" s="557"/>
      <c r="TKG59" s="557"/>
      <c r="TKH59" s="557"/>
      <c r="TKI59" s="557"/>
      <c r="TKJ59" s="557"/>
      <c r="TKK59" s="557"/>
      <c r="TKL59" s="557"/>
      <c r="TKM59" s="661"/>
      <c r="TKN59" s="556"/>
      <c r="TKO59" s="557"/>
      <c r="TKP59" s="557"/>
      <c r="TKQ59" s="557"/>
      <c r="TKR59" s="557"/>
      <c r="TKS59" s="557"/>
      <c r="TKT59" s="557"/>
      <c r="TKU59" s="557"/>
      <c r="TKV59" s="557"/>
      <c r="TKW59" s="557"/>
      <c r="TKX59" s="557"/>
      <c r="TKY59" s="557"/>
      <c r="TKZ59" s="557"/>
      <c r="TLA59" s="557"/>
      <c r="TLB59" s="557"/>
      <c r="TLC59" s="557"/>
      <c r="TLD59" s="557"/>
      <c r="TLE59" s="557"/>
      <c r="TLF59" s="557"/>
      <c r="TLG59" s="661"/>
      <c r="TLH59" s="556"/>
      <c r="TLI59" s="557"/>
      <c r="TLJ59" s="557"/>
      <c r="TLK59" s="557"/>
      <c r="TLL59" s="557"/>
      <c r="TLM59" s="557"/>
      <c r="TLN59" s="557"/>
      <c r="TLO59" s="557"/>
      <c r="TLP59" s="557"/>
      <c r="TLQ59" s="557"/>
      <c r="TLR59" s="557"/>
      <c r="TLS59" s="557"/>
      <c r="TLT59" s="557"/>
      <c r="TLU59" s="557"/>
      <c r="TLV59" s="557"/>
      <c r="TLW59" s="557"/>
      <c r="TLX59" s="557"/>
      <c r="TLY59" s="557"/>
      <c r="TLZ59" s="557"/>
      <c r="TMA59" s="661"/>
      <c r="TMB59" s="556"/>
      <c r="TMC59" s="557"/>
      <c r="TMD59" s="557"/>
      <c r="TME59" s="557"/>
      <c r="TMF59" s="557"/>
      <c r="TMG59" s="557"/>
      <c r="TMH59" s="557"/>
      <c r="TMI59" s="557"/>
      <c r="TMJ59" s="557"/>
      <c r="TMK59" s="557"/>
      <c r="TML59" s="557"/>
      <c r="TMM59" s="557"/>
      <c r="TMN59" s="557"/>
      <c r="TMO59" s="557"/>
      <c r="TMP59" s="557"/>
      <c r="TMQ59" s="557"/>
      <c r="TMR59" s="557"/>
      <c r="TMS59" s="557"/>
      <c r="TMT59" s="557"/>
      <c r="TMU59" s="661"/>
      <c r="TMV59" s="556"/>
      <c r="TMW59" s="557"/>
      <c r="TMX59" s="557"/>
      <c r="TMY59" s="557"/>
      <c r="TMZ59" s="557"/>
      <c r="TNA59" s="557"/>
      <c r="TNB59" s="557"/>
      <c r="TNC59" s="557"/>
      <c r="TND59" s="557"/>
      <c r="TNE59" s="557"/>
      <c r="TNF59" s="557"/>
      <c r="TNG59" s="557"/>
      <c r="TNH59" s="557"/>
      <c r="TNI59" s="557"/>
      <c r="TNJ59" s="557"/>
      <c r="TNK59" s="557"/>
      <c r="TNL59" s="557"/>
      <c r="TNM59" s="557"/>
      <c r="TNN59" s="557"/>
      <c r="TNO59" s="661"/>
      <c r="TNP59" s="556"/>
      <c r="TNQ59" s="557"/>
      <c r="TNR59" s="557"/>
      <c r="TNS59" s="557"/>
      <c r="TNT59" s="557"/>
      <c r="TNU59" s="557"/>
      <c r="TNV59" s="557"/>
      <c r="TNW59" s="557"/>
      <c r="TNX59" s="557"/>
      <c r="TNY59" s="557"/>
      <c r="TNZ59" s="557"/>
      <c r="TOA59" s="557"/>
      <c r="TOB59" s="557"/>
      <c r="TOC59" s="557"/>
      <c r="TOD59" s="557"/>
      <c r="TOE59" s="557"/>
      <c r="TOF59" s="557"/>
      <c r="TOG59" s="557"/>
      <c r="TOH59" s="557"/>
      <c r="TOI59" s="661"/>
      <c r="TOJ59" s="556"/>
      <c r="TOK59" s="557"/>
      <c r="TOL59" s="557"/>
      <c r="TOM59" s="557"/>
      <c r="TON59" s="557"/>
      <c r="TOO59" s="557"/>
      <c r="TOP59" s="557"/>
      <c r="TOQ59" s="557"/>
      <c r="TOR59" s="557"/>
      <c r="TOS59" s="557"/>
      <c r="TOT59" s="557"/>
      <c r="TOU59" s="557"/>
      <c r="TOV59" s="557"/>
      <c r="TOW59" s="557"/>
      <c r="TOX59" s="557"/>
      <c r="TOY59" s="557"/>
      <c r="TOZ59" s="557"/>
      <c r="TPA59" s="557"/>
      <c r="TPB59" s="557"/>
      <c r="TPC59" s="661"/>
      <c r="TPD59" s="556"/>
      <c r="TPE59" s="557"/>
      <c r="TPF59" s="557"/>
      <c r="TPG59" s="557"/>
      <c r="TPH59" s="557"/>
      <c r="TPI59" s="557"/>
      <c r="TPJ59" s="557"/>
      <c r="TPK59" s="557"/>
      <c r="TPL59" s="557"/>
      <c r="TPM59" s="557"/>
      <c r="TPN59" s="557"/>
      <c r="TPO59" s="557"/>
      <c r="TPP59" s="557"/>
      <c r="TPQ59" s="557"/>
      <c r="TPR59" s="557"/>
      <c r="TPS59" s="557"/>
      <c r="TPT59" s="557"/>
      <c r="TPU59" s="557"/>
      <c r="TPV59" s="557"/>
      <c r="TPW59" s="661"/>
      <c r="TPX59" s="556"/>
      <c r="TPY59" s="557"/>
      <c r="TPZ59" s="557"/>
      <c r="TQA59" s="557"/>
      <c r="TQB59" s="557"/>
      <c r="TQC59" s="557"/>
      <c r="TQD59" s="557"/>
      <c r="TQE59" s="557"/>
      <c r="TQF59" s="557"/>
      <c r="TQG59" s="557"/>
      <c r="TQH59" s="557"/>
      <c r="TQI59" s="557"/>
      <c r="TQJ59" s="557"/>
      <c r="TQK59" s="557"/>
      <c r="TQL59" s="557"/>
      <c r="TQM59" s="557"/>
      <c r="TQN59" s="557"/>
      <c r="TQO59" s="557"/>
      <c r="TQP59" s="557"/>
      <c r="TQQ59" s="661"/>
      <c r="TQR59" s="556"/>
      <c r="TQS59" s="557"/>
      <c r="TQT59" s="557"/>
      <c r="TQU59" s="557"/>
      <c r="TQV59" s="557"/>
      <c r="TQW59" s="557"/>
      <c r="TQX59" s="557"/>
      <c r="TQY59" s="557"/>
      <c r="TQZ59" s="557"/>
      <c r="TRA59" s="557"/>
      <c r="TRB59" s="557"/>
      <c r="TRC59" s="557"/>
      <c r="TRD59" s="557"/>
      <c r="TRE59" s="557"/>
      <c r="TRF59" s="557"/>
      <c r="TRG59" s="557"/>
      <c r="TRH59" s="557"/>
      <c r="TRI59" s="557"/>
      <c r="TRJ59" s="557"/>
      <c r="TRK59" s="661"/>
      <c r="TRL59" s="556"/>
      <c r="TRM59" s="557"/>
      <c r="TRN59" s="557"/>
      <c r="TRO59" s="557"/>
      <c r="TRP59" s="557"/>
      <c r="TRQ59" s="557"/>
      <c r="TRR59" s="557"/>
      <c r="TRS59" s="557"/>
      <c r="TRT59" s="557"/>
      <c r="TRU59" s="557"/>
      <c r="TRV59" s="557"/>
      <c r="TRW59" s="557"/>
      <c r="TRX59" s="557"/>
      <c r="TRY59" s="557"/>
      <c r="TRZ59" s="557"/>
      <c r="TSA59" s="557"/>
      <c r="TSB59" s="557"/>
      <c r="TSC59" s="557"/>
      <c r="TSD59" s="557"/>
      <c r="TSE59" s="661"/>
      <c r="TSF59" s="556"/>
      <c r="TSG59" s="557"/>
      <c r="TSH59" s="557"/>
      <c r="TSI59" s="557"/>
      <c r="TSJ59" s="557"/>
      <c r="TSK59" s="557"/>
      <c r="TSL59" s="557"/>
      <c r="TSM59" s="557"/>
      <c r="TSN59" s="557"/>
      <c r="TSO59" s="557"/>
      <c r="TSP59" s="557"/>
      <c r="TSQ59" s="557"/>
      <c r="TSR59" s="557"/>
      <c r="TSS59" s="557"/>
      <c r="TST59" s="557"/>
      <c r="TSU59" s="557"/>
      <c r="TSV59" s="557"/>
      <c r="TSW59" s="557"/>
      <c r="TSX59" s="557"/>
      <c r="TSY59" s="661"/>
      <c r="TSZ59" s="556"/>
      <c r="TTA59" s="557"/>
      <c r="TTB59" s="557"/>
      <c r="TTC59" s="557"/>
      <c r="TTD59" s="557"/>
      <c r="TTE59" s="557"/>
      <c r="TTF59" s="557"/>
      <c r="TTG59" s="557"/>
      <c r="TTH59" s="557"/>
      <c r="TTI59" s="557"/>
      <c r="TTJ59" s="557"/>
      <c r="TTK59" s="557"/>
      <c r="TTL59" s="557"/>
      <c r="TTM59" s="557"/>
      <c r="TTN59" s="557"/>
      <c r="TTO59" s="557"/>
      <c r="TTP59" s="557"/>
      <c r="TTQ59" s="557"/>
      <c r="TTR59" s="557"/>
      <c r="TTS59" s="661"/>
      <c r="TTT59" s="556"/>
      <c r="TTU59" s="557"/>
      <c r="TTV59" s="557"/>
      <c r="TTW59" s="557"/>
      <c r="TTX59" s="557"/>
      <c r="TTY59" s="557"/>
      <c r="TTZ59" s="557"/>
      <c r="TUA59" s="557"/>
      <c r="TUB59" s="557"/>
      <c r="TUC59" s="557"/>
      <c r="TUD59" s="557"/>
      <c r="TUE59" s="557"/>
      <c r="TUF59" s="557"/>
      <c r="TUG59" s="557"/>
      <c r="TUH59" s="557"/>
      <c r="TUI59" s="557"/>
      <c r="TUJ59" s="557"/>
      <c r="TUK59" s="557"/>
      <c r="TUL59" s="557"/>
      <c r="TUM59" s="661"/>
      <c r="TUN59" s="556"/>
      <c r="TUO59" s="557"/>
      <c r="TUP59" s="557"/>
      <c r="TUQ59" s="557"/>
      <c r="TUR59" s="557"/>
      <c r="TUS59" s="557"/>
      <c r="TUT59" s="557"/>
      <c r="TUU59" s="557"/>
      <c r="TUV59" s="557"/>
      <c r="TUW59" s="557"/>
      <c r="TUX59" s="557"/>
      <c r="TUY59" s="557"/>
      <c r="TUZ59" s="557"/>
      <c r="TVA59" s="557"/>
      <c r="TVB59" s="557"/>
      <c r="TVC59" s="557"/>
      <c r="TVD59" s="557"/>
      <c r="TVE59" s="557"/>
      <c r="TVF59" s="557"/>
      <c r="TVG59" s="661"/>
      <c r="TVH59" s="556"/>
      <c r="TVI59" s="557"/>
      <c r="TVJ59" s="557"/>
      <c r="TVK59" s="557"/>
      <c r="TVL59" s="557"/>
      <c r="TVM59" s="557"/>
      <c r="TVN59" s="557"/>
      <c r="TVO59" s="557"/>
      <c r="TVP59" s="557"/>
      <c r="TVQ59" s="557"/>
      <c r="TVR59" s="557"/>
      <c r="TVS59" s="557"/>
      <c r="TVT59" s="557"/>
      <c r="TVU59" s="557"/>
      <c r="TVV59" s="557"/>
      <c r="TVW59" s="557"/>
      <c r="TVX59" s="557"/>
      <c r="TVY59" s="557"/>
      <c r="TVZ59" s="557"/>
      <c r="TWA59" s="661"/>
      <c r="TWB59" s="556"/>
      <c r="TWC59" s="557"/>
      <c r="TWD59" s="557"/>
      <c r="TWE59" s="557"/>
      <c r="TWF59" s="557"/>
      <c r="TWG59" s="557"/>
      <c r="TWH59" s="557"/>
      <c r="TWI59" s="557"/>
      <c r="TWJ59" s="557"/>
      <c r="TWK59" s="557"/>
      <c r="TWL59" s="557"/>
      <c r="TWM59" s="557"/>
      <c r="TWN59" s="557"/>
      <c r="TWO59" s="557"/>
      <c r="TWP59" s="557"/>
      <c r="TWQ59" s="557"/>
      <c r="TWR59" s="557"/>
      <c r="TWS59" s="557"/>
      <c r="TWT59" s="557"/>
      <c r="TWU59" s="661"/>
      <c r="TWV59" s="556"/>
      <c r="TWW59" s="557"/>
      <c r="TWX59" s="557"/>
      <c r="TWY59" s="557"/>
      <c r="TWZ59" s="557"/>
      <c r="TXA59" s="557"/>
      <c r="TXB59" s="557"/>
      <c r="TXC59" s="557"/>
      <c r="TXD59" s="557"/>
      <c r="TXE59" s="557"/>
      <c r="TXF59" s="557"/>
      <c r="TXG59" s="557"/>
      <c r="TXH59" s="557"/>
      <c r="TXI59" s="557"/>
      <c r="TXJ59" s="557"/>
      <c r="TXK59" s="557"/>
      <c r="TXL59" s="557"/>
      <c r="TXM59" s="557"/>
      <c r="TXN59" s="557"/>
      <c r="TXO59" s="661"/>
      <c r="TXP59" s="556"/>
      <c r="TXQ59" s="557"/>
      <c r="TXR59" s="557"/>
      <c r="TXS59" s="557"/>
      <c r="TXT59" s="557"/>
      <c r="TXU59" s="557"/>
      <c r="TXV59" s="557"/>
      <c r="TXW59" s="557"/>
      <c r="TXX59" s="557"/>
      <c r="TXY59" s="557"/>
      <c r="TXZ59" s="557"/>
      <c r="TYA59" s="557"/>
      <c r="TYB59" s="557"/>
      <c r="TYC59" s="557"/>
      <c r="TYD59" s="557"/>
      <c r="TYE59" s="557"/>
      <c r="TYF59" s="557"/>
      <c r="TYG59" s="557"/>
      <c r="TYH59" s="557"/>
      <c r="TYI59" s="661"/>
      <c r="TYJ59" s="556"/>
      <c r="TYK59" s="557"/>
      <c r="TYL59" s="557"/>
      <c r="TYM59" s="557"/>
      <c r="TYN59" s="557"/>
      <c r="TYO59" s="557"/>
      <c r="TYP59" s="557"/>
      <c r="TYQ59" s="557"/>
      <c r="TYR59" s="557"/>
      <c r="TYS59" s="557"/>
      <c r="TYT59" s="557"/>
      <c r="TYU59" s="557"/>
      <c r="TYV59" s="557"/>
      <c r="TYW59" s="557"/>
      <c r="TYX59" s="557"/>
      <c r="TYY59" s="557"/>
      <c r="TYZ59" s="557"/>
      <c r="TZA59" s="557"/>
      <c r="TZB59" s="557"/>
      <c r="TZC59" s="661"/>
      <c r="TZD59" s="556"/>
      <c r="TZE59" s="557"/>
      <c r="TZF59" s="557"/>
      <c r="TZG59" s="557"/>
      <c r="TZH59" s="557"/>
      <c r="TZI59" s="557"/>
      <c r="TZJ59" s="557"/>
      <c r="TZK59" s="557"/>
      <c r="TZL59" s="557"/>
      <c r="TZM59" s="557"/>
      <c r="TZN59" s="557"/>
      <c r="TZO59" s="557"/>
      <c r="TZP59" s="557"/>
      <c r="TZQ59" s="557"/>
      <c r="TZR59" s="557"/>
      <c r="TZS59" s="557"/>
      <c r="TZT59" s="557"/>
      <c r="TZU59" s="557"/>
      <c r="TZV59" s="557"/>
      <c r="TZW59" s="661"/>
      <c r="TZX59" s="556"/>
      <c r="TZY59" s="557"/>
      <c r="TZZ59" s="557"/>
      <c r="UAA59" s="557"/>
      <c r="UAB59" s="557"/>
      <c r="UAC59" s="557"/>
      <c r="UAD59" s="557"/>
      <c r="UAE59" s="557"/>
      <c r="UAF59" s="557"/>
      <c r="UAG59" s="557"/>
      <c r="UAH59" s="557"/>
      <c r="UAI59" s="557"/>
      <c r="UAJ59" s="557"/>
      <c r="UAK59" s="557"/>
      <c r="UAL59" s="557"/>
      <c r="UAM59" s="557"/>
      <c r="UAN59" s="557"/>
      <c r="UAO59" s="557"/>
      <c r="UAP59" s="557"/>
      <c r="UAQ59" s="661"/>
      <c r="UAR59" s="556"/>
      <c r="UAS59" s="557"/>
      <c r="UAT59" s="557"/>
      <c r="UAU59" s="557"/>
      <c r="UAV59" s="557"/>
      <c r="UAW59" s="557"/>
      <c r="UAX59" s="557"/>
      <c r="UAY59" s="557"/>
      <c r="UAZ59" s="557"/>
      <c r="UBA59" s="557"/>
      <c r="UBB59" s="557"/>
      <c r="UBC59" s="557"/>
      <c r="UBD59" s="557"/>
      <c r="UBE59" s="557"/>
      <c r="UBF59" s="557"/>
      <c r="UBG59" s="557"/>
      <c r="UBH59" s="557"/>
      <c r="UBI59" s="557"/>
      <c r="UBJ59" s="557"/>
      <c r="UBK59" s="661"/>
      <c r="UBL59" s="556"/>
      <c r="UBM59" s="557"/>
      <c r="UBN59" s="557"/>
      <c r="UBO59" s="557"/>
      <c r="UBP59" s="557"/>
      <c r="UBQ59" s="557"/>
      <c r="UBR59" s="557"/>
      <c r="UBS59" s="557"/>
      <c r="UBT59" s="557"/>
      <c r="UBU59" s="557"/>
      <c r="UBV59" s="557"/>
      <c r="UBW59" s="557"/>
      <c r="UBX59" s="557"/>
      <c r="UBY59" s="557"/>
      <c r="UBZ59" s="557"/>
      <c r="UCA59" s="557"/>
      <c r="UCB59" s="557"/>
      <c r="UCC59" s="557"/>
      <c r="UCD59" s="557"/>
      <c r="UCE59" s="661"/>
      <c r="UCF59" s="556"/>
      <c r="UCG59" s="557"/>
      <c r="UCH59" s="557"/>
      <c r="UCI59" s="557"/>
      <c r="UCJ59" s="557"/>
      <c r="UCK59" s="557"/>
      <c r="UCL59" s="557"/>
      <c r="UCM59" s="557"/>
      <c r="UCN59" s="557"/>
      <c r="UCO59" s="557"/>
      <c r="UCP59" s="557"/>
      <c r="UCQ59" s="557"/>
      <c r="UCR59" s="557"/>
      <c r="UCS59" s="557"/>
      <c r="UCT59" s="557"/>
      <c r="UCU59" s="557"/>
      <c r="UCV59" s="557"/>
      <c r="UCW59" s="557"/>
      <c r="UCX59" s="557"/>
      <c r="UCY59" s="661"/>
      <c r="UCZ59" s="556"/>
      <c r="UDA59" s="557"/>
      <c r="UDB59" s="557"/>
      <c r="UDC59" s="557"/>
      <c r="UDD59" s="557"/>
      <c r="UDE59" s="557"/>
      <c r="UDF59" s="557"/>
      <c r="UDG59" s="557"/>
      <c r="UDH59" s="557"/>
      <c r="UDI59" s="557"/>
      <c r="UDJ59" s="557"/>
      <c r="UDK59" s="557"/>
      <c r="UDL59" s="557"/>
      <c r="UDM59" s="557"/>
      <c r="UDN59" s="557"/>
      <c r="UDO59" s="557"/>
      <c r="UDP59" s="557"/>
      <c r="UDQ59" s="557"/>
      <c r="UDR59" s="557"/>
      <c r="UDS59" s="661"/>
      <c r="UDT59" s="556"/>
      <c r="UDU59" s="557"/>
      <c r="UDV59" s="557"/>
      <c r="UDW59" s="557"/>
      <c r="UDX59" s="557"/>
      <c r="UDY59" s="557"/>
      <c r="UDZ59" s="557"/>
      <c r="UEA59" s="557"/>
      <c r="UEB59" s="557"/>
      <c r="UEC59" s="557"/>
      <c r="UED59" s="557"/>
      <c r="UEE59" s="557"/>
      <c r="UEF59" s="557"/>
      <c r="UEG59" s="557"/>
      <c r="UEH59" s="557"/>
      <c r="UEI59" s="557"/>
      <c r="UEJ59" s="557"/>
      <c r="UEK59" s="557"/>
      <c r="UEL59" s="557"/>
      <c r="UEM59" s="661"/>
      <c r="UEN59" s="556"/>
      <c r="UEO59" s="557"/>
      <c r="UEP59" s="557"/>
      <c r="UEQ59" s="557"/>
      <c r="UER59" s="557"/>
      <c r="UES59" s="557"/>
      <c r="UET59" s="557"/>
      <c r="UEU59" s="557"/>
      <c r="UEV59" s="557"/>
      <c r="UEW59" s="557"/>
      <c r="UEX59" s="557"/>
      <c r="UEY59" s="557"/>
      <c r="UEZ59" s="557"/>
      <c r="UFA59" s="557"/>
      <c r="UFB59" s="557"/>
      <c r="UFC59" s="557"/>
      <c r="UFD59" s="557"/>
      <c r="UFE59" s="557"/>
      <c r="UFF59" s="557"/>
      <c r="UFG59" s="661"/>
      <c r="UFH59" s="556"/>
      <c r="UFI59" s="557"/>
      <c r="UFJ59" s="557"/>
      <c r="UFK59" s="557"/>
      <c r="UFL59" s="557"/>
      <c r="UFM59" s="557"/>
      <c r="UFN59" s="557"/>
      <c r="UFO59" s="557"/>
      <c r="UFP59" s="557"/>
      <c r="UFQ59" s="557"/>
      <c r="UFR59" s="557"/>
      <c r="UFS59" s="557"/>
      <c r="UFT59" s="557"/>
      <c r="UFU59" s="557"/>
      <c r="UFV59" s="557"/>
      <c r="UFW59" s="557"/>
      <c r="UFX59" s="557"/>
      <c r="UFY59" s="557"/>
      <c r="UFZ59" s="557"/>
      <c r="UGA59" s="661"/>
      <c r="UGB59" s="556"/>
      <c r="UGC59" s="557"/>
      <c r="UGD59" s="557"/>
      <c r="UGE59" s="557"/>
      <c r="UGF59" s="557"/>
      <c r="UGG59" s="557"/>
      <c r="UGH59" s="557"/>
      <c r="UGI59" s="557"/>
      <c r="UGJ59" s="557"/>
      <c r="UGK59" s="557"/>
      <c r="UGL59" s="557"/>
      <c r="UGM59" s="557"/>
      <c r="UGN59" s="557"/>
      <c r="UGO59" s="557"/>
      <c r="UGP59" s="557"/>
      <c r="UGQ59" s="557"/>
      <c r="UGR59" s="557"/>
      <c r="UGS59" s="557"/>
      <c r="UGT59" s="557"/>
      <c r="UGU59" s="661"/>
      <c r="UGV59" s="556"/>
      <c r="UGW59" s="557"/>
      <c r="UGX59" s="557"/>
      <c r="UGY59" s="557"/>
      <c r="UGZ59" s="557"/>
      <c r="UHA59" s="557"/>
      <c r="UHB59" s="557"/>
      <c r="UHC59" s="557"/>
      <c r="UHD59" s="557"/>
      <c r="UHE59" s="557"/>
      <c r="UHF59" s="557"/>
      <c r="UHG59" s="557"/>
      <c r="UHH59" s="557"/>
      <c r="UHI59" s="557"/>
      <c r="UHJ59" s="557"/>
      <c r="UHK59" s="557"/>
      <c r="UHL59" s="557"/>
      <c r="UHM59" s="557"/>
      <c r="UHN59" s="557"/>
      <c r="UHO59" s="661"/>
      <c r="UHP59" s="556"/>
      <c r="UHQ59" s="557"/>
      <c r="UHR59" s="557"/>
      <c r="UHS59" s="557"/>
      <c r="UHT59" s="557"/>
      <c r="UHU59" s="557"/>
      <c r="UHV59" s="557"/>
      <c r="UHW59" s="557"/>
      <c r="UHX59" s="557"/>
      <c r="UHY59" s="557"/>
      <c r="UHZ59" s="557"/>
      <c r="UIA59" s="557"/>
      <c r="UIB59" s="557"/>
      <c r="UIC59" s="557"/>
      <c r="UID59" s="557"/>
      <c r="UIE59" s="557"/>
      <c r="UIF59" s="557"/>
      <c r="UIG59" s="557"/>
      <c r="UIH59" s="557"/>
      <c r="UII59" s="661"/>
      <c r="UIJ59" s="556"/>
      <c r="UIK59" s="557"/>
      <c r="UIL59" s="557"/>
      <c r="UIM59" s="557"/>
      <c r="UIN59" s="557"/>
      <c r="UIO59" s="557"/>
      <c r="UIP59" s="557"/>
      <c r="UIQ59" s="557"/>
      <c r="UIR59" s="557"/>
      <c r="UIS59" s="557"/>
      <c r="UIT59" s="557"/>
      <c r="UIU59" s="557"/>
      <c r="UIV59" s="557"/>
      <c r="UIW59" s="557"/>
      <c r="UIX59" s="557"/>
      <c r="UIY59" s="557"/>
      <c r="UIZ59" s="557"/>
      <c r="UJA59" s="557"/>
      <c r="UJB59" s="557"/>
      <c r="UJC59" s="661"/>
      <c r="UJD59" s="556"/>
      <c r="UJE59" s="557"/>
      <c r="UJF59" s="557"/>
      <c r="UJG59" s="557"/>
      <c r="UJH59" s="557"/>
      <c r="UJI59" s="557"/>
      <c r="UJJ59" s="557"/>
      <c r="UJK59" s="557"/>
      <c r="UJL59" s="557"/>
      <c r="UJM59" s="557"/>
      <c r="UJN59" s="557"/>
      <c r="UJO59" s="557"/>
      <c r="UJP59" s="557"/>
      <c r="UJQ59" s="557"/>
      <c r="UJR59" s="557"/>
      <c r="UJS59" s="557"/>
      <c r="UJT59" s="557"/>
      <c r="UJU59" s="557"/>
      <c r="UJV59" s="557"/>
      <c r="UJW59" s="661"/>
      <c r="UJX59" s="556"/>
      <c r="UJY59" s="557"/>
      <c r="UJZ59" s="557"/>
      <c r="UKA59" s="557"/>
      <c r="UKB59" s="557"/>
      <c r="UKC59" s="557"/>
      <c r="UKD59" s="557"/>
      <c r="UKE59" s="557"/>
      <c r="UKF59" s="557"/>
      <c r="UKG59" s="557"/>
      <c r="UKH59" s="557"/>
      <c r="UKI59" s="557"/>
      <c r="UKJ59" s="557"/>
      <c r="UKK59" s="557"/>
      <c r="UKL59" s="557"/>
      <c r="UKM59" s="557"/>
      <c r="UKN59" s="557"/>
      <c r="UKO59" s="557"/>
      <c r="UKP59" s="557"/>
      <c r="UKQ59" s="661"/>
      <c r="UKR59" s="556"/>
      <c r="UKS59" s="557"/>
      <c r="UKT59" s="557"/>
      <c r="UKU59" s="557"/>
      <c r="UKV59" s="557"/>
      <c r="UKW59" s="557"/>
      <c r="UKX59" s="557"/>
      <c r="UKY59" s="557"/>
      <c r="UKZ59" s="557"/>
      <c r="ULA59" s="557"/>
      <c r="ULB59" s="557"/>
      <c r="ULC59" s="557"/>
      <c r="ULD59" s="557"/>
      <c r="ULE59" s="557"/>
      <c r="ULF59" s="557"/>
      <c r="ULG59" s="557"/>
      <c r="ULH59" s="557"/>
      <c r="ULI59" s="557"/>
      <c r="ULJ59" s="557"/>
      <c r="ULK59" s="661"/>
      <c r="ULL59" s="556"/>
      <c r="ULM59" s="557"/>
      <c r="ULN59" s="557"/>
      <c r="ULO59" s="557"/>
      <c r="ULP59" s="557"/>
      <c r="ULQ59" s="557"/>
      <c r="ULR59" s="557"/>
      <c r="ULS59" s="557"/>
      <c r="ULT59" s="557"/>
      <c r="ULU59" s="557"/>
      <c r="ULV59" s="557"/>
      <c r="ULW59" s="557"/>
      <c r="ULX59" s="557"/>
      <c r="ULY59" s="557"/>
      <c r="ULZ59" s="557"/>
      <c r="UMA59" s="557"/>
      <c r="UMB59" s="557"/>
      <c r="UMC59" s="557"/>
      <c r="UMD59" s="557"/>
      <c r="UME59" s="661"/>
      <c r="UMF59" s="556"/>
      <c r="UMG59" s="557"/>
      <c r="UMH59" s="557"/>
      <c r="UMI59" s="557"/>
      <c r="UMJ59" s="557"/>
      <c r="UMK59" s="557"/>
      <c r="UML59" s="557"/>
      <c r="UMM59" s="557"/>
      <c r="UMN59" s="557"/>
      <c r="UMO59" s="557"/>
      <c r="UMP59" s="557"/>
      <c r="UMQ59" s="557"/>
      <c r="UMR59" s="557"/>
      <c r="UMS59" s="557"/>
      <c r="UMT59" s="557"/>
      <c r="UMU59" s="557"/>
      <c r="UMV59" s="557"/>
      <c r="UMW59" s="557"/>
      <c r="UMX59" s="557"/>
      <c r="UMY59" s="661"/>
      <c r="UMZ59" s="556"/>
      <c r="UNA59" s="557"/>
      <c r="UNB59" s="557"/>
      <c r="UNC59" s="557"/>
      <c r="UND59" s="557"/>
      <c r="UNE59" s="557"/>
      <c r="UNF59" s="557"/>
      <c r="UNG59" s="557"/>
      <c r="UNH59" s="557"/>
      <c r="UNI59" s="557"/>
      <c r="UNJ59" s="557"/>
      <c r="UNK59" s="557"/>
      <c r="UNL59" s="557"/>
      <c r="UNM59" s="557"/>
      <c r="UNN59" s="557"/>
      <c r="UNO59" s="557"/>
      <c r="UNP59" s="557"/>
      <c r="UNQ59" s="557"/>
      <c r="UNR59" s="557"/>
      <c r="UNS59" s="661"/>
      <c r="UNT59" s="556"/>
      <c r="UNU59" s="557"/>
      <c r="UNV59" s="557"/>
      <c r="UNW59" s="557"/>
      <c r="UNX59" s="557"/>
      <c r="UNY59" s="557"/>
      <c r="UNZ59" s="557"/>
      <c r="UOA59" s="557"/>
      <c r="UOB59" s="557"/>
      <c r="UOC59" s="557"/>
      <c r="UOD59" s="557"/>
      <c r="UOE59" s="557"/>
      <c r="UOF59" s="557"/>
      <c r="UOG59" s="557"/>
      <c r="UOH59" s="557"/>
      <c r="UOI59" s="557"/>
      <c r="UOJ59" s="557"/>
      <c r="UOK59" s="557"/>
      <c r="UOL59" s="557"/>
      <c r="UOM59" s="661"/>
      <c r="UON59" s="556"/>
      <c r="UOO59" s="557"/>
      <c r="UOP59" s="557"/>
      <c r="UOQ59" s="557"/>
      <c r="UOR59" s="557"/>
      <c r="UOS59" s="557"/>
      <c r="UOT59" s="557"/>
      <c r="UOU59" s="557"/>
      <c r="UOV59" s="557"/>
      <c r="UOW59" s="557"/>
      <c r="UOX59" s="557"/>
      <c r="UOY59" s="557"/>
      <c r="UOZ59" s="557"/>
      <c r="UPA59" s="557"/>
      <c r="UPB59" s="557"/>
      <c r="UPC59" s="557"/>
      <c r="UPD59" s="557"/>
      <c r="UPE59" s="557"/>
      <c r="UPF59" s="557"/>
      <c r="UPG59" s="661"/>
      <c r="UPH59" s="556"/>
      <c r="UPI59" s="557"/>
      <c r="UPJ59" s="557"/>
      <c r="UPK59" s="557"/>
      <c r="UPL59" s="557"/>
      <c r="UPM59" s="557"/>
      <c r="UPN59" s="557"/>
      <c r="UPO59" s="557"/>
      <c r="UPP59" s="557"/>
      <c r="UPQ59" s="557"/>
      <c r="UPR59" s="557"/>
      <c r="UPS59" s="557"/>
      <c r="UPT59" s="557"/>
      <c r="UPU59" s="557"/>
      <c r="UPV59" s="557"/>
      <c r="UPW59" s="557"/>
      <c r="UPX59" s="557"/>
      <c r="UPY59" s="557"/>
      <c r="UPZ59" s="557"/>
      <c r="UQA59" s="661"/>
      <c r="UQB59" s="556"/>
      <c r="UQC59" s="557"/>
      <c r="UQD59" s="557"/>
      <c r="UQE59" s="557"/>
      <c r="UQF59" s="557"/>
      <c r="UQG59" s="557"/>
      <c r="UQH59" s="557"/>
      <c r="UQI59" s="557"/>
      <c r="UQJ59" s="557"/>
      <c r="UQK59" s="557"/>
      <c r="UQL59" s="557"/>
      <c r="UQM59" s="557"/>
      <c r="UQN59" s="557"/>
      <c r="UQO59" s="557"/>
      <c r="UQP59" s="557"/>
      <c r="UQQ59" s="557"/>
      <c r="UQR59" s="557"/>
      <c r="UQS59" s="557"/>
      <c r="UQT59" s="557"/>
      <c r="UQU59" s="661"/>
      <c r="UQV59" s="556"/>
      <c r="UQW59" s="557"/>
      <c r="UQX59" s="557"/>
      <c r="UQY59" s="557"/>
      <c r="UQZ59" s="557"/>
      <c r="URA59" s="557"/>
      <c r="URB59" s="557"/>
      <c r="URC59" s="557"/>
      <c r="URD59" s="557"/>
      <c r="URE59" s="557"/>
      <c r="URF59" s="557"/>
      <c r="URG59" s="557"/>
      <c r="URH59" s="557"/>
      <c r="URI59" s="557"/>
      <c r="URJ59" s="557"/>
      <c r="URK59" s="557"/>
      <c r="URL59" s="557"/>
      <c r="URM59" s="557"/>
      <c r="URN59" s="557"/>
      <c r="URO59" s="661"/>
      <c r="URP59" s="556"/>
      <c r="URQ59" s="557"/>
      <c r="URR59" s="557"/>
      <c r="URS59" s="557"/>
      <c r="URT59" s="557"/>
      <c r="URU59" s="557"/>
      <c r="URV59" s="557"/>
      <c r="URW59" s="557"/>
      <c r="URX59" s="557"/>
      <c r="URY59" s="557"/>
      <c r="URZ59" s="557"/>
      <c r="USA59" s="557"/>
      <c r="USB59" s="557"/>
      <c r="USC59" s="557"/>
      <c r="USD59" s="557"/>
      <c r="USE59" s="557"/>
      <c r="USF59" s="557"/>
      <c r="USG59" s="557"/>
      <c r="USH59" s="557"/>
      <c r="USI59" s="661"/>
      <c r="USJ59" s="556"/>
      <c r="USK59" s="557"/>
      <c r="USL59" s="557"/>
      <c r="USM59" s="557"/>
      <c r="USN59" s="557"/>
      <c r="USO59" s="557"/>
      <c r="USP59" s="557"/>
      <c r="USQ59" s="557"/>
      <c r="USR59" s="557"/>
      <c r="USS59" s="557"/>
      <c r="UST59" s="557"/>
      <c r="USU59" s="557"/>
      <c r="USV59" s="557"/>
      <c r="USW59" s="557"/>
      <c r="USX59" s="557"/>
      <c r="USY59" s="557"/>
      <c r="USZ59" s="557"/>
      <c r="UTA59" s="557"/>
      <c r="UTB59" s="557"/>
      <c r="UTC59" s="661"/>
      <c r="UTD59" s="556"/>
      <c r="UTE59" s="557"/>
      <c r="UTF59" s="557"/>
      <c r="UTG59" s="557"/>
      <c r="UTH59" s="557"/>
      <c r="UTI59" s="557"/>
      <c r="UTJ59" s="557"/>
      <c r="UTK59" s="557"/>
      <c r="UTL59" s="557"/>
      <c r="UTM59" s="557"/>
      <c r="UTN59" s="557"/>
      <c r="UTO59" s="557"/>
      <c r="UTP59" s="557"/>
      <c r="UTQ59" s="557"/>
      <c r="UTR59" s="557"/>
      <c r="UTS59" s="557"/>
      <c r="UTT59" s="557"/>
      <c r="UTU59" s="557"/>
      <c r="UTV59" s="557"/>
      <c r="UTW59" s="661"/>
      <c r="UTX59" s="556"/>
      <c r="UTY59" s="557"/>
      <c r="UTZ59" s="557"/>
      <c r="UUA59" s="557"/>
      <c r="UUB59" s="557"/>
      <c r="UUC59" s="557"/>
      <c r="UUD59" s="557"/>
      <c r="UUE59" s="557"/>
      <c r="UUF59" s="557"/>
      <c r="UUG59" s="557"/>
      <c r="UUH59" s="557"/>
      <c r="UUI59" s="557"/>
      <c r="UUJ59" s="557"/>
      <c r="UUK59" s="557"/>
      <c r="UUL59" s="557"/>
      <c r="UUM59" s="557"/>
      <c r="UUN59" s="557"/>
      <c r="UUO59" s="557"/>
      <c r="UUP59" s="557"/>
      <c r="UUQ59" s="661"/>
      <c r="UUR59" s="556"/>
      <c r="UUS59" s="557"/>
      <c r="UUT59" s="557"/>
      <c r="UUU59" s="557"/>
      <c r="UUV59" s="557"/>
      <c r="UUW59" s="557"/>
      <c r="UUX59" s="557"/>
      <c r="UUY59" s="557"/>
      <c r="UUZ59" s="557"/>
      <c r="UVA59" s="557"/>
      <c r="UVB59" s="557"/>
      <c r="UVC59" s="557"/>
      <c r="UVD59" s="557"/>
      <c r="UVE59" s="557"/>
      <c r="UVF59" s="557"/>
      <c r="UVG59" s="557"/>
      <c r="UVH59" s="557"/>
      <c r="UVI59" s="557"/>
      <c r="UVJ59" s="557"/>
      <c r="UVK59" s="661"/>
      <c r="UVL59" s="556"/>
      <c r="UVM59" s="557"/>
      <c r="UVN59" s="557"/>
      <c r="UVO59" s="557"/>
      <c r="UVP59" s="557"/>
      <c r="UVQ59" s="557"/>
      <c r="UVR59" s="557"/>
      <c r="UVS59" s="557"/>
      <c r="UVT59" s="557"/>
      <c r="UVU59" s="557"/>
      <c r="UVV59" s="557"/>
      <c r="UVW59" s="557"/>
      <c r="UVX59" s="557"/>
      <c r="UVY59" s="557"/>
      <c r="UVZ59" s="557"/>
      <c r="UWA59" s="557"/>
      <c r="UWB59" s="557"/>
      <c r="UWC59" s="557"/>
      <c r="UWD59" s="557"/>
      <c r="UWE59" s="661"/>
      <c r="UWF59" s="556"/>
      <c r="UWG59" s="557"/>
      <c r="UWH59" s="557"/>
      <c r="UWI59" s="557"/>
      <c r="UWJ59" s="557"/>
      <c r="UWK59" s="557"/>
      <c r="UWL59" s="557"/>
      <c r="UWM59" s="557"/>
      <c r="UWN59" s="557"/>
      <c r="UWO59" s="557"/>
      <c r="UWP59" s="557"/>
      <c r="UWQ59" s="557"/>
      <c r="UWR59" s="557"/>
      <c r="UWS59" s="557"/>
      <c r="UWT59" s="557"/>
      <c r="UWU59" s="557"/>
      <c r="UWV59" s="557"/>
      <c r="UWW59" s="557"/>
      <c r="UWX59" s="557"/>
      <c r="UWY59" s="661"/>
      <c r="UWZ59" s="556"/>
      <c r="UXA59" s="557"/>
      <c r="UXB59" s="557"/>
      <c r="UXC59" s="557"/>
      <c r="UXD59" s="557"/>
      <c r="UXE59" s="557"/>
      <c r="UXF59" s="557"/>
      <c r="UXG59" s="557"/>
      <c r="UXH59" s="557"/>
      <c r="UXI59" s="557"/>
      <c r="UXJ59" s="557"/>
      <c r="UXK59" s="557"/>
      <c r="UXL59" s="557"/>
      <c r="UXM59" s="557"/>
      <c r="UXN59" s="557"/>
      <c r="UXO59" s="557"/>
      <c r="UXP59" s="557"/>
      <c r="UXQ59" s="557"/>
      <c r="UXR59" s="557"/>
      <c r="UXS59" s="661"/>
      <c r="UXT59" s="556"/>
      <c r="UXU59" s="557"/>
      <c r="UXV59" s="557"/>
      <c r="UXW59" s="557"/>
      <c r="UXX59" s="557"/>
      <c r="UXY59" s="557"/>
      <c r="UXZ59" s="557"/>
      <c r="UYA59" s="557"/>
      <c r="UYB59" s="557"/>
      <c r="UYC59" s="557"/>
      <c r="UYD59" s="557"/>
      <c r="UYE59" s="557"/>
      <c r="UYF59" s="557"/>
      <c r="UYG59" s="557"/>
      <c r="UYH59" s="557"/>
      <c r="UYI59" s="557"/>
      <c r="UYJ59" s="557"/>
      <c r="UYK59" s="557"/>
      <c r="UYL59" s="557"/>
      <c r="UYM59" s="661"/>
      <c r="UYN59" s="556"/>
      <c r="UYO59" s="557"/>
      <c r="UYP59" s="557"/>
      <c r="UYQ59" s="557"/>
      <c r="UYR59" s="557"/>
      <c r="UYS59" s="557"/>
      <c r="UYT59" s="557"/>
      <c r="UYU59" s="557"/>
      <c r="UYV59" s="557"/>
      <c r="UYW59" s="557"/>
      <c r="UYX59" s="557"/>
      <c r="UYY59" s="557"/>
      <c r="UYZ59" s="557"/>
      <c r="UZA59" s="557"/>
      <c r="UZB59" s="557"/>
      <c r="UZC59" s="557"/>
      <c r="UZD59" s="557"/>
      <c r="UZE59" s="557"/>
      <c r="UZF59" s="557"/>
      <c r="UZG59" s="661"/>
      <c r="UZH59" s="556"/>
      <c r="UZI59" s="557"/>
      <c r="UZJ59" s="557"/>
      <c r="UZK59" s="557"/>
      <c r="UZL59" s="557"/>
      <c r="UZM59" s="557"/>
      <c r="UZN59" s="557"/>
      <c r="UZO59" s="557"/>
      <c r="UZP59" s="557"/>
      <c r="UZQ59" s="557"/>
      <c r="UZR59" s="557"/>
      <c r="UZS59" s="557"/>
      <c r="UZT59" s="557"/>
      <c r="UZU59" s="557"/>
      <c r="UZV59" s="557"/>
      <c r="UZW59" s="557"/>
      <c r="UZX59" s="557"/>
      <c r="UZY59" s="557"/>
      <c r="UZZ59" s="557"/>
      <c r="VAA59" s="661"/>
      <c r="VAB59" s="556"/>
      <c r="VAC59" s="557"/>
      <c r="VAD59" s="557"/>
      <c r="VAE59" s="557"/>
      <c r="VAF59" s="557"/>
      <c r="VAG59" s="557"/>
      <c r="VAH59" s="557"/>
      <c r="VAI59" s="557"/>
      <c r="VAJ59" s="557"/>
      <c r="VAK59" s="557"/>
      <c r="VAL59" s="557"/>
      <c r="VAM59" s="557"/>
      <c r="VAN59" s="557"/>
      <c r="VAO59" s="557"/>
      <c r="VAP59" s="557"/>
      <c r="VAQ59" s="557"/>
      <c r="VAR59" s="557"/>
      <c r="VAS59" s="557"/>
      <c r="VAT59" s="557"/>
      <c r="VAU59" s="661"/>
      <c r="VAV59" s="556"/>
      <c r="VAW59" s="557"/>
      <c r="VAX59" s="557"/>
      <c r="VAY59" s="557"/>
      <c r="VAZ59" s="557"/>
      <c r="VBA59" s="557"/>
      <c r="VBB59" s="557"/>
      <c r="VBC59" s="557"/>
      <c r="VBD59" s="557"/>
      <c r="VBE59" s="557"/>
      <c r="VBF59" s="557"/>
      <c r="VBG59" s="557"/>
      <c r="VBH59" s="557"/>
      <c r="VBI59" s="557"/>
      <c r="VBJ59" s="557"/>
      <c r="VBK59" s="557"/>
      <c r="VBL59" s="557"/>
      <c r="VBM59" s="557"/>
      <c r="VBN59" s="557"/>
      <c r="VBO59" s="661"/>
      <c r="VBP59" s="556"/>
      <c r="VBQ59" s="557"/>
      <c r="VBR59" s="557"/>
      <c r="VBS59" s="557"/>
      <c r="VBT59" s="557"/>
      <c r="VBU59" s="557"/>
      <c r="VBV59" s="557"/>
      <c r="VBW59" s="557"/>
      <c r="VBX59" s="557"/>
      <c r="VBY59" s="557"/>
      <c r="VBZ59" s="557"/>
      <c r="VCA59" s="557"/>
      <c r="VCB59" s="557"/>
      <c r="VCC59" s="557"/>
      <c r="VCD59" s="557"/>
      <c r="VCE59" s="557"/>
      <c r="VCF59" s="557"/>
      <c r="VCG59" s="557"/>
      <c r="VCH59" s="557"/>
      <c r="VCI59" s="661"/>
      <c r="VCJ59" s="556"/>
      <c r="VCK59" s="557"/>
      <c r="VCL59" s="557"/>
      <c r="VCM59" s="557"/>
      <c r="VCN59" s="557"/>
      <c r="VCO59" s="557"/>
      <c r="VCP59" s="557"/>
      <c r="VCQ59" s="557"/>
      <c r="VCR59" s="557"/>
      <c r="VCS59" s="557"/>
      <c r="VCT59" s="557"/>
      <c r="VCU59" s="557"/>
      <c r="VCV59" s="557"/>
      <c r="VCW59" s="557"/>
      <c r="VCX59" s="557"/>
      <c r="VCY59" s="557"/>
      <c r="VCZ59" s="557"/>
      <c r="VDA59" s="557"/>
      <c r="VDB59" s="557"/>
      <c r="VDC59" s="661"/>
      <c r="VDD59" s="556"/>
      <c r="VDE59" s="557"/>
      <c r="VDF59" s="557"/>
      <c r="VDG59" s="557"/>
      <c r="VDH59" s="557"/>
      <c r="VDI59" s="557"/>
      <c r="VDJ59" s="557"/>
      <c r="VDK59" s="557"/>
      <c r="VDL59" s="557"/>
      <c r="VDM59" s="557"/>
      <c r="VDN59" s="557"/>
      <c r="VDO59" s="557"/>
      <c r="VDP59" s="557"/>
      <c r="VDQ59" s="557"/>
      <c r="VDR59" s="557"/>
      <c r="VDS59" s="557"/>
      <c r="VDT59" s="557"/>
      <c r="VDU59" s="557"/>
      <c r="VDV59" s="557"/>
      <c r="VDW59" s="661"/>
      <c r="VDX59" s="556"/>
      <c r="VDY59" s="557"/>
      <c r="VDZ59" s="557"/>
      <c r="VEA59" s="557"/>
      <c r="VEB59" s="557"/>
      <c r="VEC59" s="557"/>
      <c r="VED59" s="557"/>
      <c r="VEE59" s="557"/>
      <c r="VEF59" s="557"/>
      <c r="VEG59" s="557"/>
      <c r="VEH59" s="557"/>
      <c r="VEI59" s="557"/>
      <c r="VEJ59" s="557"/>
      <c r="VEK59" s="557"/>
      <c r="VEL59" s="557"/>
      <c r="VEM59" s="557"/>
      <c r="VEN59" s="557"/>
      <c r="VEO59" s="557"/>
      <c r="VEP59" s="557"/>
      <c r="VEQ59" s="661"/>
      <c r="VER59" s="556"/>
      <c r="VES59" s="557"/>
      <c r="VET59" s="557"/>
      <c r="VEU59" s="557"/>
      <c r="VEV59" s="557"/>
      <c r="VEW59" s="557"/>
      <c r="VEX59" s="557"/>
      <c r="VEY59" s="557"/>
      <c r="VEZ59" s="557"/>
      <c r="VFA59" s="557"/>
      <c r="VFB59" s="557"/>
      <c r="VFC59" s="557"/>
      <c r="VFD59" s="557"/>
      <c r="VFE59" s="557"/>
      <c r="VFF59" s="557"/>
      <c r="VFG59" s="557"/>
      <c r="VFH59" s="557"/>
      <c r="VFI59" s="557"/>
      <c r="VFJ59" s="557"/>
      <c r="VFK59" s="661"/>
      <c r="VFL59" s="556"/>
      <c r="VFM59" s="557"/>
      <c r="VFN59" s="557"/>
      <c r="VFO59" s="557"/>
      <c r="VFP59" s="557"/>
      <c r="VFQ59" s="557"/>
      <c r="VFR59" s="557"/>
      <c r="VFS59" s="557"/>
      <c r="VFT59" s="557"/>
      <c r="VFU59" s="557"/>
      <c r="VFV59" s="557"/>
      <c r="VFW59" s="557"/>
      <c r="VFX59" s="557"/>
      <c r="VFY59" s="557"/>
      <c r="VFZ59" s="557"/>
      <c r="VGA59" s="557"/>
      <c r="VGB59" s="557"/>
      <c r="VGC59" s="557"/>
      <c r="VGD59" s="557"/>
      <c r="VGE59" s="661"/>
      <c r="VGF59" s="556"/>
      <c r="VGG59" s="557"/>
      <c r="VGH59" s="557"/>
      <c r="VGI59" s="557"/>
      <c r="VGJ59" s="557"/>
      <c r="VGK59" s="557"/>
      <c r="VGL59" s="557"/>
      <c r="VGM59" s="557"/>
      <c r="VGN59" s="557"/>
      <c r="VGO59" s="557"/>
      <c r="VGP59" s="557"/>
      <c r="VGQ59" s="557"/>
      <c r="VGR59" s="557"/>
      <c r="VGS59" s="557"/>
      <c r="VGT59" s="557"/>
      <c r="VGU59" s="557"/>
      <c r="VGV59" s="557"/>
      <c r="VGW59" s="557"/>
      <c r="VGX59" s="557"/>
      <c r="VGY59" s="661"/>
      <c r="VGZ59" s="556"/>
      <c r="VHA59" s="557"/>
      <c r="VHB59" s="557"/>
      <c r="VHC59" s="557"/>
      <c r="VHD59" s="557"/>
      <c r="VHE59" s="557"/>
      <c r="VHF59" s="557"/>
      <c r="VHG59" s="557"/>
      <c r="VHH59" s="557"/>
      <c r="VHI59" s="557"/>
      <c r="VHJ59" s="557"/>
      <c r="VHK59" s="557"/>
      <c r="VHL59" s="557"/>
      <c r="VHM59" s="557"/>
      <c r="VHN59" s="557"/>
      <c r="VHO59" s="557"/>
      <c r="VHP59" s="557"/>
      <c r="VHQ59" s="557"/>
      <c r="VHR59" s="557"/>
      <c r="VHS59" s="661"/>
      <c r="VHT59" s="556"/>
      <c r="VHU59" s="557"/>
      <c r="VHV59" s="557"/>
      <c r="VHW59" s="557"/>
      <c r="VHX59" s="557"/>
      <c r="VHY59" s="557"/>
      <c r="VHZ59" s="557"/>
      <c r="VIA59" s="557"/>
      <c r="VIB59" s="557"/>
      <c r="VIC59" s="557"/>
      <c r="VID59" s="557"/>
      <c r="VIE59" s="557"/>
      <c r="VIF59" s="557"/>
      <c r="VIG59" s="557"/>
      <c r="VIH59" s="557"/>
      <c r="VII59" s="557"/>
      <c r="VIJ59" s="557"/>
      <c r="VIK59" s="557"/>
      <c r="VIL59" s="557"/>
      <c r="VIM59" s="661"/>
      <c r="VIN59" s="556"/>
      <c r="VIO59" s="557"/>
      <c r="VIP59" s="557"/>
      <c r="VIQ59" s="557"/>
      <c r="VIR59" s="557"/>
      <c r="VIS59" s="557"/>
      <c r="VIT59" s="557"/>
      <c r="VIU59" s="557"/>
      <c r="VIV59" s="557"/>
      <c r="VIW59" s="557"/>
      <c r="VIX59" s="557"/>
      <c r="VIY59" s="557"/>
      <c r="VIZ59" s="557"/>
      <c r="VJA59" s="557"/>
      <c r="VJB59" s="557"/>
      <c r="VJC59" s="557"/>
      <c r="VJD59" s="557"/>
      <c r="VJE59" s="557"/>
      <c r="VJF59" s="557"/>
      <c r="VJG59" s="661"/>
      <c r="VJH59" s="556"/>
      <c r="VJI59" s="557"/>
      <c r="VJJ59" s="557"/>
      <c r="VJK59" s="557"/>
      <c r="VJL59" s="557"/>
      <c r="VJM59" s="557"/>
      <c r="VJN59" s="557"/>
      <c r="VJO59" s="557"/>
      <c r="VJP59" s="557"/>
      <c r="VJQ59" s="557"/>
      <c r="VJR59" s="557"/>
      <c r="VJS59" s="557"/>
      <c r="VJT59" s="557"/>
      <c r="VJU59" s="557"/>
      <c r="VJV59" s="557"/>
      <c r="VJW59" s="557"/>
      <c r="VJX59" s="557"/>
      <c r="VJY59" s="557"/>
      <c r="VJZ59" s="557"/>
      <c r="VKA59" s="661"/>
      <c r="VKB59" s="556"/>
      <c r="VKC59" s="557"/>
      <c r="VKD59" s="557"/>
      <c r="VKE59" s="557"/>
      <c r="VKF59" s="557"/>
      <c r="VKG59" s="557"/>
      <c r="VKH59" s="557"/>
      <c r="VKI59" s="557"/>
      <c r="VKJ59" s="557"/>
      <c r="VKK59" s="557"/>
      <c r="VKL59" s="557"/>
      <c r="VKM59" s="557"/>
      <c r="VKN59" s="557"/>
      <c r="VKO59" s="557"/>
      <c r="VKP59" s="557"/>
      <c r="VKQ59" s="557"/>
      <c r="VKR59" s="557"/>
      <c r="VKS59" s="557"/>
      <c r="VKT59" s="557"/>
      <c r="VKU59" s="661"/>
      <c r="VKV59" s="556"/>
      <c r="VKW59" s="557"/>
      <c r="VKX59" s="557"/>
      <c r="VKY59" s="557"/>
      <c r="VKZ59" s="557"/>
      <c r="VLA59" s="557"/>
      <c r="VLB59" s="557"/>
      <c r="VLC59" s="557"/>
      <c r="VLD59" s="557"/>
      <c r="VLE59" s="557"/>
      <c r="VLF59" s="557"/>
      <c r="VLG59" s="557"/>
      <c r="VLH59" s="557"/>
      <c r="VLI59" s="557"/>
      <c r="VLJ59" s="557"/>
      <c r="VLK59" s="557"/>
      <c r="VLL59" s="557"/>
      <c r="VLM59" s="557"/>
      <c r="VLN59" s="557"/>
      <c r="VLO59" s="661"/>
      <c r="VLP59" s="556"/>
      <c r="VLQ59" s="557"/>
      <c r="VLR59" s="557"/>
      <c r="VLS59" s="557"/>
      <c r="VLT59" s="557"/>
      <c r="VLU59" s="557"/>
      <c r="VLV59" s="557"/>
      <c r="VLW59" s="557"/>
      <c r="VLX59" s="557"/>
      <c r="VLY59" s="557"/>
      <c r="VLZ59" s="557"/>
      <c r="VMA59" s="557"/>
      <c r="VMB59" s="557"/>
      <c r="VMC59" s="557"/>
      <c r="VMD59" s="557"/>
      <c r="VME59" s="557"/>
      <c r="VMF59" s="557"/>
      <c r="VMG59" s="557"/>
      <c r="VMH59" s="557"/>
      <c r="VMI59" s="661"/>
      <c r="VMJ59" s="556"/>
      <c r="VMK59" s="557"/>
      <c r="VML59" s="557"/>
      <c r="VMM59" s="557"/>
      <c r="VMN59" s="557"/>
      <c r="VMO59" s="557"/>
      <c r="VMP59" s="557"/>
      <c r="VMQ59" s="557"/>
      <c r="VMR59" s="557"/>
      <c r="VMS59" s="557"/>
      <c r="VMT59" s="557"/>
      <c r="VMU59" s="557"/>
      <c r="VMV59" s="557"/>
      <c r="VMW59" s="557"/>
      <c r="VMX59" s="557"/>
      <c r="VMY59" s="557"/>
      <c r="VMZ59" s="557"/>
      <c r="VNA59" s="557"/>
      <c r="VNB59" s="557"/>
      <c r="VNC59" s="661"/>
      <c r="VND59" s="556"/>
      <c r="VNE59" s="557"/>
      <c r="VNF59" s="557"/>
      <c r="VNG59" s="557"/>
      <c r="VNH59" s="557"/>
      <c r="VNI59" s="557"/>
      <c r="VNJ59" s="557"/>
      <c r="VNK59" s="557"/>
      <c r="VNL59" s="557"/>
      <c r="VNM59" s="557"/>
      <c r="VNN59" s="557"/>
      <c r="VNO59" s="557"/>
      <c r="VNP59" s="557"/>
      <c r="VNQ59" s="557"/>
      <c r="VNR59" s="557"/>
      <c r="VNS59" s="557"/>
      <c r="VNT59" s="557"/>
      <c r="VNU59" s="557"/>
      <c r="VNV59" s="557"/>
      <c r="VNW59" s="661"/>
      <c r="VNX59" s="556"/>
      <c r="VNY59" s="557"/>
      <c r="VNZ59" s="557"/>
      <c r="VOA59" s="557"/>
      <c r="VOB59" s="557"/>
      <c r="VOC59" s="557"/>
      <c r="VOD59" s="557"/>
      <c r="VOE59" s="557"/>
      <c r="VOF59" s="557"/>
      <c r="VOG59" s="557"/>
      <c r="VOH59" s="557"/>
      <c r="VOI59" s="557"/>
      <c r="VOJ59" s="557"/>
      <c r="VOK59" s="557"/>
      <c r="VOL59" s="557"/>
      <c r="VOM59" s="557"/>
      <c r="VON59" s="557"/>
      <c r="VOO59" s="557"/>
      <c r="VOP59" s="557"/>
      <c r="VOQ59" s="661"/>
      <c r="VOR59" s="556"/>
      <c r="VOS59" s="557"/>
      <c r="VOT59" s="557"/>
      <c r="VOU59" s="557"/>
      <c r="VOV59" s="557"/>
      <c r="VOW59" s="557"/>
      <c r="VOX59" s="557"/>
      <c r="VOY59" s="557"/>
      <c r="VOZ59" s="557"/>
      <c r="VPA59" s="557"/>
      <c r="VPB59" s="557"/>
      <c r="VPC59" s="557"/>
      <c r="VPD59" s="557"/>
      <c r="VPE59" s="557"/>
      <c r="VPF59" s="557"/>
      <c r="VPG59" s="557"/>
      <c r="VPH59" s="557"/>
      <c r="VPI59" s="557"/>
      <c r="VPJ59" s="557"/>
      <c r="VPK59" s="661"/>
      <c r="VPL59" s="556"/>
      <c r="VPM59" s="557"/>
      <c r="VPN59" s="557"/>
      <c r="VPO59" s="557"/>
      <c r="VPP59" s="557"/>
      <c r="VPQ59" s="557"/>
      <c r="VPR59" s="557"/>
      <c r="VPS59" s="557"/>
      <c r="VPT59" s="557"/>
      <c r="VPU59" s="557"/>
      <c r="VPV59" s="557"/>
      <c r="VPW59" s="557"/>
      <c r="VPX59" s="557"/>
      <c r="VPY59" s="557"/>
      <c r="VPZ59" s="557"/>
      <c r="VQA59" s="557"/>
      <c r="VQB59" s="557"/>
      <c r="VQC59" s="557"/>
      <c r="VQD59" s="557"/>
      <c r="VQE59" s="661"/>
      <c r="VQF59" s="556"/>
      <c r="VQG59" s="557"/>
      <c r="VQH59" s="557"/>
      <c r="VQI59" s="557"/>
      <c r="VQJ59" s="557"/>
      <c r="VQK59" s="557"/>
      <c r="VQL59" s="557"/>
      <c r="VQM59" s="557"/>
      <c r="VQN59" s="557"/>
      <c r="VQO59" s="557"/>
      <c r="VQP59" s="557"/>
      <c r="VQQ59" s="557"/>
      <c r="VQR59" s="557"/>
      <c r="VQS59" s="557"/>
      <c r="VQT59" s="557"/>
      <c r="VQU59" s="557"/>
      <c r="VQV59" s="557"/>
      <c r="VQW59" s="557"/>
      <c r="VQX59" s="557"/>
      <c r="VQY59" s="661"/>
      <c r="VQZ59" s="556"/>
      <c r="VRA59" s="557"/>
      <c r="VRB59" s="557"/>
      <c r="VRC59" s="557"/>
      <c r="VRD59" s="557"/>
      <c r="VRE59" s="557"/>
      <c r="VRF59" s="557"/>
      <c r="VRG59" s="557"/>
      <c r="VRH59" s="557"/>
      <c r="VRI59" s="557"/>
      <c r="VRJ59" s="557"/>
      <c r="VRK59" s="557"/>
      <c r="VRL59" s="557"/>
      <c r="VRM59" s="557"/>
      <c r="VRN59" s="557"/>
      <c r="VRO59" s="557"/>
      <c r="VRP59" s="557"/>
      <c r="VRQ59" s="557"/>
      <c r="VRR59" s="557"/>
      <c r="VRS59" s="661"/>
      <c r="VRT59" s="556"/>
      <c r="VRU59" s="557"/>
      <c r="VRV59" s="557"/>
      <c r="VRW59" s="557"/>
      <c r="VRX59" s="557"/>
      <c r="VRY59" s="557"/>
      <c r="VRZ59" s="557"/>
      <c r="VSA59" s="557"/>
      <c r="VSB59" s="557"/>
      <c r="VSC59" s="557"/>
      <c r="VSD59" s="557"/>
      <c r="VSE59" s="557"/>
      <c r="VSF59" s="557"/>
      <c r="VSG59" s="557"/>
      <c r="VSH59" s="557"/>
      <c r="VSI59" s="557"/>
      <c r="VSJ59" s="557"/>
      <c r="VSK59" s="557"/>
      <c r="VSL59" s="557"/>
      <c r="VSM59" s="661"/>
      <c r="VSN59" s="556"/>
      <c r="VSO59" s="557"/>
      <c r="VSP59" s="557"/>
      <c r="VSQ59" s="557"/>
      <c r="VSR59" s="557"/>
      <c r="VSS59" s="557"/>
      <c r="VST59" s="557"/>
      <c r="VSU59" s="557"/>
      <c r="VSV59" s="557"/>
      <c r="VSW59" s="557"/>
      <c r="VSX59" s="557"/>
      <c r="VSY59" s="557"/>
      <c r="VSZ59" s="557"/>
      <c r="VTA59" s="557"/>
      <c r="VTB59" s="557"/>
      <c r="VTC59" s="557"/>
      <c r="VTD59" s="557"/>
      <c r="VTE59" s="557"/>
      <c r="VTF59" s="557"/>
      <c r="VTG59" s="661"/>
      <c r="VTH59" s="556"/>
      <c r="VTI59" s="557"/>
      <c r="VTJ59" s="557"/>
      <c r="VTK59" s="557"/>
      <c r="VTL59" s="557"/>
      <c r="VTM59" s="557"/>
      <c r="VTN59" s="557"/>
      <c r="VTO59" s="557"/>
      <c r="VTP59" s="557"/>
      <c r="VTQ59" s="557"/>
      <c r="VTR59" s="557"/>
      <c r="VTS59" s="557"/>
      <c r="VTT59" s="557"/>
      <c r="VTU59" s="557"/>
      <c r="VTV59" s="557"/>
      <c r="VTW59" s="557"/>
      <c r="VTX59" s="557"/>
      <c r="VTY59" s="557"/>
      <c r="VTZ59" s="557"/>
      <c r="VUA59" s="661"/>
      <c r="VUB59" s="556"/>
      <c r="VUC59" s="557"/>
      <c r="VUD59" s="557"/>
      <c r="VUE59" s="557"/>
      <c r="VUF59" s="557"/>
      <c r="VUG59" s="557"/>
      <c r="VUH59" s="557"/>
      <c r="VUI59" s="557"/>
      <c r="VUJ59" s="557"/>
      <c r="VUK59" s="557"/>
      <c r="VUL59" s="557"/>
      <c r="VUM59" s="557"/>
      <c r="VUN59" s="557"/>
      <c r="VUO59" s="557"/>
      <c r="VUP59" s="557"/>
      <c r="VUQ59" s="557"/>
      <c r="VUR59" s="557"/>
      <c r="VUS59" s="557"/>
      <c r="VUT59" s="557"/>
      <c r="VUU59" s="661"/>
      <c r="VUV59" s="556"/>
      <c r="VUW59" s="557"/>
      <c r="VUX59" s="557"/>
      <c r="VUY59" s="557"/>
      <c r="VUZ59" s="557"/>
      <c r="VVA59" s="557"/>
      <c r="VVB59" s="557"/>
      <c r="VVC59" s="557"/>
      <c r="VVD59" s="557"/>
      <c r="VVE59" s="557"/>
      <c r="VVF59" s="557"/>
      <c r="VVG59" s="557"/>
      <c r="VVH59" s="557"/>
      <c r="VVI59" s="557"/>
      <c r="VVJ59" s="557"/>
      <c r="VVK59" s="557"/>
      <c r="VVL59" s="557"/>
      <c r="VVM59" s="557"/>
      <c r="VVN59" s="557"/>
      <c r="VVO59" s="661"/>
      <c r="VVP59" s="556"/>
      <c r="VVQ59" s="557"/>
      <c r="VVR59" s="557"/>
      <c r="VVS59" s="557"/>
      <c r="VVT59" s="557"/>
      <c r="VVU59" s="557"/>
      <c r="VVV59" s="557"/>
      <c r="VVW59" s="557"/>
      <c r="VVX59" s="557"/>
      <c r="VVY59" s="557"/>
      <c r="VVZ59" s="557"/>
      <c r="VWA59" s="557"/>
      <c r="VWB59" s="557"/>
      <c r="VWC59" s="557"/>
      <c r="VWD59" s="557"/>
      <c r="VWE59" s="557"/>
      <c r="VWF59" s="557"/>
      <c r="VWG59" s="557"/>
      <c r="VWH59" s="557"/>
      <c r="VWI59" s="661"/>
      <c r="VWJ59" s="556"/>
      <c r="VWK59" s="557"/>
      <c r="VWL59" s="557"/>
      <c r="VWM59" s="557"/>
      <c r="VWN59" s="557"/>
      <c r="VWO59" s="557"/>
      <c r="VWP59" s="557"/>
      <c r="VWQ59" s="557"/>
      <c r="VWR59" s="557"/>
      <c r="VWS59" s="557"/>
      <c r="VWT59" s="557"/>
      <c r="VWU59" s="557"/>
      <c r="VWV59" s="557"/>
      <c r="VWW59" s="557"/>
      <c r="VWX59" s="557"/>
      <c r="VWY59" s="557"/>
      <c r="VWZ59" s="557"/>
      <c r="VXA59" s="557"/>
      <c r="VXB59" s="557"/>
      <c r="VXC59" s="661"/>
      <c r="VXD59" s="556"/>
      <c r="VXE59" s="557"/>
      <c r="VXF59" s="557"/>
      <c r="VXG59" s="557"/>
      <c r="VXH59" s="557"/>
      <c r="VXI59" s="557"/>
      <c r="VXJ59" s="557"/>
      <c r="VXK59" s="557"/>
      <c r="VXL59" s="557"/>
      <c r="VXM59" s="557"/>
      <c r="VXN59" s="557"/>
      <c r="VXO59" s="557"/>
      <c r="VXP59" s="557"/>
      <c r="VXQ59" s="557"/>
      <c r="VXR59" s="557"/>
      <c r="VXS59" s="557"/>
      <c r="VXT59" s="557"/>
      <c r="VXU59" s="557"/>
      <c r="VXV59" s="557"/>
      <c r="VXW59" s="661"/>
      <c r="VXX59" s="556"/>
      <c r="VXY59" s="557"/>
      <c r="VXZ59" s="557"/>
      <c r="VYA59" s="557"/>
      <c r="VYB59" s="557"/>
      <c r="VYC59" s="557"/>
      <c r="VYD59" s="557"/>
      <c r="VYE59" s="557"/>
      <c r="VYF59" s="557"/>
      <c r="VYG59" s="557"/>
      <c r="VYH59" s="557"/>
      <c r="VYI59" s="557"/>
      <c r="VYJ59" s="557"/>
      <c r="VYK59" s="557"/>
      <c r="VYL59" s="557"/>
      <c r="VYM59" s="557"/>
      <c r="VYN59" s="557"/>
      <c r="VYO59" s="557"/>
      <c r="VYP59" s="557"/>
      <c r="VYQ59" s="661"/>
      <c r="VYR59" s="556"/>
      <c r="VYS59" s="557"/>
      <c r="VYT59" s="557"/>
      <c r="VYU59" s="557"/>
      <c r="VYV59" s="557"/>
      <c r="VYW59" s="557"/>
      <c r="VYX59" s="557"/>
      <c r="VYY59" s="557"/>
      <c r="VYZ59" s="557"/>
      <c r="VZA59" s="557"/>
      <c r="VZB59" s="557"/>
      <c r="VZC59" s="557"/>
      <c r="VZD59" s="557"/>
      <c r="VZE59" s="557"/>
      <c r="VZF59" s="557"/>
      <c r="VZG59" s="557"/>
      <c r="VZH59" s="557"/>
      <c r="VZI59" s="557"/>
      <c r="VZJ59" s="557"/>
      <c r="VZK59" s="661"/>
      <c r="VZL59" s="556"/>
      <c r="VZM59" s="557"/>
      <c r="VZN59" s="557"/>
      <c r="VZO59" s="557"/>
      <c r="VZP59" s="557"/>
      <c r="VZQ59" s="557"/>
      <c r="VZR59" s="557"/>
      <c r="VZS59" s="557"/>
      <c r="VZT59" s="557"/>
      <c r="VZU59" s="557"/>
      <c r="VZV59" s="557"/>
      <c r="VZW59" s="557"/>
      <c r="VZX59" s="557"/>
      <c r="VZY59" s="557"/>
      <c r="VZZ59" s="557"/>
      <c r="WAA59" s="557"/>
      <c r="WAB59" s="557"/>
      <c r="WAC59" s="557"/>
      <c r="WAD59" s="557"/>
      <c r="WAE59" s="661"/>
      <c r="WAF59" s="556"/>
      <c r="WAG59" s="557"/>
      <c r="WAH59" s="557"/>
      <c r="WAI59" s="557"/>
      <c r="WAJ59" s="557"/>
      <c r="WAK59" s="557"/>
      <c r="WAL59" s="557"/>
      <c r="WAM59" s="557"/>
      <c r="WAN59" s="557"/>
      <c r="WAO59" s="557"/>
      <c r="WAP59" s="557"/>
      <c r="WAQ59" s="557"/>
      <c r="WAR59" s="557"/>
      <c r="WAS59" s="557"/>
      <c r="WAT59" s="557"/>
      <c r="WAU59" s="557"/>
      <c r="WAV59" s="557"/>
      <c r="WAW59" s="557"/>
      <c r="WAX59" s="557"/>
      <c r="WAY59" s="661"/>
      <c r="WAZ59" s="556"/>
      <c r="WBA59" s="557"/>
      <c r="WBB59" s="557"/>
      <c r="WBC59" s="557"/>
      <c r="WBD59" s="557"/>
      <c r="WBE59" s="557"/>
      <c r="WBF59" s="557"/>
      <c r="WBG59" s="557"/>
      <c r="WBH59" s="557"/>
      <c r="WBI59" s="557"/>
      <c r="WBJ59" s="557"/>
      <c r="WBK59" s="557"/>
      <c r="WBL59" s="557"/>
      <c r="WBM59" s="557"/>
      <c r="WBN59" s="557"/>
      <c r="WBO59" s="557"/>
      <c r="WBP59" s="557"/>
      <c r="WBQ59" s="557"/>
      <c r="WBR59" s="557"/>
      <c r="WBS59" s="661"/>
      <c r="WBT59" s="556"/>
      <c r="WBU59" s="557"/>
      <c r="WBV59" s="557"/>
      <c r="WBW59" s="557"/>
      <c r="WBX59" s="557"/>
      <c r="WBY59" s="557"/>
      <c r="WBZ59" s="557"/>
      <c r="WCA59" s="557"/>
      <c r="WCB59" s="557"/>
      <c r="WCC59" s="557"/>
      <c r="WCD59" s="557"/>
      <c r="WCE59" s="557"/>
      <c r="WCF59" s="557"/>
      <c r="WCG59" s="557"/>
      <c r="WCH59" s="557"/>
      <c r="WCI59" s="557"/>
      <c r="WCJ59" s="557"/>
      <c r="WCK59" s="557"/>
      <c r="WCL59" s="557"/>
      <c r="WCM59" s="661"/>
      <c r="WCN59" s="556"/>
      <c r="WCO59" s="557"/>
      <c r="WCP59" s="557"/>
      <c r="WCQ59" s="557"/>
      <c r="WCR59" s="557"/>
      <c r="WCS59" s="557"/>
      <c r="WCT59" s="557"/>
      <c r="WCU59" s="557"/>
      <c r="WCV59" s="557"/>
      <c r="WCW59" s="557"/>
      <c r="WCX59" s="557"/>
      <c r="WCY59" s="557"/>
      <c r="WCZ59" s="557"/>
      <c r="WDA59" s="557"/>
      <c r="WDB59" s="557"/>
      <c r="WDC59" s="557"/>
      <c r="WDD59" s="557"/>
      <c r="WDE59" s="557"/>
      <c r="WDF59" s="557"/>
      <c r="WDG59" s="661"/>
      <c r="WDH59" s="556"/>
      <c r="WDI59" s="557"/>
      <c r="WDJ59" s="557"/>
      <c r="WDK59" s="557"/>
      <c r="WDL59" s="557"/>
      <c r="WDM59" s="557"/>
      <c r="WDN59" s="557"/>
      <c r="WDO59" s="557"/>
      <c r="WDP59" s="557"/>
      <c r="WDQ59" s="557"/>
      <c r="WDR59" s="557"/>
      <c r="WDS59" s="557"/>
      <c r="WDT59" s="557"/>
      <c r="WDU59" s="557"/>
      <c r="WDV59" s="557"/>
      <c r="WDW59" s="557"/>
      <c r="WDX59" s="557"/>
      <c r="WDY59" s="557"/>
      <c r="WDZ59" s="557"/>
      <c r="WEA59" s="661"/>
      <c r="WEB59" s="556"/>
      <c r="WEC59" s="557"/>
      <c r="WED59" s="557"/>
      <c r="WEE59" s="557"/>
      <c r="WEF59" s="557"/>
      <c r="WEG59" s="557"/>
      <c r="WEH59" s="557"/>
      <c r="WEI59" s="557"/>
      <c r="WEJ59" s="557"/>
      <c r="WEK59" s="557"/>
      <c r="WEL59" s="557"/>
      <c r="WEM59" s="557"/>
      <c r="WEN59" s="557"/>
      <c r="WEO59" s="557"/>
      <c r="WEP59" s="557"/>
      <c r="WEQ59" s="557"/>
      <c r="WER59" s="557"/>
      <c r="WES59" s="557"/>
      <c r="WET59" s="557"/>
      <c r="WEU59" s="661"/>
      <c r="WEV59" s="556"/>
      <c r="WEW59" s="557"/>
      <c r="WEX59" s="557"/>
      <c r="WEY59" s="557"/>
      <c r="WEZ59" s="557"/>
      <c r="WFA59" s="557"/>
      <c r="WFB59" s="557"/>
      <c r="WFC59" s="557"/>
      <c r="WFD59" s="557"/>
      <c r="WFE59" s="557"/>
      <c r="WFF59" s="557"/>
      <c r="WFG59" s="557"/>
      <c r="WFH59" s="557"/>
      <c r="WFI59" s="557"/>
      <c r="WFJ59" s="557"/>
      <c r="WFK59" s="557"/>
      <c r="WFL59" s="557"/>
      <c r="WFM59" s="557"/>
      <c r="WFN59" s="557"/>
      <c r="WFO59" s="661"/>
      <c r="WFP59" s="556"/>
      <c r="WFQ59" s="557"/>
      <c r="WFR59" s="557"/>
      <c r="WFS59" s="557"/>
      <c r="WFT59" s="557"/>
      <c r="WFU59" s="557"/>
      <c r="WFV59" s="557"/>
      <c r="WFW59" s="557"/>
      <c r="WFX59" s="557"/>
      <c r="WFY59" s="557"/>
      <c r="WFZ59" s="557"/>
      <c r="WGA59" s="557"/>
      <c r="WGB59" s="557"/>
      <c r="WGC59" s="557"/>
      <c r="WGD59" s="557"/>
      <c r="WGE59" s="557"/>
      <c r="WGF59" s="557"/>
      <c r="WGG59" s="557"/>
      <c r="WGH59" s="557"/>
      <c r="WGI59" s="661"/>
      <c r="WGJ59" s="556"/>
      <c r="WGK59" s="557"/>
      <c r="WGL59" s="557"/>
      <c r="WGM59" s="557"/>
      <c r="WGN59" s="557"/>
      <c r="WGO59" s="557"/>
      <c r="WGP59" s="557"/>
      <c r="WGQ59" s="557"/>
      <c r="WGR59" s="557"/>
      <c r="WGS59" s="557"/>
      <c r="WGT59" s="557"/>
      <c r="WGU59" s="557"/>
      <c r="WGV59" s="557"/>
      <c r="WGW59" s="557"/>
      <c r="WGX59" s="557"/>
      <c r="WGY59" s="557"/>
      <c r="WGZ59" s="557"/>
      <c r="WHA59" s="557"/>
      <c r="WHB59" s="557"/>
      <c r="WHC59" s="661"/>
      <c r="WHD59" s="556"/>
      <c r="WHE59" s="557"/>
      <c r="WHF59" s="557"/>
      <c r="WHG59" s="557"/>
      <c r="WHH59" s="557"/>
      <c r="WHI59" s="557"/>
      <c r="WHJ59" s="557"/>
      <c r="WHK59" s="557"/>
      <c r="WHL59" s="557"/>
      <c r="WHM59" s="557"/>
      <c r="WHN59" s="557"/>
      <c r="WHO59" s="557"/>
      <c r="WHP59" s="557"/>
      <c r="WHQ59" s="557"/>
      <c r="WHR59" s="557"/>
      <c r="WHS59" s="557"/>
      <c r="WHT59" s="557"/>
      <c r="WHU59" s="557"/>
      <c r="WHV59" s="557"/>
      <c r="WHW59" s="661"/>
      <c r="WHX59" s="556"/>
      <c r="WHY59" s="557"/>
      <c r="WHZ59" s="557"/>
      <c r="WIA59" s="557"/>
      <c r="WIB59" s="557"/>
      <c r="WIC59" s="557"/>
      <c r="WID59" s="557"/>
      <c r="WIE59" s="557"/>
      <c r="WIF59" s="557"/>
      <c r="WIG59" s="557"/>
      <c r="WIH59" s="557"/>
      <c r="WII59" s="557"/>
      <c r="WIJ59" s="557"/>
      <c r="WIK59" s="557"/>
      <c r="WIL59" s="557"/>
      <c r="WIM59" s="557"/>
      <c r="WIN59" s="557"/>
      <c r="WIO59" s="557"/>
      <c r="WIP59" s="557"/>
      <c r="WIQ59" s="661"/>
      <c r="WIR59" s="556"/>
      <c r="WIS59" s="557"/>
      <c r="WIT59" s="557"/>
      <c r="WIU59" s="557"/>
      <c r="WIV59" s="557"/>
      <c r="WIW59" s="557"/>
      <c r="WIX59" s="557"/>
      <c r="WIY59" s="557"/>
      <c r="WIZ59" s="557"/>
      <c r="WJA59" s="557"/>
      <c r="WJB59" s="557"/>
      <c r="WJC59" s="557"/>
      <c r="WJD59" s="557"/>
      <c r="WJE59" s="557"/>
      <c r="WJF59" s="557"/>
      <c r="WJG59" s="557"/>
      <c r="WJH59" s="557"/>
      <c r="WJI59" s="557"/>
      <c r="WJJ59" s="557"/>
      <c r="WJK59" s="661"/>
      <c r="WJL59" s="556"/>
      <c r="WJM59" s="557"/>
      <c r="WJN59" s="557"/>
      <c r="WJO59" s="557"/>
      <c r="WJP59" s="557"/>
      <c r="WJQ59" s="557"/>
      <c r="WJR59" s="557"/>
      <c r="WJS59" s="557"/>
      <c r="WJT59" s="557"/>
      <c r="WJU59" s="557"/>
      <c r="WJV59" s="557"/>
      <c r="WJW59" s="557"/>
      <c r="WJX59" s="557"/>
      <c r="WJY59" s="557"/>
      <c r="WJZ59" s="557"/>
      <c r="WKA59" s="557"/>
      <c r="WKB59" s="557"/>
      <c r="WKC59" s="557"/>
      <c r="WKD59" s="557"/>
      <c r="WKE59" s="661"/>
      <c r="WKF59" s="556"/>
      <c r="WKG59" s="557"/>
      <c r="WKH59" s="557"/>
      <c r="WKI59" s="557"/>
      <c r="WKJ59" s="557"/>
      <c r="WKK59" s="557"/>
      <c r="WKL59" s="557"/>
      <c r="WKM59" s="557"/>
      <c r="WKN59" s="557"/>
      <c r="WKO59" s="557"/>
      <c r="WKP59" s="557"/>
      <c r="WKQ59" s="557"/>
      <c r="WKR59" s="557"/>
      <c r="WKS59" s="557"/>
      <c r="WKT59" s="557"/>
      <c r="WKU59" s="557"/>
      <c r="WKV59" s="557"/>
      <c r="WKW59" s="557"/>
      <c r="WKX59" s="557"/>
      <c r="WKY59" s="661"/>
      <c r="WKZ59" s="556"/>
      <c r="WLA59" s="557"/>
      <c r="WLB59" s="557"/>
      <c r="WLC59" s="557"/>
      <c r="WLD59" s="557"/>
      <c r="WLE59" s="557"/>
      <c r="WLF59" s="557"/>
      <c r="WLG59" s="557"/>
      <c r="WLH59" s="557"/>
      <c r="WLI59" s="557"/>
      <c r="WLJ59" s="557"/>
      <c r="WLK59" s="557"/>
      <c r="WLL59" s="557"/>
      <c r="WLM59" s="557"/>
      <c r="WLN59" s="557"/>
      <c r="WLO59" s="557"/>
      <c r="WLP59" s="557"/>
      <c r="WLQ59" s="557"/>
      <c r="WLR59" s="557"/>
      <c r="WLS59" s="661"/>
      <c r="WLT59" s="556"/>
      <c r="WLU59" s="557"/>
      <c r="WLV59" s="557"/>
      <c r="WLW59" s="557"/>
      <c r="WLX59" s="557"/>
      <c r="WLY59" s="557"/>
      <c r="WLZ59" s="557"/>
      <c r="WMA59" s="557"/>
      <c r="WMB59" s="557"/>
      <c r="WMC59" s="557"/>
      <c r="WMD59" s="557"/>
      <c r="WME59" s="557"/>
      <c r="WMF59" s="557"/>
      <c r="WMG59" s="557"/>
      <c r="WMH59" s="557"/>
      <c r="WMI59" s="557"/>
      <c r="WMJ59" s="557"/>
      <c r="WMK59" s="557"/>
      <c r="WML59" s="557"/>
      <c r="WMM59" s="661"/>
      <c r="WMN59" s="556"/>
      <c r="WMO59" s="557"/>
      <c r="WMP59" s="557"/>
      <c r="WMQ59" s="557"/>
      <c r="WMR59" s="557"/>
      <c r="WMS59" s="557"/>
      <c r="WMT59" s="557"/>
      <c r="WMU59" s="557"/>
      <c r="WMV59" s="557"/>
      <c r="WMW59" s="557"/>
      <c r="WMX59" s="557"/>
      <c r="WMY59" s="557"/>
      <c r="WMZ59" s="557"/>
      <c r="WNA59" s="557"/>
      <c r="WNB59" s="557"/>
      <c r="WNC59" s="557"/>
      <c r="WND59" s="557"/>
      <c r="WNE59" s="557"/>
      <c r="WNF59" s="557"/>
      <c r="WNG59" s="661"/>
      <c r="WNH59" s="556"/>
      <c r="WNI59" s="557"/>
      <c r="WNJ59" s="557"/>
      <c r="WNK59" s="557"/>
      <c r="WNL59" s="557"/>
      <c r="WNM59" s="557"/>
      <c r="WNN59" s="557"/>
      <c r="WNO59" s="557"/>
      <c r="WNP59" s="557"/>
      <c r="WNQ59" s="557"/>
      <c r="WNR59" s="557"/>
      <c r="WNS59" s="557"/>
      <c r="WNT59" s="557"/>
      <c r="WNU59" s="557"/>
      <c r="WNV59" s="557"/>
      <c r="WNW59" s="557"/>
      <c r="WNX59" s="557"/>
      <c r="WNY59" s="557"/>
      <c r="WNZ59" s="557"/>
      <c r="WOA59" s="661"/>
      <c r="WOB59" s="556"/>
      <c r="WOC59" s="557"/>
      <c r="WOD59" s="557"/>
      <c r="WOE59" s="557"/>
      <c r="WOF59" s="557"/>
      <c r="WOG59" s="557"/>
      <c r="WOH59" s="557"/>
      <c r="WOI59" s="557"/>
      <c r="WOJ59" s="557"/>
      <c r="WOK59" s="557"/>
      <c r="WOL59" s="557"/>
      <c r="WOM59" s="557"/>
      <c r="WON59" s="557"/>
      <c r="WOO59" s="557"/>
      <c r="WOP59" s="557"/>
      <c r="WOQ59" s="557"/>
      <c r="WOR59" s="557"/>
      <c r="WOS59" s="557"/>
      <c r="WOT59" s="557"/>
      <c r="WOU59" s="661"/>
      <c r="WOV59" s="556"/>
      <c r="WOW59" s="557"/>
      <c r="WOX59" s="557"/>
      <c r="WOY59" s="557"/>
      <c r="WOZ59" s="557"/>
      <c r="WPA59" s="557"/>
      <c r="WPB59" s="557"/>
      <c r="WPC59" s="557"/>
      <c r="WPD59" s="557"/>
      <c r="WPE59" s="557"/>
      <c r="WPF59" s="557"/>
      <c r="WPG59" s="557"/>
      <c r="WPH59" s="557"/>
      <c r="WPI59" s="557"/>
      <c r="WPJ59" s="557"/>
      <c r="WPK59" s="557"/>
      <c r="WPL59" s="557"/>
      <c r="WPM59" s="557"/>
      <c r="WPN59" s="557"/>
      <c r="WPO59" s="661"/>
      <c r="WPP59" s="556"/>
      <c r="WPQ59" s="557"/>
      <c r="WPR59" s="557"/>
      <c r="WPS59" s="557"/>
      <c r="WPT59" s="557"/>
      <c r="WPU59" s="557"/>
      <c r="WPV59" s="557"/>
      <c r="WPW59" s="557"/>
      <c r="WPX59" s="557"/>
      <c r="WPY59" s="557"/>
      <c r="WPZ59" s="557"/>
      <c r="WQA59" s="557"/>
      <c r="WQB59" s="557"/>
      <c r="WQC59" s="557"/>
      <c r="WQD59" s="557"/>
      <c r="WQE59" s="557"/>
      <c r="WQF59" s="557"/>
      <c r="WQG59" s="557"/>
      <c r="WQH59" s="557"/>
      <c r="WQI59" s="661"/>
      <c r="WQJ59" s="556"/>
      <c r="WQK59" s="557"/>
      <c r="WQL59" s="557"/>
      <c r="WQM59" s="557"/>
      <c r="WQN59" s="557"/>
      <c r="WQO59" s="557"/>
      <c r="WQP59" s="557"/>
      <c r="WQQ59" s="557"/>
      <c r="WQR59" s="557"/>
      <c r="WQS59" s="557"/>
      <c r="WQT59" s="557"/>
      <c r="WQU59" s="557"/>
      <c r="WQV59" s="557"/>
      <c r="WQW59" s="557"/>
      <c r="WQX59" s="557"/>
      <c r="WQY59" s="557"/>
      <c r="WQZ59" s="557"/>
      <c r="WRA59" s="557"/>
      <c r="WRB59" s="557"/>
      <c r="WRC59" s="661"/>
      <c r="WRD59" s="556"/>
      <c r="WRE59" s="557"/>
      <c r="WRF59" s="557"/>
      <c r="WRG59" s="557"/>
      <c r="WRH59" s="557"/>
      <c r="WRI59" s="557"/>
      <c r="WRJ59" s="557"/>
      <c r="WRK59" s="557"/>
      <c r="WRL59" s="557"/>
      <c r="WRM59" s="557"/>
      <c r="WRN59" s="557"/>
      <c r="WRO59" s="557"/>
      <c r="WRP59" s="557"/>
      <c r="WRQ59" s="557"/>
      <c r="WRR59" s="557"/>
      <c r="WRS59" s="557"/>
      <c r="WRT59" s="557"/>
      <c r="WRU59" s="557"/>
      <c r="WRV59" s="557"/>
      <c r="WRW59" s="661"/>
      <c r="WRX59" s="556"/>
      <c r="WRY59" s="557"/>
      <c r="WRZ59" s="557"/>
      <c r="WSA59" s="557"/>
      <c r="WSB59" s="557"/>
      <c r="WSC59" s="557"/>
      <c r="WSD59" s="557"/>
      <c r="WSE59" s="557"/>
      <c r="WSF59" s="557"/>
      <c r="WSG59" s="557"/>
      <c r="WSH59" s="557"/>
      <c r="WSI59" s="557"/>
      <c r="WSJ59" s="557"/>
      <c r="WSK59" s="557"/>
      <c r="WSL59" s="557"/>
      <c r="WSM59" s="557"/>
      <c r="WSN59" s="557"/>
      <c r="WSO59" s="557"/>
      <c r="WSP59" s="557"/>
      <c r="WSQ59" s="661"/>
      <c r="WSR59" s="556"/>
      <c r="WSS59" s="557"/>
      <c r="WST59" s="557"/>
      <c r="WSU59" s="557"/>
      <c r="WSV59" s="557"/>
      <c r="WSW59" s="557"/>
      <c r="WSX59" s="557"/>
      <c r="WSY59" s="557"/>
      <c r="WSZ59" s="557"/>
      <c r="WTA59" s="557"/>
      <c r="WTB59" s="557"/>
      <c r="WTC59" s="557"/>
      <c r="WTD59" s="557"/>
      <c r="WTE59" s="557"/>
      <c r="WTF59" s="557"/>
      <c r="WTG59" s="557"/>
      <c r="WTH59" s="557"/>
      <c r="WTI59" s="557"/>
      <c r="WTJ59" s="557"/>
      <c r="WTK59" s="661"/>
      <c r="WTL59" s="556"/>
      <c r="WTM59" s="557"/>
      <c r="WTN59" s="557"/>
      <c r="WTO59" s="557"/>
      <c r="WTP59" s="557"/>
      <c r="WTQ59" s="557"/>
      <c r="WTR59" s="557"/>
      <c r="WTS59" s="557"/>
      <c r="WTT59" s="557"/>
      <c r="WTU59" s="557"/>
      <c r="WTV59" s="557"/>
      <c r="WTW59" s="557"/>
      <c r="WTX59" s="557"/>
      <c r="WTY59" s="557"/>
      <c r="WTZ59" s="557"/>
      <c r="WUA59" s="557"/>
      <c r="WUB59" s="557"/>
      <c r="WUC59" s="557"/>
      <c r="WUD59" s="557"/>
      <c r="WUE59" s="661"/>
      <c r="WUF59" s="556"/>
      <c r="WUG59" s="557"/>
      <c r="WUH59" s="557"/>
      <c r="WUI59" s="557"/>
      <c r="WUJ59" s="557"/>
      <c r="WUK59" s="557"/>
      <c r="WUL59" s="557"/>
      <c r="WUM59" s="557"/>
      <c r="WUN59" s="557"/>
      <c r="WUO59" s="557"/>
      <c r="WUP59" s="557"/>
      <c r="WUQ59" s="557"/>
      <c r="WUR59" s="557"/>
      <c r="WUS59" s="557"/>
      <c r="WUT59" s="557"/>
      <c r="WUU59" s="557"/>
      <c r="WUV59" s="557"/>
      <c r="WUW59" s="557"/>
      <c r="WUX59" s="557"/>
      <c r="WUY59" s="661"/>
      <c r="WUZ59" s="556"/>
      <c r="WVA59" s="557"/>
      <c r="WVB59" s="557"/>
      <c r="WVC59" s="557"/>
      <c r="WVD59" s="557"/>
      <c r="WVE59" s="557"/>
      <c r="WVF59" s="557"/>
      <c r="WVG59" s="557"/>
      <c r="WVH59" s="557"/>
      <c r="WVI59" s="557"/>
      <c r="WVJ59" s="557"/>
      <c r="WVK59" s="557"/>
      <c r="WVL59" s="557"/>
      <c r="WVM59" s="557"/>
      <c r="WVN59" s="557"/>
      <c r="WVO59" s="557"/>
      <c r="WVP59" s="557"/>
      <c r="WVQ59" s="557"/>
      <c r="WVR59" s="557"/>
      <c r="WVS59" s="661"/>
      <c r="WVT59" s="556"/>
      <c r="WVU59" s="557"/>
      <c r="WVV59" s="557"/>
      <c r="WVW59" s="557"/>
      <c r="WVX59" s="557"/>
      <c r="WVY59" s="557"/>
      <c r="WVZ59" s="557"/>
      <c r="WWA59" s="557"/>
      <c r="WWB59" s="557"/>
      <c r="WWC59" s="557"/>
      <c r="WWD59" s="557"/>
      <c r="WWE59" s="557"/>
      <c r="WWF59" s="557"/>
      <c r="WWG59" s="557"/>
      <c r="WWH59" s="557"/>
      <c r="WWI59" s="557"/>
      <c r="WWJ59" s="557"/>
      <c r="WWK59" s="557"/>
      <c r="WWL59" s="557"/>
      <c r="WWM59" s="661"/>
      <c r="WWN59" s="556"/>
      <c r="WWO59" s="557"/>
      <c r="WWP59" s="557"/>
      <c r="WWQ59" s="557"/>
      <c r="WWR59" s="557"/>
      <c r="WWS59" s="557"/>
      <c r="WWT59" s="557"/>
      <c r="WWU59" s="557"/>
      <c r="WWV59" s="557"/>
      <c r="WWW59" s="557"/>
      <c r="WWX59" s="557"/>
      <c r="WWY59" s="557"/>
      <c r="WWZ59" s="557"/>
      <c r="WXA59" s="557"/>
      <c r="WXB59" s="557"/>
      <c r="WXC59" s="557"/>
      <c r="WXD59" s="557"/>
      <c r="WXE59" s="557"/>
      <c r="WXF59" s="557"/>
      <c r="WXG59" s="661"/>
      <c r="WXH59" s="556"/>
      <c r="WXI59" s="557"/>
      <c r="WXJ59" s="557"/>
      <c r="WXK59" s="557"/>
      <c r="WXL59" s="557"/>
      <c r="WXM59" s="557"/>
      <c r="WXN59" s="557"/>
      <c r="WXO59" s="557"/>
      <c r="WXP59" s="557"/>
      <c r="WXQ59" s="557"/>
      <c r="WXR59" s="557"/>
      <c r="WXS59" s="557"/>
      <c r="WXT59" s="557"/>
      <c r="WXU59" s="557"/>
      <c r="WXV59" s="557"/>
      <c r="WXW59" s="557"/>
      <c r="WXX59" s="557"/>
      <c r="WXY59" s="557"/>
      <c r="WXZ59" s="557"/>
      <c r="WYA59" s="661"/>
      <c r="WYB59" s="556"/>
      <c r="WYC59" s="557"/>
      <c r="WYD59" s="557"/>
      <c r="WYE59" s="557"/>
      <c r="WYF59" s="557"/>
      <c r="WYG59" s="557"/>
      <c r="WYH59" s="557"/>
      <c r="WYI59" s="557"/>
      <c r="WYJ59" s="557"/>
      <c r="WYK59" s="557"/>
      <c r="WYL59" s="557"/>
      <c r="WYM59" s="557"/>
      <c r="WYN59" s="557"/>
      <c r="WYO59" s="557"/>
      <c r="WYP59" s="557"/>
      <c r="WYQ59" s="557"/>
      <c r="WYR59" s="557"/>
      <c r="WYS59" s="557"/>
      <c r="WYT59" s="557"/>
      <c r="WYU59" s="661"/>
      <c r="WYV59" s="556"/>
      <c r="WYW59" s="557"/>
      <c r="WYX59" s="557"/>
      <c r="WYY59" s="557"/>
      <c r="WYZ59" s="557"/>
      <c r="WZA59" s="557"/>
      <c r="WZB59" s="557"/>
      <c r="WZC59" s="557"/>
      <c r="WZD59" s="557"/>
      <c r="WZE59" s="557"/>
      <c r="WZF59" s="557"/>
      <c r="WZG59" s="557"/>
      <c r="WZH59" s="557"/>
      <c r="WZI59" s="557"/>
      <c r="WZJ59" s="557"/>
      <c r="WZK59" s="557"/>
      <c r="WZL59" s="557"/>
      <c r="WZM59" s="557"/>
      <c r="WZN59" s="557"/>
      <c r="WZO59" s="661"/>
      <c r="WZP59" s="556"/>
      <c r="WZQ59" s="557"/>
      <c r="WZR59" s="557"/>
      <c r="WZS59" s="557"/>
      <c r="WZT59" s="557"/>
      <c r="WZU59" s="557"/>
      <c r="WZV59" s="557"/>
      <c r="WZW59" s="557"/>
      <c r="WZX59" s="557"/>
      <c r="WZY59" s="557"/>
      <c r="WZZ59" s="557"/>
      <c r="XAA59" s="557"/>
      <c r="XAB59" s="557"/>
      <c r="XAC59" s="557"/>
      <c r="XAD59" s="557"/>
      <c r="XAE59" s="557"/>
      <c r="XAF59" s="557"/>
      <c r="XAG59" s="557"/>
      <c r="XAH59" s="557"/>
      <c r="XAI59" s="661"/>
      <c r="XAJ59" s="556"/>
      <c r="XAK59" s="557"/>
      <c r="XAL59" s="557"/>
      <c r="XAM59" s="557"/>
      <c r="XAN59" s="557"/>
      <c r="XAO59" s="557"/>
      <c r="XAP59" s="557"/>
      <c r="XAQ59" s="557"/>
      <c r="XAR59" s="557"/>
      <c r="XAS59" s="557"/>
      <c r="XAT59" s="557"/>
      <c r="XAU59" s="557"/>
      <c r="XAV59" s="557"/>
      <c r="XAW59" s="557"/>
      <c r="XAX59" s="557"/>
      <c r="XAY59" s="557"/>
      <c r="XAZ59" s="557"/>
      <c r="XBA59" s="557"/>
      <c r="XBB59" s="557"/>
      <c r="XBC59" s="661"/>
      <c r="XBD59" s="556"/>
      <c r="XBE59" s="557"/>
      <c r="XBF59" s="557"/>
      <c r="XBG59" s="557"/>
      <c r="XBH59" s="557"/>
      <c r="XBI59" s="557"/>
      <c r="XBJ59" s="557"/>
      <c r="XBK59" s="557"/>
      <c r="XBL59" s="557"/>
      <c r="XBM59" s="557"/>
      <c r="XBN59" s="557"/>
      <c r="XBO59" s="557"/>
      <c r="XBP59" s="557"/>
      <c r="XBQ59" s="557"/>
      <c r="XBR59" s="557"/>
      <c r="XBS59" s="557"/>
      <c r="XBT59" s="557"/>
      <c r="XBU59" s="557"/>
      <c r="XBV59" s="557"/>
      <c r="XBW59" s="661"/>
      <c r="XBX59" s="556"/>
      <c r="XBY59" s="557"/>
      <c r="XBZ59" s="557"/>
      <c r="XCA59" s="557"/>
      <c r="XCB59" s="557"/>
      <c r="XCC59" s="557"/>
      <c r="XCD59" s="557"/>
      <c r="XCE59" s="557"/>
      <c r="XCF59" s="557"/>
      <c r="XCG59" s="557"/>
      <c r="XCH59" s="557"/>
      <c r="XCI59" s="557"/>
      <c r="XCJ59" s="557"/>
      <c r="XCK59" s="557"/>
      <c r="XCL59" s="557"/>
      <c r="XCM59" s="557"/>
      <c r="XCN59" s="557"/>
      <c r="XCO59" s="557"/>
      <c r="XCP59" s="557"/>
      <c r="XCQ59" s="661"/>
      <c r="XCR59" s="556"/>
      <c r="XCS59" s="557"/>
      <c r="XCT59" s="557"/>
      <c r="XCU59" s="557"/>
      <c r="XCV59" s="557"/>
      <c r="XCW59" s="557"/>
      <c r="XCX59" s="557"/>
      <c r="XCY59" s="557"/>
      <c r="XCZ59" s="557"/>
      <c r="XDA59" s="557"/>
      <c r="XDB59" s="557"/>
      <c r="XDC59" s="557"/>
      <c r="XDD59" s="557"/>
      <c r="XDE59" s="557"/>
      <c r="XDF59" s="557"/>
      <c r="XDG59" s="557"/>
      <c r="XDH59" s="557"/>
      <c r="XDI59" s="557"/>
      <c r="XDJ59" s="557"/>
      <c r="XDK59" s="661"/>
      <c r="XDL59" s="556"/>
      <c r="XDM59" s="557"/>
      <c r="XDN59" s="557"/>
      <c r="XDO59" s="557"/>
      <c r="XDP59" s="557"/>
      <c r="XDQ59" s="557"/>
      <c r="XDR59" s="557"/>
      <c r="XDS59" s="557"/>
      <c r="XDT59" s="557"/>
      <c r="XDU59" s="557"/>
      <c r="XDV59" s="557"/>
      <c r="XDW59" s="557"/>
      <c r="XDX59" s="557"/>
      <c r="XDY59" s="557"/>
      <c r="XDZ59" s="557"/>
      <c r="XEA59" s="557"/>
      <c r="XEB59" s="557"/>
      <c r="XEC59" s="557"/>
      <c r="XED59" s="557"/>
      <c r="XEE59" s="661"/>
      <c r="XEF59" s="556"/>
      <c r="XEG59" s="557"/>
      <c r="XEH59" s="557"/>
      <c r="XEI59" s="557"/>
      <c r="XEJ59" s="557"/>
      <c r="XEK59" s="557"/>
      <c r="XEL59" s="557"/>
      <c r="XEM59" s="557"/>
      <c r="XEN59" s="557"/>
      <c r="XEO59" s="557"/>
      <c r="XEP59" s="557"/>
      <c r="XEQ59" s="557"/>
      <c r="XER59" s="557"/>
      <c r="XES59" s="557"/>
      <c r="XET59" s="557"/>
      <c r="XEU59" s="557"/>
      <c r="XEV59" s="557"/>
      <c r="XEW59" s="557"/>
      <c r="XEX59" s="557"/>
      <c r="XEY59" s="661"/>
      <c r="XEZ59" s="556"/>
      <c r="XFA59" s="556"/>
      <c r="XFB59" s="556"/>
      <c r="XFC59" s="556"/>
    </row>
    <row r="60" spans="1:16383" ht="13.5" customHeight="1" x14ac:dyDescent="0.2">
      <c r="A60" s="593">
        <v>9</v>
      </c>
      <c r="B60" s="585" t="s">
        <v>1159</v>
      </c>
      <c r="C60" s="597" t="s">
        <v>1147</v>
      </c>
      <c r="D60" s="597">
        <v>23008</v>
      </c>
      <c r="E60" s="597" t="s">
        <v>36</v>
      </c>
      <c r="F60" s="597" t="s">
        <v>54</v>
      </c>
      <c r="G60" s="356" t="s">
        <v>1151</v>
      </c>
      <c r="H60" s="357">
        <v>75</v>
      </c>
      <c r="I60" s="358" t="s">
        <v>847</v>
      </c>
      <c r="J60" s="358">
        <v>3650</v>
      </c>
      <c r="K60" s="359">
        <v>1</v>
      </c>
      <c r="L60" s="358">
        <v>3650</v>
      </c>
      <c r="M60" s="358">
        <v>4270.5</v>
      </c>
      <c r="N60" s="356" t="s">
        <v>1111</v>
      </c>
      <c r="O60" s="560" t="s">
        <v>722</v>
      </c>
      <c r="P60" s="560" t="s">
        <v>1149</v>
      </c>
      <c r="Q60" s="330"/>
      <c r="R60" s="657"/>
      <c r="S60" s="659" t="s">
        <v>18</v>
      </c>
    </row>
    <row r="61" spans="1:16383" ht="14.25" x14ac:dyDescent="0.2">
      <c r="A61" s="594"/>
      <c r="B61" s="586"/>
      <c r="C61" s="598"/>
      <c r="D61" s="682"/>
      <c r="E61" s="678"/>
      <c r="F61" s="678"/>
      <c r="G61" s="329" t="s">
        <v>1150</v>
      </c>
      <c r="H61" s="332">
        <v>47</v>
      </c>
      <c r="I61" s="34" t="s">
        <v>847</v>
      </c>
      <c r="J61" s="34">
        <v>5900</v>
      </c>
      <c r="K61" s="329">
        <v>1</v>
      </c>
      <c r="L61" s="34">
        <v>5900</v>
      </c>
      <c r="M61" s="34">
        <v>6903</v>
      </c>
      <c r="N61" s="329" t="s">
        <v>1111</v>
      </c>
      <c r="O61" s="561"/>
      <c r="P61" s="561"/>
      <c r="Q61" s="331"/>
      <c r="R61" s="673"/>
      <c r="S61" s="674"/>
    </row>
    <row r="62" spans="1:16383" ht="14.25" x14ac:dyDescent="0.2">
      <c r="A62" s="594"/>
      <c r="B62" s="586"/>
      <c r="C62" s="598"/>
      <c r="D62" s="682"/>
      <c r="E62" s="678"/>
      <c r="F62" s="678"/>
      <c r="G62" s="329" t="s">
        <v>1148</v>
      </c>
      <c r="H62" s="332">
        <v>41</v>
      </c>
      <c r="I62" s="34" t="s">
        <v>847</v>
      </c>
      <c r="J62" s="34">
        <v>6800</v>
      </c>
      <c r="K62" s="329">
        <v>1</v>
      </c>
      <c r="L62" s="34">
        <v>6800</v>
      </c>
      <c r="M62" s="34">
        <v>7955.9999999999991</v>
      </c>
      <c r="N62" s="329" t="s">
        <v>1143</v>
      </c>
      <c r="O62" s="561"/>
      <c r="P62" s="561"/>
      <c r="Q62" s="331"/>
      <c r="R62" s="673"/>
      <c r="S62" s="674"/>
    </row>
    <row r="63" spans="1:16383" ht="14.25" x14ac:dyDescent="0.2">
      <c r="A63" s="594"/>
      <c r="B63" s="586"/>
      <c r="C63" s="598"/>
      <c r="D63" s="682"/>
      <c r="E63" s="678"/>
      <c r="F63" s="678"/>
      <c r="G63" s="329" t="s">
        <v>1152</v>
      </c>
      <c r="H63" s="332">
        <v>33</v>
      </c>
      <c r="I63" s="34" t="s">
        <v>847</v>
      </c>
      <c r="J63" s="34">
        <v>7980</v>
      </c>
      <c r="K63" s="329">
        <v>1</v>
      </c>
      <c r="L63" s="34">
        <v>7980</v>
      </c>
      <c r="M63" s="34">
        <v>9336.5999999999985</v>
      </c>
      <c r="N63" s="329" t="s">
        <v>1143</v>
      </c>
      <c r="O63" s="561"/>
      <c r="P63" s="561"/>
      <c r="Q63" s="331"/>
      <c r="R63" s="673"/>
      <c r="S63" s="674"/>
    </row>
    <row r="64" spans="1:16383" ht="14.25" x14ac:dyDescent="0.2">
      <c r="A64" s="594"/>
      <c r="B64" s="586"/>
      <c r="C64" s="598"/>
      <c r="D64" s="683"/>
      <c r="E64" s="679"/>
      <c r="F64" s="679"/>
      <c r="G64" s="329"/>
      <c r="H64" s="332"/>
      <c r="I64" s="34"/>
      <c r="J64" s="34"/>
      <c r="K64" s="329"/>
      <c r="L64" s="34"/>
      <c r="M64" s="34"/>
      <c r="N64" s="329"/>
      <c r="O64" s="562"/>
      <c r="P64" s="562"/>
      <c r="Q64" s="331"/>
      <c r="R64" s="673"/>
      <c r="S64" s="674"/>
    </row>
    <row r="65" spans="1:16383" ht="14.25" x14ac:dyDescent="0.2">
      <c r="A65" s="595"/>
      <c r="B65" s="581"/>
      <c r="C65" s="582"/>
      <c r="D65" s="582"/>
      <c r="E65" s="582"/>
      <c r="F65" s="582"/>
      <c r="G65" s="582"/>
      <c r="H65" s="582"/>
      <c r="I65" s="582"/>
      <c r="J65" s="582"/>
      <c r="K65" s="582"/>
      <c r="L65" s="582"/>
      <c r="M65" s="582"/>
      <c r="N65" s="582"/>
      <c r="O65" s="582"/>
      <c r="P65" s="582"/>
      <c r="Q65" s="582"/>
      <c r="R65" s="582"/>
      <c r="S65" s="582"/>
    </row>
    <row r="66" spans="1:16383" ht="15.75" x14ac:dyDescent="0.2">
      <c r="A66" s="556" t="s">
        <v>1160</v>
      </c>
      <c r="B66" s="557"/>
      <c r="C66" s="557"/>
      <c r="D66" s="557"/>
      <c r="E66" s="557"/>
      <c r="F66" s="557"/>
      <c r="G66" s="557"/>
      <c r="H66" s="557"/>
      <c r="I66" s="557"/>
      <c r="J66" s="557"/>
      <c r="K66" s="557"/>
      <c r="L66" s="557"/>
      <c r="M66" s="557"/>
      <c r="N66" s="557"/>
      <c r="O66" s="557"/>
      <c r="P66" s="557"/>
      <c r="Q66" s="557"/>
      <c r="R66" s="557"/>
      <c r="S66" s="557"/>
      <c r="T66" s="556"/>
      <c r="U66" s="557"/>
      <c r="V66" s="557"/>
      <c r="W66" s="557"/>
      <c r="X66" s="557"/>
      <c r="Y66" s="557"/>
      <c r="Z66" s="557"/>
      <c r="AA66" s="557"/>
      <c r="AB66" s="557"/>
      <c r="AC66" s="557"/>
      <c r="AD66" s="557"/>
      <c r="AE66" s="557"/>
      <c r="AF66" s="557"/>
      <c r="AG66" s="557"/>
      <c r="AH66" s="557"/>
      <c r="AI66" s="557"/>
      <c r="AJ66" s="557"/>
      <c r="AK66" s="557"/>
      <c r="AL66" s="557"/>
      <c r="AM66" s="661"/>
      <c r="AN66" s="556"/>
      <c r="AO66" s="557"/>
      <c r="AP66" s="557"/>
      <c r="AQ66" s="557"/>
      <c r="AR66" s="557"/>
      <c r="AS66" s="557"/>
      <c r="AT66" s="557"/>
      <c r="AU66" s="557"/>
      <c r="AV66" s="557"/>
      <c r="AW66" s="557"/>
      <c r="AX66" s="557"/>
      <c r="AY66" s="557"/>
      <c r="AZ66" s="557"/>
      <c r="BA66" s="557"/>
      <c r="BB66" s="557"/>
      <c r="BC66" s="557"/>
      <c r="BD66" s="557"/>
      <c r="BE66" s="557"/>
      <c r="BF66" s="557"/>
      <c r="BG66" s="661"/>
      <c r="BH66" s="556"/>
      <c r="BI66" s="557"/>
      <c r="BJ66" s="557"/>
      <c r="BK66" s="557"/>
      <c r="BL66" s="557"/>
      <c r="BM66" s="557"/>
      <c r="BN66" s="557"/>
      <c r="BO66" s="557"/>
      <c r="BP66" s="557"/>
      <c r="BQ66" s="557"/>
      <c r="BR66" s="557"/>
      <c r="BS66" s="557"/>
      <c r="BT66" s="557"/>
      <c r="BU66" s="557"/>
      <c r="BV66" s="557"/>
      <c r="BW66" s="557"/>
      <c r="BX66" s="557"/>
      <c r="BY66" s="557"/>
      <c r="BZ66" s="557"/>
      <c r="CA66" s="661"/>
      <c r="CB66" s="556"/>
      <c r="CC66" s="557"/>
      <c r="CD66" s="557"/>
      <c r="CE66" s="557"/>
      <c r="CF66" s="557"/>
      <c r="CG66" s="557"/>
      <c r="CH66" s="557"/>
      <c r="CI66" s="557"/>
      <c r="CJ66" s="557"/>
      <c r="CK66" s="557"/>
      <c r="CL66" s="557"/>
      <c r="CM66" s="557"/>
      <c r="CN66" s="557"/>
      <c r="CO66" s="557"/>
      <c r="CP66" s="557"/>
      <c r="CQ66" s="557"/>
      <c r="CR66" s="557"/>
      <c r="CS66" s="557"/>
      <c r="CT66" s="557"/>
      <c r="CU66" s="661"/>
      <c r="CV66" s="556"/>
      <c r="CW66" s="557"/>
      <c r="CX66" s="557"/>
      <c r="CY66" s="557"/>
      <c r="CZ66" s="557"/>
      <c r="DA66" s="557"/>
      <c r="DB66" s="557"/>
      <c r="DC66" s="557"/>
      <c r="DD66" s="557"/>
      <c r="DE66" s="557"/>
      <c r="DF66" s="557"/>
      <c r="DG66" s="557"/>
      <c r="DH66" s="557"/>
      <c r="DI66" s="557"/>
      <c r="DJ66" s="557"/>
      <c r="DK66" s="557"/>
      <c r="DL66" s="557"/>
      <c r="DM66" s="557"/>
      <c r="DN66" s="557"/>
      <c r="DO66" s="661"/>
      <c r="DP66" s="556"/>
      <c r="DQ66" s="557"/>
      <c r="DR66" s="557"/>
      <c r="DS66" s="557"/>
      <c r="DT66" s="557"/>
      <c r="DU66" s="557"/>
      <c r="DV66" s="557"/>
      <c r="DW66" s="557"/>
      <c r="DX66" s="557"/>
      <c r="DY66" s="557"/>
      <c r="DZ66" s="557"/>
      <c r="EA66" s="557"/>
      <c r="EB66" s="557"/>
      <c r="EC66" s="557"/>
      <c r="ED66" s="557"/>
      <c r="EE66" s="557"/>
      <c r="EF66" s="557"/>
      <c r="EG66" s="557"/>
      <c r="EH66" s="557"/>
      <c r="EI66" s="661"/>
      <c r="EJ66" s="556"/>
      <c r="EK66" s="557"/>
      <c r="EL66" s="557"/>
      <c r="EM66" s="557"/>
      <c r="EN66" s="557"/>
      <c r="EO66" s="557"/>
      <c r="EP66" s="557"/>
      <c r="EQ66" s="557"/>
      <c r="ER66" s="557"/>
      <c r="ES66" s="557"/>
      <c r="ET66" s="557"/>
      <c r="EU66" s="557"/>
      <c r="EV66" s="557"/>
      <c r="EW66" s="557"/>
      <c r="EX66" s="557"/>
      <c r="EY66" s="557"/>
      <c r="EZ66" s="557"/>
      <c r="FA66" s="557"/>
      <c r="FB66" s="557"/>
      <c r="FC66" s="661"/>
      <c r="FD66" s="556"/>
      <c r="FE66" s="557"/>
      <c r="FF66" s="557"/>
      <c r="FG66" s="557"/>
      <c r="FH66" s="557"/>
      <c r="FI66" s="557"/>
      <c r="FJ66" s="557"/>
      <c r="FK66" s="557"/>
      <c r="FL66" s="557"/>
      <c r="FM66" s="557"/>
      <c r="FN66" s="557"/>
      <c r="FO66" s="557"/>
      <c r="FP66" s="557"/>
      <c r="FQ66" s="557"/>
      <c r="FR66" s="557"/>
      <c r="FS66" s="557"/>
      <c r="FT66" s="557"/>
      <c r="FU66" s="557"/>
      <c r="FV66" s="557"/>
      <c r="FW66" s="661"/>
      <c r="FX66" s="556"/>
      <c r="FY66" s="557"/>
      <c r="FZ66" s="557"/>
      <c r="GA66" s="557"/>
      <c r="GB66" s="557"/>
      <c r="GC66" s="557"/>
      <c r="GD66" s="557"/>
      <c r="GE66" s="557"/>
      <c r="GF66" s="557"/>
      <c r="GG66" s="557"/>
      <c r="GH66" s="557"/>
      <c r="GI66" s="557"/>
      <c r="GJ66" s="557"/>
      <c r="GK66" s="557"/>
      <c r="GL66" s="557"/>
      <c r="GM66" s="557"/>
      <c r="GN66" s="557"/>
      <c r="GO66" s="557"/>
      <c r="GP66" s="557"/>
      <c r="GQ66" s="661"/>
      <c r="GR66" s="556"/>
      <c r="GS66" s="557"/>
      <c r="GT66" s="557"/>
      <c r="GU66" s="557"/>
      <c r="GV66" s="557"/>
      <c r="GW66" s="557"/>
      <c r="GX66" s="557"/>
      <c r="GY66" s="557"/>
      <c r="GZ66" s="557"/>
      <c r="HA66" s="557"/>
      <c r="HB66" s="557"/>
      <c r="HC66" s="557"/>
      <c r="HD66" s="557"/>
      <c r="HE66" s="557"/>
      <c r="HF66" s="557"/>
      <c r="HG66" s="557"/>
      <c r="HH66" s="557"/>
      <c r="HI66" s="557"/>
      <c r="HJ66" s="557"/>
      <c r="HK66" s="661"/>
      <c r="HL66" s="556"/>
      <c r="HM66" s="557"/>
      <c r="HN66" s="557"/>
      <c r="HO66" s="557"/>
      <c r="HP66" s="557"/>
      <c r="HQ66" s="557"/>
      <c r="HR66" s="557"/>
      <c r="HS66" s="557"/>
      <c r="HT66" s="557"/>
      <c r="HU66" s="557"/>
      <c r="HV66" s="557"/>
      <c r="HW66" s="557"/>
      <c r="HX66" s="557"/>
      <c r="HY66" s="557"/>
      <c r="HZ66" s="557"/>
      <c r="IA66" s="557"/>
      <c r="IB66" s="557"/>
      <c r="IC66" s="557"/>
      <c r="ID66" s="557"/>
      <c r="IE66" s="661"/>
      <c r="IF66" s="556"/>
      <c r="IG66" s="557"/>
      <c r="IH66" s="557"/>
      <c r="II66" s="557"/>
      <c r="IJ66" s="557"/>
      <c r="IK66" s="557"/>
      <c r="IL66" s="557"/>
      <c r="IM66" s="557"/>
      <c r="IN66" s="557"/>
      <c r="IO66" s="557"/>
      <c r="IP66" s="557"/>
      <c r="IQ66" s="557"/>
      <c r="IR66" s="557"/>
      <c r="IS66" s="557"/>
      <c r="IT66" s="557"/>
      <c r="IU66" s="557"/>
      <c r="IV66" s="557"/>
      <c r="IW66" s="557"/>
      <c r="IX66" s="557"/>
      <c r="IY66" s="661"/>
      <c r="IZ66" s="556"/>
      <c r="JA66" s="557"/>
      <c r="JB66" s="557"/>
      <c r="JC66" s="557"/>
      <c r="JD66" s="557"/>
      <c r="JE66" s="557"/>
      <c r="JF66" s="557"/>
      <c r="JG66" s="557"/>
      <c r="JH66" s="557"/>
      <c r="JI66" s="557"/>
      <c r="JJ66" s="557"/>
      <c r="JK66" s="557"/>
      <c r="JL66" s="557"/>
      <c r="JM66" s="557"/>
      <c r="JN66" s="557"/>
      <c r="JO66" s="557"/>
      <c r="JP66" s="557"/>
      <c r="JQ66" s="557"/>
      <c r="JR66" s="557"/>
      <c r="JS66" s="661"/>
      <c r="JT66" s="556"/>
      <c r="JU66" s="557"/>
      <c r="JV66" s="557"/>
      <c r="JW66" s="557"/>
      <c r="JX66" s="557"/>
      <c r="JY66" s="557"/>
      <c r="JZ66" s="557"/>
      <c r="KA66" s="557"/>
      <c r="KB66" s="557"/>
      <c r="KC66" s="557"/>
      <c r="KD66" s="557"/>
      <c r="KE66" s="557"/>
      <c r="KF66" s="557"/>
      <c r="KG66" s="557"/>
      <c r="KH66" s="557"/>
      <c r="KI66" s="557"/>
      <c r="KJ66" s="557"/>
      <c r="KK66" s="557"/>
      <c r="KL66" s="557"/>
      <c r="KM66" s="661"/>
      <c r="KN66" s="556"/>
      <c r="KO66" s="557"/>
      <c r="KP66" s="557"/>
      <c r="KQ66" s="557"/>
      <c r="KR66" s="557"/>
      <c r="KS66" s="557"/>
      <c r="KT66" s="557"/>
      <c r="KU66" s="557"/>
      <c r="KV66" s="557"/>
      <c r="KW66" s="557"/>
      <c r="KX66" s="557"/>
      <c r="KY66" s="557"/>
      <c r="KZ66" s="557"/>
      <c r="LA66" s="557"/>
      <c r="LB66" s="557"/>
      <c r="LC66" s="557"/>
      <c r="LD66" s="557"/>
      <c r="LE66" s="557"/>
      <c r="LF66" s="557"/>
      <c r="LG66" s="661"/>
      <c r="LH66" s="556"/>
      <c r="LI66" s="557"/>
      <c r="LJ66" s="557"/>
      <c r="LK66" s="557"/>
      <c r="LL66" s="557"/>
      <c r="LM66" s="557"/>
      <c r="LN66" s="557"/>
      <c r="LO66" s="557"/>
      <c r="LP66" s="557"/>
      <c r="LQ66" s="557"/>
      <c r="LR66" s="557"/>
      <c r="LS66" s="557"/>
      <c r="LT66" s="557"/>
      <c r="LU66" s="557"/>
      <c r="LV66" s="557"/>
      <c r="LW66" s="557"/>
      <c r="LX66" s="557"/>
      <c r="LY66" s="557"/>
      <c r="LZ66" s="557"/>
      <c r="MA66" s="661"/>
      <c r="MB66" s="556"/>
      <c r="MC66" s="557"/>
      <c r="MD66" s="557"/>
      <c r="ME66" s="557"/>
      <c r="MF66" s="557"/>
      <c r="MG66" s="557"/>
      <c r="MH66" s="557"/>
      <c r="MI66" s="557"/>
      <c r="MJ66" s="557"/>
      <c r="MK66" s="557"/>
      <c r="ML66" s="557"/>
      <c r="MM66" s="557"/>
      <c r="MN66" s="557"/>
      <c r="MO66" s="557"/>
      <c r="MP66" s="557"/>
      <c r="MQ66" s="557"/>
      <c r="MR66" s="557"/>
      <c r="MS66" s="557"/>
      <c r="MT66" s="557"/>
      <c r="MU66" s="661"/>
      <c r="MV66" s="556"/>
      <c r="MW66" s="557"/>
      <c r="MX66" s="557"/>
      <c r="MY66" s="557"/>
      <c r="MZ66" s="557"/>
      <c r="NA66" s="557"/>
      <c r="NB66" s="557"/>
      <c r="NC66" s="557"/>
      <c r="ND66" s="557"/>
      <c r="NE66" s="557"/>
      <c r="NF66" s="557"/>
      <c r="NG66" s="557"/>
      <c r="NH66" s="557"/>
      <c r="NI66" s="557"/>
      <c r="NJ66" s="557"/>
      <c r="NK66" s="557"/>
      <c r="NL66" s="557"/>
      <c r="NM66" s="557"/>
      <c r="NN66" s="557"/>
      <c r="NO66" s="661"/>
      <c r="NP66" s="556"/>
      <c r="NQ66" s="557"/>
      <c r="NR66" s="557"/>
      <c r="NS66" s="557"/>
      <c r="NT66" s="557"/>
      <c r="NU66" s="557"/>
      <c r="NV66" s="557"/>
      <c r="NW66" s="557"/>
      <c r="NX66" s="557"/>
      <c r="NY66" s="557"/>
      <c r="NZ66" s="557"/>
      <c r="OA66" s="557"/>
      <c r="OB66" s="557"/>
      <c r="OC66" s="557"/>
      <c r="OD66" s="557"/>
      <c r="OE66" s="557"/>
      <c r="OF66" s="557"/>
      <c r="OG66" s="557"/>
      <c r="OH66" s="557"/>
      <c r="OI66" s="661"/>
      <c r="OJ66" s="556"/>
      <c r="OK66" s="557"/>
      <c r="OL66" s="557"/>
      <c r="OM66" s="557"/>
      <c r="ON66" s="557"/>
      <c r="OO66" s="557"/>
      <c r="OP66" s="557"/>
      <c r="OQ66" s="557"/>
      <c r="OR66" s="557"/>
      <c r="OS66" s="557"/>
      <c r="OT66" s="557"/>
      <c r="OU66" s="557"/>
      <c r="OV66" s="557"/>
      <c r="OW66" s="557"/>
      <c r="OX66" s="557"/>
      <c r="OY66" s="557"/>
      <c r="OZ66" s="557"/>
      <c r="PA66" s="557"/>
      <c r="PB66" s="557"/>
      <c r="PC66" s="661"/>
      <c r="PD66" s="556"/>
      <c r="PE66" s="557"/>
      <c r="PF66" s="557"/>
      <c r="PG66" s="557"/>
      <c r="PH66" s="557"/>
      <c r="PI66" s="557"/>
      <c r="PJ66" s="557"/>
      <c r="PK66" s="557"/>
      <c r="PL66" s="557"/>
      <c r="PM66" s="557"/>
      <c r="PN66" s="557"/>
      <c r="PO66" s="557"/>
      <c r="PP66" s="557"/>
      <c r="PQ66" s="557"/>
      <c r="PR66" s="557"/>
      <c r="PS66" s="557"/>
      <c r="PT66" s="557"/>
      <c r="PU66" s="557"/>
      <c r="PV66" s="557"/>
      <c r="PW66" s="661"/>
      <c r="PX66" s="556"/>
      <c r="PY66" s="557"/>
      <c r="PZ66" s="557"/>
      <c r="QA66" s="557"/>
      <c r="QB66" s="557"/>
      <c r="QC66" s="557"/>
      <c r="QD66" s="557"/>
      <c r="QE66" s="557"/>
      <c r="QF66" s="557"/>
      <c r="QG66" s="557"/>
      <c r="QH66" s="557"/>
      <c r="QI66" s="557"/>
      <c r="QJ66" s="557"/>
      <c r="QK66" s="557"/>
      <c r="QL66" s="557"/>
      <c r="QM66" s="557"/>
      <c r="QN66" s="557"/>
      <c r="QO66" s="557"/>
      <c r="QP66" s="557"/>
      <c r="QQ66" s="661"/>
      <c r="QR66" s="556"/>
      <c r="QS66" s="557"/>
      <c r="QT66" s="557"/>
      <c r="QU66" s="557"/>
      <c r="QV66" s="557"/>
      <c r="QW66" s="557"/>
      <c r="QX66" s="557"/>
      <c r="QY66" s="557"/>
      <c r="QZ66" s="557"/>
      <c r="RA66" s="557"/>
      <c r="RB66" s="557"/>
      <c r="RC66" s="557"/>
      <c r="RD66" s="557"/>
      <c r="RE66" s="557"/>
      <c r="RF66" s="557"/>
      <c r="RG66" s="557"/>
      <c r="RH66" s="557"/>
      <c r="RI66" s="557"/>
      <c r="RJ66" s="557"/>
      <c r="RK66" s="661"/>
      <c r="RL66" s="556"/>
      <c r="RM66" s="557"/>
      <c r="RN66" s="557"/>
      <c r="RO66" s="557"/>
      <c r="RP66" s="557"/>
      <c r="RQ66" s="557"/>
      <c r="RR66" s="557"/>
      <c r="RS66" s="557"/>
      <c r="RT66" s="557"/>
      <c r="RU66" s="557"/>
      <c r="RV66" s="557"/>
      <c r="RW66" s="557"/>
      <c r="RX66" s="557"/>
      <c r="RY66" s="557"/>
      <c r="RZ66" s="557"/>
      <c r="SA66" s="557"/>
      <c r="SB66" s="557"/>
      <c r="SC66" s="557"/>
      <c r="SD66" s="557"/>
      <c r="SE66" s="661"/>
      <c r="SF66" s="556"/>
      <c r="SG66" s="557"/>
      <c r="SH66" s="557"/>
      <c r="SI66" s="557"/>
      <c r="SJ66" s="557"/>
      <c r="SK66" s="557"/>
      <c r="SL66" s="557"/>
      <c r="SM66" s="557"/>
      <c r="SN66" s="557"/>
      <c r="SO66" s="557"/>
      <c r="SP66" s="557"/>
      <c r="SQ66" s="557"/>
      <c r="SR66" s="557"/>
      <c r="SS66" s="557"/>
      <c r="ST66" s="557"/>
      <c r="SU66" s="557"/>
      <c r="SV66" s="557"/>
      <c r="SW66" s="557"/>
      <c r="SX66" s="557"/>
      <c r="SY66" s="661"/>
      <c r="SZ66" s="556"/>
      <c r="TA66" s="557"/>
      <c r="TB66" s="557"/>
      <c r="TC66" s="557"/>
      <c r="TD66" s="557"/>
      <c r="TE66" s="557"/>
      <c r="TF66" s="557"/>
      <c r="TG66" s="557"/>
      <c r="TH66" s="557"/>
      <c r="TI66" s="557"/>
      <c r="TJ66" s="557"/>
      <c r="TK66" s="557"/>
      <c r="TL66" s="557"/>
      <c r="TM66" s="557"/>
      <c r="TN66" s="557"/>
      <c r="TO66" s="557"/>
      <c r="TP66" s="557"/>
      <c r="TQ66" s="557"/>
      <c r="TR66" s="557"/>
      <c r="TS66" s="661"/>
      <c r="TT66" s="556"/>
      <c r="TU66" s="557"/>
      <c r="TV66" s="557"/>
      <c r="TW66" s="557"/>
      <c r="TX66" s="557"/>
      <c r="TY66" s="557"/>
      <c r="TZ66" s="557"/>
      <c r="UA66" s="557"/>
      <c r="UB66" s="557"/>
      <c r="UC66" s="557"/>
      <c r="UD66" s="557"/>
      <c r="UE66" s="557"/>
      <c r="UF66" s="557"/>
      <c r="UG66" s="557"/>
      <c r="UH66" s="557"/>
      <c r="UI66" s="557"/>
      <c r="UJ66" s="557"/>
      <c r="UK66" s="557"/>
      <c r="UL66" s="557"/>
      <c r="UM66" s="661"/>
      <c r="UN66" s="556"/>
      <c r="UO66" s="557"/>
      <c r="UP66" s="557"/>
      <c r="UQ66" s="557"/>
      <c r="UR66" s="557"/>
      <c r="US66" s="557"/>
      <c r="UT66" s="557"/>
      <c r="UU66" s="557"/>
      <c r="UV66" s="557"/>
      <c r="UW66" s="557"/>
      <c r="UX66" s="557"/>
      <c r="UY66" s="557"/>
      <c r="UZ66" s="557"/>
      <c r="VA66" s="557"/>
      <c r="VB66" s="557"/>
      <c r="VC66" s="557"/>
      <c r="VD66" s="557"/>
      <c r="VE66" s="557"/>
      <c r="VF66" s="557"/>
      <c r="VG66" s="661"/>
      <c r="VH66" s="556"/>
      <c r="VI66" s="557"/>
      <c r="VJ66" s="557"/>
      <c r="VK66" s="557"/>
      <c r="VL66" s="557"/>
      <c r="VM66" s="557"/>
      <c r="VN66" s="557"/>
      <c r="VO66" s="557"/>
      <c r="VP66" s="557"/>
      <c r="VQ66" s="557"/>
      <c r="VR66" s="557"/>
      <c r="VS66" s="557"/>
      <c r="VT66" s="557"/>
      <c r="VU66" s="557"/>
      <c r="VV66" s="557"/>
      <c r="VW66" s="557"/>
      <c r="VX66" s="557"/>
      <c r="VY66" s="557"/>
      <c r="VZ66" s="557"/>
      <c r="WA66" s="661"/>
      <c r="WB66" s="556"/>
      <c r="WC66" s="557"/>
      <c r="WD66" s="557"/>
      <c r="WE66" s="557"/>
      <c r="WF66" s="557"/>
      <c r="WG66" s="557"/>
      <c r="WH66" s="557"/>
      <c r="WI66" s="557"/>
      <c r="WJ66" s="557"/>
      <c r="WK66" s="557"/>
      <c r="WL66" s="557"/>
      <c r="WM66" s="557"/>
      <c r="WN66" s="557"/>
      <c r="WO66" s="557"/>
      <c r="WP66" s="557"/>
      <c r="WQ66" s="557"/>
      <c r="WR66" s="557"/>
      <c r="WS66" s="557"/>
      <c r="WT66" s="557"/>
      <c r="WU66" s="661"/>
      <c r="WV66" s="556"/>
      <c r="WW66" s="557"/>
      <c r="WX66" s="557"/>
      <c r="WY66" s="557"/>
      <c r="WZ66" s="557"/>
      <c r="XA66" s="557"/>
      <c r="XB66" s="557"/>
      <c r="XC66" s="557"/>
      <c r="XD66" s="557"/>
      <c r="XE66" s="557"/>
      <c r="XF66" s="557"/>
      <c r="XG66" s="557"/>
      <c r="XH66" s="557"/>
      <c r="XI66" s="557"/>
      <c r="XJ66" s="557"/>
      <c r="XK66" s="557"/>
      <c r="XL66" s="557"/>
      <c r="XM66" s="557"/>
      <c r="XN66" s="557"/>
      <c r="XO66" s="661"/>
      <c r="XP66" s="556"/>
      <c r="XQ66" s="557"/>
      <c r="XR66" s="557"/>
      <c r="XS66" s="557"/>
      <c r="XT66" s="557"/>
      <c r="XU66" s="557"/>
      <c r="XV66" s="557"/>
      <c r="XW66" s="557"/>
      <c r="XX66" s="557"/>
      <c r="XY66" s="557"/>
      <c r="XZ66" s="557"/>
      <c r="YA66" s="557"/>
      <c r="YB66" s="557"/>
      <c r="YC66" s="557"/>
      <c r="YD66" s="557"/>
      <c r="YE66" s="557"/>
      <c r="YF66" s="557"/>
      <c r="YG66" s="557"/>
      <c r="YH66" s="557"/>
      <c r="YI66" s="661"/>
      <c r="YJ66" s="556"/>
      <c r="YK66" s="557"/>
      <c r="YL66" s="557"/>
      <c r="YM66" s="557"/>
      <c r="YN66" s="557"/>
      <c r="YO66" s="557"/>
      <c r="YP66" s="557"/>
      <c r="YQ66" s="557"/>
      <c r="YR66" s="557"/>
      <c r="YS66" s="557"/>
      <c r="YT66" s="557"/>
      <c r="YU66" s="557"/>
      <c r="YV66" s="557"/>
      <c r="YW66" s="557"/>
      <c r="YX66" s="557"/>
      <c r="YY66" s="557"/>
      <c r="YZ66" s="557"/>
      <c r="ZA66" s="557"/>
      <c r="ZB66" s="557"/>
      <c r="ZC66" s="661"/>
      <c r="ZD66" s="556"/>
      <c r="ZE66" s="557"/>
      <c r="ZF66" s="557"/>
      <c r="ZG66" s="557"/>
      <c r="ZH66" s="557"/>
      <c r="ZI66" s="557"/>
      <c r="ZJ66" s="557"/>
      <c r="ZK66" s="557"/>
      <c r="ZL66" s="557"/>
      <c r="ZM66" s="557"/>
      <c r="ZN66" s="557"/>
      <c r="ZO66" s="557"/>
      <c r="ZP66" s="557"/>
      <c r="ZQ66" s="557"/>
      <c r="ZR66" s="557"/>
      <c r="ZS66" s="557"/>
      <c r="ZT66" s="557"/>
      <c r="ZU66" s="557"/>
      <c r="ZV66" s="557"/>
      <c r="ZW66" s="661"/>
      <c r="ZX66" s="556"/>
      <c r="ZY66" s="557"/>
      <c r="ZZ66" s="557"/>
      <c r="AAA66" s="557"/>
      <c r="AAB66" s="557"/>
      <c r="AAC66" s="557"/>
      <c r="AAD66" s="557"/>
      <c r="AAE66" s="557"/>
      <c r="AAF66" s="557"/>
      <c r="AAG66" s="557"/>
      <c r="AAH66" s="557"/>
      <c r="AAI66" s="557"/>
      <c r="AAJ66" s="557"/>
      <c r="AAK66" s="557"/>
      <c r="AAL66" s="557"/>
      <c r="AAM66" s="557"/>
      <c r="AAN66" s="557"/>
      <c r="AAO66" s="557"/>
      <c r="AAP66" s="557"/>
      <c r="AAQ66" s="661"/>
      <c r="AAR66" s="556"/>
      <c r="AAS66" s="557"/>
      <c r="AAT66" s="557"/>
      <c r="AAU66" s="557"/>
      <c r="AAV66" s="557"/>
      <c r="AAW66" s="557"/>
      <c r="AAX66" s="557"/>
      <c r="AAY66" s="557"/>
      <c r="AAZ66" s="557"/>
      <c r="ABA66" s="557"/>
      <c r="ABB66" s="557"/>
      <c r="ABC66" s="557"/>
      <c r="ABD66" s="557"/>
      <c r="ABE66" s="557"/>
      <c r="ABF66" s="557"/>
      <c r="ABG66" s="557"/>
      <c r="ABH66" s="557"/>
      <c r="ABI66" s="557"/>
      <c r="ABJ66" s="557"/>
      <c r="ABK66" s="661"/>
      <c r="ABL66" s="556"/>
      <c r="ABM66" s="557"/>
      <c r="ABN66" s="557"/>
      <c r="ABO66" s="557"/>
      <c r="ABP66" s="557"/>
      <c r="ABQ66" s="557"/>
      <c r="ABR66" s="557"/>
      <c r="ABS66" s="557"/>
      <c r="ABT66" s="557"/>
      <c r="ABU66" s="557"/>
      <c r="ABV66" s="557"/>
      <c r="ABW66" s="557"/>
      <c r="ABX66" s="557"/>
      <c r="ABY66" s="557"/>
      <c r="ABZ66" s="557"/>
      <c r="ACA66" s="557"/>
      <c r="ACB66" s="557"/>
      <c r="ACC66" s="557"/>
      <c r="ACD66" s="557"/>
      <c r="ACE66" s="661"/>
      <c r="ACF66" s="556"/>
      <c r="ACG66" s="557"/>
      <c r="ACH66" s="557"/>
      <c r="ACI66" s="557"/>
      <c r="ACJ66" s="557"/>
      <c r="ACK66" s="557"/>
      <c r="ACL66" s="557"/>
      <c r="ACM66" s="557"/>
      <c r="ACN66" s="557"/>
      <c r="ACO66" s="557"/>
      <c r="ACP66" s="557"/>
      <c r="ACQ66" s="557"/>
      <c r="ACR66" s="557"/>
      <c r="ACS66" s="557"/>
      <c r="ACT66" s="557"/>
      <c r="ACU66" s="557"/>
      <c r="ACV66" s="557"/>
      <c r="ACW66" s="557"/>
      <c r="ACX66" s="557"/>
      <c r="ACY66" s="661"/>
      <c r="ACZ66" s="556"/>
      <c r="ADA66" s="557"/>
      <c r="ADB66" s="557"/>
      <c r="ADC66" s="557"/>
      <c r="ADD66" s="557"/>
      <c r="ADE66" s="557"/>
      <c r="ADF66" s="557"/>
      <c r="ADG66" s="557"/>
      <c r="ADH66" s="557"/>
      <c r="ADI66" s="557"/>
      <c r="ADJ66" s="557"/>
      <c r="ADK66" s="557"/>
      <c r="ADL66" s="557"/>
      <c r="ADM66" s="557"/>
      <c r="ADN66" s="557"/>
      <c r="ADO66" s="557"/>
      <c r="ADP66" s="557"/>
      <c r="ADQ66" s="557"/>
      <c r="ADR66" s="557"/>
      <c r="ADS66" s="661"/>
      <c r="ADT66" s="556"/>
      <c r="ADU66" s="557"/>
      <c r="ADV66" s="557"/>
      <c r="ADW66" s="557"/>
      <c r="ADX66" s="557"/>
      <c r="ADY66" s="557"/>
      <c r="ADZ66" s="557"/>
      <c r="AEA66" s="557"/>
      <c r="AEB66" s="557"/>
      <c r="AEC66" s="557"/>
      <c r="AED66" s="557"/>
      <c r="AEE66" s="557"/>
      <c r="AEF66" s="557"/>
      <c r="AEG66" s="557"/>
      <c r="AEH66" s="557"/>
      <c r="AEI66" s="557"/>
      <c r="AEJ66" s="557"/>
      <c r="AEK66" s="557"/>
      <c r="AEL66" s="557"/>
      <c r="AEM66" s="661"/>
      <c r="AEN66" s="556"/>
      <c r="AEO66" s="557"/>
      <c r="AEP66" s="557"/>
      <c r="AEQ66" s="557"/>
      <c r="AER66" s="557"/>
      <c r="AES66" s="557"/>
      <c r="AET66" s="557"/>
      <c r="AEU66" s="557"/>
      <c r="AEV66" s="557"/>
      <c r="AEW66" s="557"/>
      <c r="AEX66" s="557"/>
      <c r="AEY66" s="557"/>
      <c r="AEZ66" s="557"/>
      <c r="AFA66" s="557"/>
      <c r="AFB66" s="557"/>
      <c r="AFC66" s="557"/>
      <c r="AFD66" s="557"/>
      <c r="AFE66" s="557"/>
      <c r="AFF66" s="557"/>
      <c r="AFG66" s="661"/>
      <c r="AFH66" s="556"/>
      <c r="AFI66" s="557"/>
      <c r="AFJ66" s="557"/>
      <c r="AFK66" s="557"/>
      <c r="AFL66" s="557"/>
      <c r="AFM66" s="557"/>
      <c r="AFN66" s="557"/>
      <c r="AFO66" s="557"/>
      <c r="AFP66" s="557"/>
      <c r="AFQ66" s="557"/>
      <c r="AFR66" s="557"/>
      <c r="AFS66" s="557"/>
      <c r="AFT66" s="557"/>
      <c r="AFU66" s="557"/>
      <c r="AFV66" s="557"/>
      <c r="AFW66" s="557"/>
      <c r="AFX66" s="557"/>
      <c r="AFY66" s="557"/>
      <c r="AFZ66" s="557"/>
      <c r="AGA66" s="661"/>
      <c r="AGB66" s="556"/>
      <c r="AGC66" s="557"/>
      <c r="AGD66" s="557"/>
      <c r="AGE66" s="557"/>
      <c r="AGF66" s="557"/>
      <c r="AGG66" s="557"/>
      <c r="AGH66" s="557"/>
      <c r="AGI66" s="557"/>
      <c r="AGJ66" s="557"/>
      <c r="AGK66" s="557"/>
      <c r="AGL66" s="557"/>
      <c r="AGM66" s="557"/>
      <c r="AGN66" s="557"/>
      <c r="AGO66" s="557"/>
      <c r="AGP66" s="557"/>
      <c r="AGQ66" s="557"/>
      <c r="AGR66" s="557"/>
      <c r="AGS66" s="557"/>
      <c r="AGT66" s="557"/>
      <c r="AGU66" s="661"/>
      <c r="AGV66" s="556"/>
      <c r="AGW66" s="557"/>
      <c r="AGX66" s="557"/>
      <c r="AGY66" s="557"/>
      <c r="AGZ66" s="557"/>
      <c r="AHA66" s="557"/>
      <c r="AHB66" s="557"/>
      <c r="AHC66" s="557"/>
      <c r="AHD66" s="557"/>
      <c r="AHE66" s="557"/>
      <c r="AHF66" s="557"/>
      <c r="AHG66" s="557"/>
      <c r="AHH66" s="557"/>
      <c r="AHI66" s="557"/>
      <c r="AHJ66" s="557"/>
      <c r="AHK66" s="557"/>
      <c r="AHL66" s="557"/>
      <c r="AHM66" s="557"/>
      <c r="AHN66" s="557"/>
      <c r="AHO66" s="661"/>
      <c r="AHP66" s="556"/>
      <c r="AHQ66" s="557"/>
      <c r="AHR66" s="557"/>
      <c r="AHS66" s="557"/>
      <c r="AHT66" s="557"/>
      <c r="AHU66" s="557"/>
      <c r="AHV66" s="557"/>
      <c r="AHW66" s="557"/>
      <c r="AHX66" s="557"/>
      <c r="AHY66" s="557"/>
      <c r="AHZ66" s="557"/>
      <c r="AIA66" s="557"/>
      <c r="AIB66" s="557"/>
      <c r="AIC66" s="557"/>
      <c r="AID66" s="557"/>
      <c r="AIE66" s="557"/>
      <c r="AIF66" s="557"/>
      <c r="AIG66" s="557"/>
      <c r="AIH66" s="557"/>
      <c r="AII66" s="661"/>
      <c r="AIJ66" s="556"/>
      <c r="AIK66" s="557"/>
      <c r="AIL66" s="557"/>
      <c r="AIM66" s="557"/>
      <c r="AIN66" s="557"/>
      <c r="AIO66" s="557"/>
      <c r="AIP66" s="557"/>
      <c r="AIQ66" s="557"/>
      <c r="AIR66" s="557"/>
      <c r="AIS66" s="557"/>
      <c r="AIT66" s="557"/>
      <c r="AIU66" s="557"/>
      <c r="AIV66" s="557"/>
      <c r="AIW66" s="557"/>
      <c r="AIX66" s="557"/>
      <c r="AIY66" s="557"/>
      <c r="AIZ66" s="557"/>
      <c r="AJA66" s="557"/>
      <c r="AJB66" s="557"/>
      <c r="AJC66" s="661"/>
      <c r="AJD66" s="556"/>
      <c r="AJE66" s="557"/>
      <c r="AJF66" s="557"/>
      <c r="AJG66" s="557"/>
      <c r="AJH66" s="557"/>
      <c r="AJI66" s="557"/>
      <c r="AJJ66" s="557"/>
      <c r="AJK66" s="557"/>
      <c r="AJL66" s="557"/>
      <c r="AJM66" s="557"/>
      <c r="AJN66" s="557"/>
      <c r="AJO66" s="557"/>
      <c r="AJP66" s="557"/>
      <c r="AJQ66" s="557"/>
      <c r="AJR66" s="557"/>
      <c r="AJS66" s="557"/>
      <c r="AJT66" s="557"/>
      <c r="AJU66" s="557"/>
      <c r="AJV66" s="557"/>
      <c r="AJW66" s="661"/>
      <c r="AJX66" s="556"/>
      <c r="AJY66" s="557"/>
      <c r="AJZ66" s="557"/>
      <c r="AKA66" s="557"/>
      <c r="AKB66" s="557"/>
      <c r="AKC66" s="557"/>
      <c r="AKD66" s="557"/>
      <c r="AKE66" s="557"/>
      <c r="AKF66" s="557"/>
      <c r="AKG66" s="557"/>
      <c r="AKH66" s="557"/>
      <c r="AKI66" s="557"/>
      <c r="AKJ66" s="557"/>
      <c r="AKK66" s="557"/>
      <c r="AKL66" s="557"/>
      <c r="AKM66" s="557"/>
      <c r="AKN66" s="557"/>
      <c r="AKO66" s="557"/>
      <c r="AKP66" s="557"/>
      <c r="AKQ66" s="661"/>
      <c r="AKR66" s="556"/>
      <c r="AKS66" s="557"/>
      <c r="AKT66" s="557"/>
      <c r="AKU66" s="557"/>
      <c r="AKV66" s="557"/>
      <c r="AKW66" s="557"/>
      <c r="AKX66" s="557"/>
      <c r="AKY66" s="557"/>
      <c r="AKZ66" s="557"/>
      <c r="ALA66" s="557"/>
      <c r="ALB66" s="557"/>
      <c r="ALC66" s="557"/>
      <c r="ALD66" s="557"/>
      <c r="ALE66" s="557"/>
      <c r="ALF66" s="557"/>
      <c r="ALG66" s="557"/>
      <c r="ALH66" s="557"/>
      <c r="ALI66" s="557"/>
      <c r="ALJ66" s="557"/>
      <c r="ALK66" s="661"/>
      <c r="ALL66" s="556"/>
      <c r="ALM66" s="557"/>
      <c r="ALN66" s="557"/>
      <c r="ALO66" s="557"/>
      <c r="ALP66" s="557"/>
      <c r="ALQ66" s="557"/>
      <c r="ALR66" s="557"/>
      <c r="ALS66" s="557"/>
      <c r="ALT66" s="557"/>
      <c r="ALU66" s="557"/>
      <c r="ALV66" s="557"/>
      <c r="ALW66" s="557"/>
      <c r="ALX66" s="557"/>
      <c r="ALY66" s="557"/>
      <c r="ALZ66" s="557"/>
      <c r="AMA66" s="557"/>
      <c r="AMB66" s="557"/>
      <c r="AMC66" s="557"/>
      <c r="AMD66" s="557"/>
      <c r="AME66" s="661"/>
      <c r="AMF66" s="556"/>
      <c r="AMG66" s="557"/>
      <c r="AMH66" s="557"/>
      <c r="AMI66" s="557"/>
      <c r="AMJ66" s="557"/>
      <c r="AMK66" s="557"/>
      <c r="AML66" s="557"/>
      <c r="AMM66" s="557"/>
      <c r="AMN66" s="557"/>
      <c r="AMO66" s="557"/>
      <c r="AMP66" s="557"/>
      <c r="AMQ66" s="557"/>
      <c r="AMR66" s="557"/>
      <c r="AMS66" s="557"/>
      <c r="AMT66" s="557"/>
      <c r="AMU66" s="557"/>
      <c r="AMV66" s="557"/>
      <c r="AMW66" s="557"/>
      <c r="AMX66" s="557"/>
      <c r="AMY66" s="661"/>
      <c r="AMZ66" s="556"/>
      <c r="ANA66" s="557"/>
      <c r="ANB66" s="557"/>
      <c r="ANC66" s="557"/>
      <c r="AND66" s="557"/>
      <c r="ANE66" s="557"/>
      <c r="ANF66" s="557"/>
      <c r="ANG66" s="557"/>
      <c r="ANH66" s="557"/>
      <c r="ANI66" s="557"/>
      <c r="ANJ66" s="557"/>
      <c r="ANK66" s="557"/>
      <c r="ANL66" s="557"/>
      <c r="ANM66" s="557"/>
      <c r="ANN66" s="557"/>
      <c r="ANO66" s="557"/>
      <c r="ANP66" s="557"/>
      <c r="ANQ66" s="557"/>
      <c r="ANR66" s="557"/>
      <c r="ANS66" s="661"/>
      <c r="ANT66" s="556"/>
      <c r="ANU66" s="557"/>
      <c r="ANV66" s="557"/>
      <c r="ANW66" s="557"/>
      <c r="ANX66" s="557"/>
      <c r="ANY66" s="557"/>
      <c r="ANZ66" s="557"/>
      <c r="AOA66" s="557"/>
      <c r="AOB66" s="557"/>
      <c r="AOC66" s="557"/>
      <c r="AOD66" s="557"/>
      <c r="AOE66" s="557"/>
      <c r="AOF66" s="557"/>
      <c r="AOG66" s="557"/>
      <c r="AOH66" s="557"/>
      <c r="AOI66" s="557"/>
      <c r="AOJ66" s="557"/>
      <c r="AOK66" s="557"/>
      <c r="AOL66" s="557"/>
      <c r="AOM66" s="661"/>
      <c r="AON66" s="556"/>
      <c r="AOO66" s="557"/>
      <c r="AOP66" s="557"/>
      <c r="AOQ66" s="557"/>
      <c r="AOR66" s="557"/>
      <c r="AOS66" s="557"/>
      <c r="AOT66" s="557"/>
      <c r="AOU66" s="557"/>
      <c r="AOV66" s="557"/>
      <c r="AOW66" s="557"/>
      <c r="AOX66" s="557"/>
      <c r="AOY66" s="557"/>
      <c r="AOZ66" s="557"/>
      <c r="APA66" s="557"/>
      <c r="APB66" s="557"/>
      <c r="APC66" s="557"/>
      <c r="APD66" s="557"/>
      <c r="APE66" s="557"/>
      <c r="APF66" s="557"/>
      <c r="APG66" s="661"/>
      <c r="APH66" s="556"/>
      <c r="API66" s="557"/>
      <c r="APJ66" s="557"/>
      <c r="APK66" s="557"/>
      <c r="APL66" s="557"/>
      <c r="APM66" s="557"/>
      <c r="APN66" s="557"/>
      <c r="APO66" s="557"/>
      <c r="APP66" s="557"/>
      <c r="APQ66" s="557"/>
      <c r="APR66" s="557"/>
      <c r="APS66" s="557"/>
      <c r="APT66" s="557"/>
      <c r="APU66" s="557"/>
      <c r="APV66" s="557"/>
      <c r="APW66" s="557"/>
      <c r="APX66" s="557"/>
      <c r="APY66" s="557"/>
      <c r="APZ66" s="557"/>
      <c r="AQA66" s="661"/>
      <c r="AQB66" s="556"/>
      <c r="AQC66" s="557"/>
      <c r="AQD66" s="557"/>
      <c r="AQE66" s="557"/>
      <c r="AQF66" s="557"/>
      <c r="AQG66" s="557"/>
      <c r="AQH66" s="557"/>
      <c r="AQI66" s="557"/>
      <c r="AQJ66" s="557"/>
      <c r="AQK66" s="557"/>
      <c r="AQL66" s="557"/>
      <c r="AQM66" s="557"/>
      <c r="AQN66" s="557"/>
      <c r="AQO66" s="557"/>
      <c r="AQP66" s="557"/>
      <c r="AQQ66" s="557"/>
      <c r="AQR66" s="557"/>
      <c r="AQS66" s="557"/>
      <c r="AQT66" s="557"/>
      <c r="AQU66" s="661"/>
      <c r="AQV66" s="556"/>
      <c r="AQW66" s="557"/>
      <c r="AQX66" s="557"/>
      <c r="AQY66" s="557"/>
      <c r="AQZ66" s="557"/>
      <c r="ARA66" s="557"/>
      <c r="ARB66" s="557"/>
      <c r="ARC66" s="557"/>
      <c r="ARD66" s="557"/>
      <c r="ARE66" s="557"/>
      <c r="ARF66" s="557"/>
      <c r="ARG66" s="557"/>
      <c r="ARH66" s="557"/>
      <c r="ARI66" s="557"/>
      <c r="ARJ66" s="557"/>
      <c r="ARK66" s="557"/>
      <c r="ARL66" s="557"/>
      <c r="ARM66" s="557"/>
      <c r="ARN66" s="557"/>
      <c r="ARO66" s="661"/>
      <c r="ARP66" s="556"/>
      <c r="ARQ66" s="557"/>
      <c r="ARR66" s="557"/>
      <c r="ARS66" s="557"/>
      <c r="ART66" s="557"/>
      <c r="ARU66" s="557"/>
      <c r="ARV66" s="557"/>
      <c r="ARW66" s="557"/>
      <c r="ARX66" s="557"/>
      <c r="ARY66" s="557"/>
      <c r="ARZ66" s="557"/>
      <c r="ASA66" s="557"/>
      <c r="ASB66" s="557"/>
      <c r="ASC66" s="557"/>
      <c r="ASD66" s="557"/>
      <c r="ASE66" s="557"/>
      <c r="ASF66" s="557"/>
      <c r="ASG66" s="557"/>
      <c r="ASH66" s="557"/>
      <c r="ASI66" s="661"/>
      <c r="ASJ66" s="556"/>
      <c r="ASK66" s="557"/>
      <c r="ASL66" s="557"/>
      <c r="ASM66" s="557"/>
      <c r="ASN66" s="557"/>
      <c r="ASO66" s="557"/>
      <c r="ASP66" s="557"/>
      <c r="ASQ66" s="557"/>
      <c r="ASR66" s="557"/>
      <c r="ASS66" s="557"/>
      <c r="AST66" s="557"/>
      <c r="ASU66" s="557"/>
      <c r="ASV66" s="557"/>
      <c r="ASW66" s="557"/>
      <c r="ASX66" s="557"/>
      <c r="ASY66" s="557"/>
      <c r="ASZ66" s="557"/>
      <c r="ATA66" s="557"/>
      <c r="ATB66" s="557"/>
      <c r="ATC66" s="661"/>
      <c r="ATD66" s="556"/>
      <c r="ATE66" s="557"/>
      <c r="ATF66" s="557"/>
      <c r="ATG66" s="557"/>
      <c r="ATH66" s="557"/>
      <c r="ATI66" s="557"/>
      <c r="ATJ66" s="557"/>
      <c r="ATK66" s="557"/>
      <c r="ATL66" s="557"/>
      <c r="ATM66" s="557"/>
      <c r="ATN66" s="557"/>
      <c r="ATO66" s="557"/>
      <c r="ATP66" s="557"/>
      <c r="ATQ66" s="557"/>
      <c r="ATR66" s="557"/>
      <c r="ATS66" s="557"/>
      <c r="ATT66" s="557"/>
      <c r="ATU66" s="557"/>
      <c r="ATV66" s="557"/>
      <c r="ATW66" s="661"/>
      <c r="ATX66" s="556"/>
      <c r="ATY66" s="557"/>
      <c r="ATZ66" s="557"/>
      <c r="AUA66" s="557"/>
      <c r="AUB66" s="557"/>
      <c r="AUC66" s="557"/>
      <c r="AUD66" s="557"/>
      <c r="AUE66" s="557"/>
      <c r="AUF66" s="557"/>
      <c r="AUG66" s="557"/>
      <c r="AUH66" s="557"/>
      <c r="AUI66" s="557"/>
      <c r="AUJ66" s="557"/>
      <c r="AUK66" s="557"/>
      <c r="AUL66" s="557"/>
      <c r="AUM66" s="557"/>
      <c r="AUN66" s="557"/>
      <c r="AUO66" s="557"/>
      <c r="AUP66" s="557"/>
      <c r="AUQ66" s="661"/>
      <c r="AUR66" s="556"/>
      <c r="AUS66" s="557"/>
      <c r="AUT66" s="557"/>
      <c r="AUU66" s="557"/>
      <c r="AUV66" s="557"/>
      <c r="AUW66" s="557"/>
      <c r="AUX66" s="557"/>
      <c r="AUY66" s="557"/>
      <c r="AUZ66" s="557"/>
      <c r="AVA66" s="557"/>
      <c r="AVB66" s="557"/>
      <c r="AVC66" s="557"/>
      <c r="AVD66" s="557"/>
      <c r="AVE66" s="557"/>
      <c r="AVF66" s="557"/>
      <c r="AVG66" s="557"/>
      <c r="AVH66" s="557"/>
      <c r="AVI66" s="557"/>
      <c r="AVJ66" s="557"/>
      <c r="AVK66" s="661"/>
      <c r="AVL66" s="556"/>
      <c r="AVM66" s="557"/>
      <c r="AVN66" s="557"/>
      <c r="AVO66" s="557"/>
      <c r="AVP66" s="557"/>
      <c r="AVQ66" s="557"/>
      <c r="AVR66" s="557"/>
      <c r="AVS66" s="557"/>
      <c r="AVT66" s="557"/>
      <c r="AVU66" s="557"/>
      <c r="AVV66" s="557"/>
      <c r="AVW66" s="557"/>
      <c r="AVX66" s="557"/>
      <c r="AVY66" s="557"/>
      <c r="AVZ66" s="557"/>
      <c r="AWA66" s="557"/>
      <c r="AWB66" s="557"/>
      <c r="AWC66" s="557"/>
      <c r="AWD66" s="557"/>
      <c r="AWE66" s="661"/>
      <c r="AWF66" s="556"/>
      <c r="AWG66" s="557"/>
      <c r="AWH66" s="557"/>
      <c r="AWI66" s="557"/>
      <c r="AWJ66" s="557"/>
      <c r="AWK66" s="557"/>
      <c r="AWL66" s="557"/>
      <c r="AWM66" s="557"/>
      <c r="AWN66" s="557"/>
      <c r="AWO66" s="557"/>
      <c r="AWP66" s="557"/>
      <c r="AWQ66" s="557"/>
      <c r="AWR66" s="557"/>
      <c r="AWS66" s="557"/>
      <c r="AWT66" s="557"/>
      <c r="AWU66" s="557"/>
      <c r="AWV66" s="557"/>
      <c r="AWW66" s="557"/>
      <c r="AWX66" s="557"/>
      <c r="AWY66" s="661"/>
      <c r="AWZ66" s="556"/>
      <c r="AXA66" s="557"/>
      <c r="AXB66" s="557"/>
      <c r="AXC66" s="557"/>
      <c r="AXD66" s="557"/>
      <c r="AXE66" s="557"/>
      <c r="AXF66" s="557"/>
      <c r="AXG66" s="557"/>
      <c r="AXH66" s="557"/>
      <c r="AXI66" s="557"/>
      <c r="AXJ66" s="557"/>
      <c r="AXK66" s="557"/>
      <c r="AXL66" s="557"/>
      <c r="AXM66" s="557"/>
      <c r="AXN66" s="557"/>
      <c r="AXO66" s="557"/>
      <c r="AXP66" s="557"/>
      <c r="AXQ66" s="557"/>
      <c r="AXR66" s="557"/>
      <c r="AXS66" s="661"/>
      <c r="AXT66" s="556"/>
      <c r="AXU66" s="557"/>
      <c r="AXV66" s="557"/>
      <c r="AXW66" s="557"/>
      <c r="AXX66" s="557"/>
      <c r="AXY66" s="557"/>
      <c r="AXZ66" s="557"/>
      <c r="AYA66" s="557"/>
      <c r="AYB66" s="557"/>
      <c r="AYC66" s="557"/>
      <c r="AYD66" s="557"/>
      <c r="AYE66" s="557"/>
      <c r="AYF66" s="557"/>
      <c r="AYG66" s="557"/>
      <c r="AYH66" s="557"/>
      <c r="AYI66" s="557"/>
      <c r="AYJ66" s="557"/>
      <c r="AYK66" s="557"/>
      <c r="AYL66" s="557"/>
      <c r="AYM66" s="661"/>
      <c r="AYN66" s="556"/>
      <c r="AYO66" s="557"/>
      <c r="AYP66" s="557"/>
      <c r="AYQ66" s="557"/>
      <c r="AYR66" s="557"/>
      <c r="AYS66" s="557"/>
      <c r="AYT66" s="557"/>
      <c r="AYU66" s="557"/>
      <c r="AYV66" s="557"/>
      <c r="AYW66" s="557"/>
      <c r="AYX66" s="557"/>
      <c r="AYY66" s="557"/>
      <c r="AYZ66" s="557"/>
      <c r="AZA66" s="557"/>
      <c r="AZB66" s="557"/>
      <c r="AZC66" s="557"/>
      <c r="AZD66" s="557"/>
      <c r="AZE66" s="557"/>
      <c r="AZF66" s="557"/>
      <c r="AZG66" s="661"/>
      <c r="AZH66" s="556"/>
      <c r="AZI66" s="557"/>
      <c r="AZJ66" s="557"/>
      <c r="AZK66" s="557"/>
      <c r="AZL66" s="557"/>
      <c r="AZM66" s="557"/>
      <c r="AZN66" s="557"/>
      <c r="AZO66" s="557"/>
      <c r="AZP66" s="557"/>
      <c r="AZQ66" s="557"/>
      <c r="AZR66" s="557"/>
      <c r="AZS66" s="557"/>
      <c r="AZT66" s="557"/>
      <c r="AZU66" s="557"/>
      <c r="AZV66" s="557"/>
      <c r="AZW66" s="557"/>
      <c r="AZX66" s="557"/>
      <c r="AZY66" s="557"/>
      <c r="AZZ66" s="557"/>
      <c r="BAA66" s="661"/>
      <c r="BAB66" s="556"/>
      <c r="BAC66" s="557"/>
      <c r="BAD66" s="557"/>
      <c r="BAE66" s="557"/>
      <c r="BAF66" s="557"/>
      <c r="BAG66" s="557"/>
      <c r="BAH66" s="557"/>
      <c r="BAI66" s="557"/>
      <c r="BAJ66" s="557"/>
      <c r="BAK66" s="557"/>
      <c r="BAL66" s="557"/>
      <c r="BAM66" s="557"/>
      <c r="BAN66" s="557"/>
      <c r="BAO66" s="557"/>
      <c r="BAP66" s="557"/>
      <c r="BAQ66" s="557"/>
      <c r="BAR66" s="557"/>
      <c r="BAS66" s="557"/>
      <c r="BAT66" s="557"/>
      <c r="BAU66" s="661"/>
      <c r="BAV66" s="556"/>
      <c r="BAW66" s="557"/>
      <c r="BAX66" s="557"/>
      <c r="BAY66" s="557"/>
      <c r="BAZ66" s="557"/>
      <c r="BBA66" s="557"/>
      <c r="BBB66" s="557"/>
      <c r="BBC66" s="557"/>
      <c r="BBD66" s="557"/>
      <c r="BBE66" s="557"/>
      <c r="BBF66" s="557"/>
      <c r="BBG66" s="557"/>
      <c r="BBH66" s="557"/>
      <c r="BBI66" s="557"/>
      <c r="BBJ66" s="557"/>
      <c r="BBK66" s="557"/>
      <c r="BBL66" s="557"/>
      <c r="BBM66" s="557"/>
      <c r="BBN66" s="557"/>
      <c r="BBO66" s="661"/>
      <c r="BBP66" s="556"/>
      <c r="BBQ66" s="557"/>
      <c r="BBR66" s="557"/>
      <c r="BBS66" s="557"/>
      <c r="BBT66" s="557"/>
      <c r="BBU66" s="557"/>
      <c r="BBV66" s="557"/>
      <c r="BBW66" s="557"/>
      <c r="BBX66" s="557"/>
      <c r="BBY66" s="557"/>
      <c r="BBZ66" s="557"/>
      <c r="BCA66" s="557"/>
      <c r="BCB66" s="557"/>
      <c r="BCC66" s="557"/>
      <c r="BCD66" s="557"/>
      <c r="BCE66" s="557"/>
      <c r="BCF66" s="557"/>
      <c r="BCG66" s="557"/>
      <c r="BCH66" s="557"/>
      <c r="BCI66" s="661"/>
      <c r="BCJ66" s="556"/>
      <c r="BCK66" s="557"/>
      <c r="BCL66" s="557"/>
      <c r="BCM66" s="557"/>
      <c r="BCN66" s="557"/>
      <c r="BCO66" s="557"/>
      <c r="BCP66" s="557"/>
      <c r="BCQ66" s="557"/>
      <c r="BCR66" s="557"/>
      <c r="BCS66" s="557"/>
      <c r="BCT66" s="557"/>
      <c r="BCU66" s="557"/>
      <c r="BCV66" s="557"/>
      <c r="BCW66" s="557"/>
      <c r="BCX66" s="557"/>
      <c r="BCY66" s="557"/>
      <c r="BCZ66" s="557"/>
      <c r="BDA66" s="557"/>
      <c r="BDB66" s="557"/>
      <c r="BDC66" s="661"/>
      <c r="BDD66" s="556"/>
      <c r="BDE66" s="557"/>
      <c r="BDF66" s="557"/>
      <c r="BDG66" s="557"/>
      <c r="BDH66" s="557"/>
      <c r="BDI66" s="557"/>
      <c r="BDJ66" s="557"/>
      <c r="BDK66" s="557"/>
      <c r="BDL66" s="557"/>
      <c r="BDM66" s="557"/>
      <c r="BDN66" s="557"/>
      <c r="BDO66" s="557"/>
      <c r="BDP66" s="557"/>
      <c r="BDQ66" s="557"/>
      <c r="BDR66" s="557"/>
      <c r="BDS66" s="557"/>
      <c r="BDT66" s="557"/>
      <c r="BDU66" s="557"/>
      <c r="BDV66" s="557"/>
      <c r="BDW66" s="661"/>
      <c r="BDX66" s="556"/>
      <c r="BDY66" s="557"/>
      <c r="BDZ66" s="557"/>
      <c r="BEA66" s="557"/>
      <c r="BEB66" s="557"/>
      <c r="BEC66" s="557"/>
      <c r="BED66" s="557"/>
      <c r="BEE66" s="557"/>
      <c r="BEF66" s="557"/>
      <c r="BEG66" s="557"/>
      <c r="BEH66" s="557"/>
      <c r="BEI66" s="557"/>
      <c r="BEJ66" s="557"/>
      <c r="BEK66" s="557"/>
      <c r="BEL66" s="557"/>
      <c r="BEM66" s="557"/>
      <c r="BEN66" s="557"/>
      <c r="BEO66" s="557"/>
      <c r="BEP66" s="557"/>
      <c r="BEQ66" s="661"/>
      <c r="BER66" s="556"/>
      <c r="BES66" s="557"/>
      <c r="BET66" s="557"/>
      <c r="BEU66" s="557"/>
      <c r="BEV66" s="557"/>
      <c r="BEW66" s="557"/>
      <c r="BEX66" s="557"/>
      <c r="BEY66" s="557"/>
      <c r="BEZ66" s="557"/>
      <c r="BFA66" s="557"/>
      <c r="BFB66" s="557"/>
      <c r="BFC66" s="557"/>
      <c r="BFD66" s="557"/>
      <c r="BFE66" s="557"/>
      <c r="BFF66" s="557"/>
      <c r="BFG66" s="557"/>
      <c r="BFH66" s="557"/>
      <c r="BFI66" s="557"/>
      <c r="BFJ66" s="557"/>
      <c r="BFK66" s="661"/>
      <c r="BFL66" s="556"/>
      <c r="BFM66" s="557"/>
      <c r="BFN66" s="557"/>
      <c r="BFO66" s="557"/>
      <c r="BFP66" s="557"/>
      <c r="BFQ66" s="557"/>
      <c r="BFR66" s="557"/>
      <c r="BFS66" s="557"/>
      <c r="BFT66" s="557"/>
      <c r="BFU66" s="557"/>
      <c r="BFV66" s="557"/>
      <c r="BFW66" s="557"/>
      <c r="BFX66" s="557"/>
      <c r="BFY66" s="557"/>
      <c r="BFZ66" s="557"/>
      <c r="BGA66" s="557"/>
      <c r="BGB66" s="557"/>
      <c r="BGC66" s="557"/>
      <c r="BGD66" s="557"/>
      <c r="BGE66" s="661"/>
      <c r="BGF66" s="556"/>
      <c r="BGG66" s="557"/>
      <c r="BGH66" s="557"/>
      <c r="BGI66" s="557"/>
      <c r="BGJ66" s="557"/>
      <c r="BGK66" s="557"/>
      <c r="BGL66" s="557"/>
      <c r="BGM66" s="557"/>
      <c r="BGN66" s="557"/>
      <c r="BGO66" s="557"/>
      <c r="BGP66" s="557"/>
      <c r="BGQ66" s="557"/>
      <c r="BGR66" s="557"/>
      <c r="BGS66" s="557"/>
      <c r="BGT66" s="557"/>
      <c r="BGU66" s="557"/>
      <c r="BGV66" s="557"/>
      <c r="BGW66" s="557"/>
      <c r="BGX66" s="557"/>
      <c r="BGY66" s="661"/>
      <c r="BGZ66" s="556"/>
      <c r="BHA66" s="557"/>
      <c r="BHB66" s="557"/>
      <c r="BHC66" s="557"/>
      <c r="BHD66" s="557"/>
      <c r="BHE66" s="557"/>
      <c r="BHF66" s="557"/>
      <c r="BHG66" s="557"/>
      <c r="BHH66" s="557"/>
      <c r="BHI66" s="557"/>
      <c r="BHJ66" s="557"/>
      <c r="BHK66" s="557"/>
      <c r="BHL66" s="557"/>
      <c r="BHM66" s="557"/>
      <c r="BHN66" s="557"/>
      <c r="BHO66" s="557"/>
      <c r="BHP66" s="557"/>
      <c r="BHQ66" s="557"/>
      <c r="BHR66" s="557"/>
      <c r="BHS66" s="661"/>
      <c r="BHT66" s="556"/>
      <c r="BHU66" s="557"/>
      <c r="BHV66" s="557"/>
      <c r="BHW66" s="557"/>
      <c r="BHX66" s="557"/>
      <c r="BHY66" s="557"/>
      <c r="BHZ66" s="557"/>
      <c r="BIA66" s="557"/>
      <c r="BIB66" s="557"/>
      <c r="BIC66" s="557"/>
      <c r="BID66" s="557"/>
      <c r="BIE66" s="557"/>
      <c r="BIF66" s="557"/>
      <c r="BIG66" s="557"/>
      <c r="BIH66" s="557"/>
      <c r="BII66" s="557"/>
      <c r="BIJ66" s="557"/>
      <c r="BIK66" s="557"/>
      <c r="BIL66" s="557"/>
      <c r="BIM66" s="661"/>
      <c r="BIN66" s="556"/>
      <c r="BIO66" s="557"/>
      <c r="BIP66" s="557"/>
      <c r="BIQ66" s="557"/>
      <c r="BIR66" s="557"/>
      <c r="BIS66" s="557"/>
      <c r="BIT66" s="557"/>
      <c r="BIU66" s="557"/>
      <c r="BIV66" s="557"/>
      <c r="BIW66" s="557"/>
      <c r="BIX66" s="557"/>
      <c r="BIY66" s="557"/>
      <c r="BIZ66" s="557"/>
      <c r="BJA66" s="557"/>
      <c r="BJB66" s="557"/>
      <c r="BJC66" s="557"/>
      <c r="BJD66" s="557"/>
      <c r="BJE66" s="557"/>
      <c r="BJF66" s="557"/>
      <c r="BJG66" s="661"/>
      <c r="BJH66" s="556"/>
      <c r="BJI66" s="557"/>
      <c r="BJJ66" s="557"/>
      <c r="BJK66" s="557"/>
      <c r="BJL66" s="557"/>
      <c r="BJM66" s="557"/>
      <c r="BJN66" s="557"/>
      <c r="BJO66" s="557"/>
      <c r="BJP66" s="557"/>
      <c r="BJQ66" s="557"/>
      <c r="BJR66" s="557"/>
      <c r="BJS66" s="557"/>
      <c r="BJT66" s="557"/>
      <c r="BJU66" s="557"/>
      <c r="BJV66" s="557"/>
      <c r="BJW66" s="557"/>
      <c r="BJX66" s="557"/>
      <c r="BJY66" s="557"/>
      <c r="BJZ66" s="557"/>
      <c r="BKA66" s="661"/>
      <c r="BKB66" s="556"/>
      <c r="BKC66" s="557"/>
      <c r="BKD66" s="557"/>
      <c r="BKE66" s="557"/>
      <c r="BKF66" s="557"/>
      <c r="BKG66" s="557"/>
      <c r="BKH66" s="557"/>
      <c r="BKI66" s="557"/>
      <c r="BKJ66" s="557"/>
      <c r="BKK66" s="557"/>
      <c r="BKL66" s="557"/>
      <c r="BKM66" s="557"/>
      <c r="BKN66" s="557"/>
      <c r="BKO66" s="557"/>
      <c r="BKP66" s="557"/>
      <c r="BKQ66" s="557"/>
      <c r="BKR66" s="557"/>
      <c r="BKS66" s="557"/>
      <c r="BKT66" s="557"/>
      <c r="BKU66" s="661"/>
      <c r="BKV66" s="556"/>
      <c r="BKW66" s="557"/>
      <c r="BKX66" s="557"/>
      <c r="BKY66" s="557"/>
      <c r="BKZ66" s="557"/>
      <c r="BLA66" s="557"/>
      <c r="BLB66" s="557"/>
      <c r="BLC66" s="557"/>
      <c r="BLD66" s="557"/>
      <c r="BLE66" s="557"/>
      <c r="BLF66" s="557"/>
      <c r="BLG66" s="557"/>
      <c r="BLH66" s="557"/>
      <c r="BLI66" s="557"/>
      <c r="BLJ66" s="557"/>
      <c r="BLK66" s="557"/>
      <c r="BLL66" s="557"/>
      <c r="BLM66" s="557"/>
      <c r="BLN66" s="557"/>
      <c r="BLO66" s="661"/>
      <c r="BLP66" s="556"/>
      <c r="BLQ66" s="557"/>
      <c r="BLR66" s="557"/>
      <c r="BLS66" s="557"/>
      <c r="BLT66" s="557"/>
      <c r="BLU66" s="557"/>
      <c r="BLV66" s="557"/>
      <c r="BLW66" s="557"/>
      <c r="BLX66" s="557"/>
      <c r="BLY66" s="557"/>
      <c r="BLZ66" s="557"/>
      <c r="BMA66" s="557"/>
      <c r="BMB66" s="557"/>
      <c r="BMC66" s="557"/>
      <c r="BMD66" s="557"/>
      <c r="BME66" s="557"/>
      <c r="BMF66" s="557"/>
      <c r="BMG66" s="557"/>
      <c r="BMH66" s="557"/>
      <c r="BMI66" s="661"/>
      <c r="BMJ66" s="556"/>
      <c r="BMK66" s="557"/>
      <c r="BML66" s="557"/>
      <c r="BMM66" s="557"/>
      <c r="BMN66" s="557"/>
      <c r="BMO66" s="557"/>
      <c r="BMP66" s="557"/>
      <c r="BMQ66" s="557"/>
      <c r="BMR66" s="557"/>
      <c r="BMS66" s="557"/>
      <c r="BMT66" s="557"/>
      <c r="BMU66" s="557"/>
      <c r="BMV66" s="557"/>
      <c r="BMW66" s="557"/>
      <c r="BMX66" s="557"/>
      <c r="BMY66" s="557"/>
      <c r="BMZ66" s="557"/>
      <c r="BNA66" s="557"/>
      <c r="BNB66" s="557"/>
      <c r="BNC66" s="661"/>
      <c r="BND66" s="556"/>
      <c r="BNE66" s="557"/>
      <c r="BNF66" s="557"/>
      <c r="BNG66" s="557"/>
      <c r="BNH66" s="557"/>
      <c r="BNI66" s="557"/>
      <c r="BNJ66" s="557"/>
      <c r="BNK66" s="557"/>
      <c r="BNL66" s="557"/>
      <c r="BNM66" s="557"/>
      <c r="BNN66" s="557"/>
      <c r="BNO66" s="557"/>
      <c r="BNP66" s="557"/>
      <c r="BNQ66" s="557"/>
      <c r="BNR66" s="557"/>
      <c r="BNS66" s="557"/>
      <c r="BNT66" s="557"/>
      <c r="BNU66" s="557"/>
      <c r="BNV66" s="557"/>
      <c r="BNW66" s="661"/>
      <c r="BNX66" s="556"/>
      <c r="BNY66" s="557"/>
      <c r="BNZ66" s="557"/>
      <c r="BOA66" s="557"/>
      <c r="BOB66" s="557"/>
      <c r="BOC66" s="557"/>
      <c r="BOD66" s="557"/>
      <c r="BOE66" s="557"/>
      <c r="BOF66" s="557"/>
      <c r="BOG66" s="557"/>
      <c r="BOH66" s="557"/>
      <c r="BOI66" s="557"/>
      <c r="BOJ66" s="557"/>
      <c r="BOK66" s="557"/>
      <c r="BOL66" s="557"/>
      <c r="BOM66" s="557"/>
      <c r="BON66" s="557"/>
      <c r="BOO66" s="557"/>
      <c r="BOP66" s="557"/>
      <c r="BOQ66" s="661"/>
      <c r="BOR66" s="556"/>
      <c r="BOS66" s="557"/>
      <c r="BOT66" s="557"/>
      <c r="BOU66" s="557"/>
      <c r="BOV66" s="557"/>
      <c r="BOW66" s="557"/>
      <c r="BOX66" s="557"/>
      <c r="BOY66" s="557"/>
      <c r="BOZ66" s="557"/>
      <c r="BPA66" s="557"/>
      <c r="BPB66" s="557"/>
      <c r="BPC66" s="557"/>
      <c r="BPD66" s="557"/>
      <c r="BPE66" s="557"/>
      <c r="BPF66" s="557"/>
      <c r="BPG66" s="557"/>
      <c r="BPH66" s="557"/>
      <c r="BPI66" s="557"/>
      <c r="BPJ66" s="557"/>
      <c r="BPK66" s="661"/>
      <c r="BPL66" s="556"/>
      <c r="BPM66" s="557"/>
      <c r="BPN66" s="557"/>
      <c r="BPO66" s="557"/>
      <c r="BPP66" s="557"/>
      <c r="BPQ66" s="557"/>
      <c r="BPR66" s="557"/>
      <c r="BPS66" s="557"/>
      <c r="BPT66" s="557"/>
      <c r="BPU66" s="557"/>
      <c r="BPV66" s="557"/>
      <c r="BPW66" s="557"/>
      <c r="BPX66" s="557"/>
      <c r="BPY66" s="557"/>
      <c r="BPZ66" s="557"/>
      <c r="BQA66" s="557"/>
      <c r="BQB66" s="557"/>
      <c r="BQC66" s="557"/>
      <c r="BQD66" s="557"/>
      <c r="BQE66" s="661"/>
      <c r="BQF66" s="556"/>
      <c r="BQG66" s="557"/>
      <c r="BQH66" s="557"/>
      <c r="BQI66" s="557"/>
      <c r="BQJ66" s="557"/>
      <c r="BQK66" s="557"/>
      <c r="BQL66" s="557"/>
      <c r="BQM66" s="557"/>
      <c r="BQN66" s="557"/>
      <c r="BQO66" s="557"/>
      <c r="BQP66" s="557"/>
      <c r="BQQ66" s="557"/>
      <c r="BQR66" s="557"/>
      <c r="BQS66" s="557"/>
      <c r="BQT66" s="557"/>
      <c r="BQU66" s="557"/>
      <c r="BQV66" s="557"/>
      <c r="BQW66" s="557"/>
      <c r="BQX66" s="557"/>
      <c r="BQY66" s="661"/>
      <c r="BQZ66" s="556"/>
      <c r="BRA66" s="557"/>
      <c r="BRB66" s="557"/>
      <c r="BRC66" s="557"/>
      <c r="BRD66" s="557"/>
      <c r="BRE66" s="557"/>
      <c r="BRF66" s="557"/>
      <c r="BRG66" s="557"/>
      <c r="BRH66" s="557"/>
      <c r="BRI66" s="557"/>
      <c r="BRJ66" s="557"/>
      <c r="BRK66" s="557"/>
      <c r="BRL66" s="557"/>
      <c r="BRM66" s="557"/>
      <c r="BRN66" s="557"/>
      <c r="BRO66" s="557"/>
      <c r="BRP66" s="557"/>
      <c r="BRQ66" s="557"/>
      <c r="BRR66" s="557"/>
      <c r="BRS66" s="661"/>
      <c r="BRT66" s="556"/>
      <c r="BRU66" s="557"/>
      <c r="BRV66" s="557"/>
      <c r="BRW66" s="557"/>
      <c r="BRX66" s="557"/>
      <c r="BRY66" s="557"/>
      <c r="BRZ66" s="557"/>
      <c r="BSA66" s="557"/>
      <c r="BSB66" s="557"/>
      <c r="BSC66" s="557"/>
      <c r="BSD66" s="557"/>
      <c r="BSE66" s="557"/>
      <c r="BSF66" s="557"/>
      <c r="BSG66" s="557"/>
      <c r="BSH66" s="557"/>
      <c r="BSI66" s="557"/>
      <c r="BSJ66" s="557"/>
      <c r="BSK66" s="557"/>
      <c r="BSL66" s="557"/>
      <c r="BSM66" s="661"/>
      <c r="BSN66" s="556"/>
      <c r="BSO66" s="557"/>
      <c r="BSP66" s="557"/>
      <c r="BSQ66" s="557"/>
      <c r="BSR66" s="557"/>
      <c r="BSS66" s="557"/>
      <c r="BST66" s="557"/>
      <c r="BSU66" s="557"/>
      <c r="BSV66" s="557"/>
      <c r="BSW66" s="557"/>
      <c r="BSX66" s="557"/>
      <c r="BSY66" s="557"/>
      <c r="BSZ66" s="557"/>
      <c r="BTA66" s="557"/>
      <c r="BTB66" s="557"/>
      <c r="BTC66" s="557"/>
      <c r="BTD66" s="557"/>
      <c r="BTE66" s="557"/>
      <c r="BTF66" s="557"/>
      <c r="BTG66" s="661"/>
      <c r="BTH66" s="556"/>
      <c r="BTI66" s="557"/>
      <c r="BTJ66" s="557"/>
      <c r="BTK66" s="557"/>
      <c r="BTL66" s="557"/>
      <c r="BTM66" s="557"/>
      <c r="BTN66" s="557"/>
      <c r="BTO66" s="557"/>
      <c r="BTP66" s="557"/>
      <c r="BTQ66" s="557"/>
      <c r="BTR66" s="557"/>
      <c r="BTS66" s="557"/>
      <c r="BTT66" s="557"/>
      <c r="BTU66" s="557"/>
      <c r="BTV66" s="557"/>
      <c r="BTW66" s="557"/>
      <c r="BTX66" s="557"/>
      <c r="BTY66" s="557"/>
      <c r="BTZ66" s="557"/>
      <c r="BUA66" s="661"/>
      <c r="BUB66" s="556"/>
      <c r="BUC66" s="557"/>
      <c r="BUD66" s="557"/>
      <c r="BUE66" s="557"/>
      <c r="BUF66" s="557"/>
      <c r="BUG66" s="557"/>
      <c r="BUH66" s="557"/>
      <c r="BUI66" s="557"/>
      <c r="BUJ66" s="557"/>
      <c r="BUK66" s="557"/>
      <c r="BUL66" s="557"/>
      <c r="BUM66" s="557"/>
      <c r="BUN66" s="557"/>
      <c r="BUO66" s="557"/>
      <c r="BUP66" s="557"/>
      <c r="BUQ66" s="557"/>
      <c r="BUR66" s="557"/>
      <c r="BUS66" s="557"/>
      <c r="BUT66" s="557"/>
      <c r="BUU66" s="661"/>
      <c r="BUV66" s="556"/>
      <c r="BUW66" s="557"/>
      <c r="BUX66" s="557"/>
      <c r="BUY66" s="557"/>
      <c r="BUZ66" s="557"/>
      <c r="BVA66" s="557"/>
      <c r="BVB66" s="557"/>
      <c r="BVC66" s="557"/>
      <c r="BVD66" s="557"/>
      <c r="BVE66" s="557"/>
      <c r="BVF66" s="557"/>
      <c r="BVG66" s="557"/>
      <c r="BVH66" s="557"/>
      <c r="BVI66" s="557"/>
      <c r="BVJ66" s="557"/>
      <c r="BVK66" s="557"/>
      <c r="BVL66" s="557"/>
      <c r="BVM66" s="557"/>
      <c r="BVN66" s="557"/>
      <c r="BVO66" s="661"/>
      <c r="BVP66" s="556"/>
      <c r="BVQ66" s="557"/>
      <c r="BVR66" s="557"/>
      <c r="BVS66" s="557"/>
      <c r="BVT66" s="557"/>
      <c r="BVU66" s="557"/>
      <c r="BVV66" s="557"/>
      <c r="BVW66" s="557"/>
      <c r="BVX66" s="557"/>
      <c r="BVY66" s="557"/>
      <c r="BVZ66" s="557"/>
      <c r="BWA66" s="557"/>
      <c r="BWB66" s="557"/>
      <c r="BWC66" s="557"/>
      <c r="BWD66" s="557"/>
      <c r="BWE66" s="557"/>
      <c r="BWF66" s="557"/>
      <c r="BWG66" s="557"/>
      <c r="BWH66" s="557"/>
      <c r="BWI66" s="661"/>
      <c r="BWJ66" s="556"/>
      <c r="BWK66" s="557"/>
      <c r="BWL66" s="557"/>
      <c r="BWM66" s="557"/>
      <c r="BWN66" s="557"/>
      <c r="BWO66" s="557"/>
      <c r="BWP66" s="557"/>
      <c r="BWQ66" s="557"/>
      <c r="BWR66" s="557"/>
      <c r="BWS66" s="557"/>
      <c r="BWT66" s="557"/>
      <c r="BWU66" s="557"/>
      <c r="BWV66" s="557"/>
      <c r="BWW66" s="557"/>
      <c r="BWX66" s="557"/>
      <c r="BWY66" s="557"/>
      <c r="BWZ66" s="557"/>
      <c r="BXA66" s="557"/>
      <c r="BXB66" s="557"/>
      <c r="BXC66" s="661"/>
      <c r="BXD66" s="556"/>
      <c r="BXE66" s="557"/>
      <c r="BXF66" s="557"/>
      <c r="BXG66" s="557"/>
      <c r="BXH66" s="557"/>
      <c r="BXI66" s="557"/>
      <c r="BXJ66" s="557"/>
      <c r="BXK66" s="557"/>
      <c r="BXL66" s="557"/>
      <c r="BXM66" s="557"/>
      <c r="BXN66" s="557"/>
      <c r="BXO66" s="557"/>
      <c r="BXP66" s="557"/>
      <c r="BXQ66" s="557"/>
      <c r="BXR66" s="557"/>
      <c r="BXS66" s="557"/>
      <c r="BXT66" s="557"/>
      <c r="BXU66" s="557"/>
      <c r="BXV66" s="557"/>
      <c r="BXW66" s="661"/>
      <c r="BXX66" s="556"/>
      <c r="BXY66" s="557"/>
      <c r="BXZ66" s="557"/>
      <c r="BYA66" s="557"/>
      <c r="BYB66" s="557"/>
      <c r="BYC66" s="557"/>
      <c r="BYD66" s="557"/>
      <c r="BYE66" s="557"/>
      <c r="BYF66" s="557"/>
      <c r="BYG66" s="557"/>
      <c r="BYH66" s="557"/>
      <c r="BYI66" s="557"/>
      <c r="BYJ66" s="557"/>
      <c r="BYK66" s="557"/>
      <c r="BYL66" s="557"/>
      <c r="BYM66" s="557"/>
      <c r="BYN66" s="557"/>
      <c r="BYO66" s="557"/>
      <c r="BYP66" s="557"/>
      <c r="BYQ66" s="661"/>
      <c r="BYR66" s="556"/>
      <c r="BYS66" s="557"/>
      <c r="BYT66" s="557"/>
      <c r="BYU66" s="557"/>
      <c r="BYV66" s="557"/>
      <c r="BYW66" s="557"/>
      <c r="BYX66" s="557"/>
      <c r="BYY66" s="557"/>
      <c r="BYZ66" s="557"/>
      <c r="BZA66" s="557"/>
      <c r="BZB66" s="557"/>
      <c r="BZC66" s="557"/>
      <c r="BZD66" s="557"/>
      <c r="BZE66" s="557"/>
      <c r="BZF66" s="557"/>
      <c r="BZG66" s="557"/>
      <c r="BZH66" s="557"/>
      <c r="BZI66" s="557"/>
      <c r="BZJ66" s="557"/>
      <c r="BZK66" s="661"/>
      <c r="BZL66" s="556"/>
      <c r="BZM66" s="557"/>
      <c r="BZN66" s="557"/>
      <c r="BZO66" s="557"/>
      <c r="BZP66" s="557"/>
      <c r="BZQ66" s="557"/>
      <c r="BZR66" s="557"/>
      <c r="BZS66" s="557"/>
      <c r="BZT66" s="557"/>
      <c r="BZU66" s="557"/>
      <c r="BZV66" s="557"/>
      <c r="BZW66" s="557"/>
      <c r="BZX66" s="557"/>
      <c r="BZY66" s="557"/>
      <c r="BZZ66" s="557"/>
      <c r="CAA66" s="557"/>
      <c r="CAB66" s="557"/>
      <c r="CAC66" s="557"/>
      <c r="CAD66" s="557"/>
      <c r="CAE66" s="661"/>
      <c r="CAF66" s="556"/>
      <c r="CAG66" s="557"/>
      <c r="CAH66" s="557"/>
      <c r="CAI66" s="557"/>
      <c r="CAJ66" s="557"/>
      <c r="CAK66" s="557"/>
      <c r="CAL66" s="557"/>
      <c r="CAM66" s="557"/>
      <c r="CAN66" s="557"/>
      <c r="CAO66" s="557"/>
      <c r="CAP66" s="557"/>
      <c r="CAQ66" s="557"/>
      <c r="CAR66" s="557"/>
      <c r="CAS66" s="557"/>
      <c r="CAT66" s="557"/>
      <c r="CAU66" s="557"/>
      <c r="CAV66" s="557"/>
      <c r="CAW66" s="557"/>
      <c r="CAX66" s="557"/>
      <c r="CAY66" s="661"/>
      <c r="CAZ66" s="556"/>
      <c r="CBA66" s="557"/>
      <c r="CBB66" s="557"/>
      <c r="CBC66" s="557"/>
      <c r="CBD66" s="557"/>
      <c r="CBE66" s="557"/>
      <c r="CBF66" s="557"/>
      <c r="CBG66" s="557"/>
      <c r="CBH66" s="557"/>
      <c r="CBI66" s="557"/>
      <c r="CBJ66" s="557"/>
      <c r="CBK66" s="557"/>
      <c r="CBL66" s="557"/>
      <c r="CBM66" s="557"/>
      <c r="CBN66" s="557"/>
      <c r="CBO66" s="557"/>
      <c r="CBP66" s="557"/>
      <c r="CBQ66" s="557"/>
      <c r="CBR66" s="557"/>
      <c r="CBS66" s="661"/>
      <c r="CBT66" s="556"/>
      <c r="CBU66" s="557"/>
      <c r="CBV66" s="557"/>
      <c r="CBW66" s="557"/>
      <c r="CBX66" s="557"/>
      <c r="CBY66" s="557"/>
      <c r="CBZ66" s="557"/>
      <c r="CCA66" s="557"/>
      <c r="CCB66" s="557"/>
      <c r="CCC66" s="557"/>
      <c r="CCD66" s="557"/>
      <c r="CCE66" s="557"/>
      <c r="CCF66" s="557"/>
      <c r="CCG66" s="557"/>
      <c r="CCH66" s="557"/>
      <c r="CCI66" s="557"/>
      <c r="CCJ66" s="557"/>
      <c r="CCK66" s="557"/>
      <c r="CCL66" s="557"/>
      <c r="CCM66" s="661"/>
      <c r="CCN66" s="556"/>
      <c r="CCO66" s="557"/>
      <c r="CCP66" s="557"/>
      <c r="CCQ66" s="557"/>
      <c r="CCR66" s="557"/>
      <c r="CCS66" s="557"/>
      <c r="CCT66" s="557"/>
      <c r="CCU66" s="557"/>
      <c r="CCV66" s="557"/>
      <c r="CCW66" s="557"/>
      <c r="CCX66" s="557"/>
      <c r="CCY66" s="557"/>
      <c r="CCZ66" s="557"/>
      <c r="CDA66" s="557"/>
      <c r="CDB66" s="557"/>
      <c r="CDC66" s="557"/>
      <c r="CDD66" s="557"/>
      <c r="CDE66" s="557"/>
      <c r="CDF66" s="557"/>
      <c r="CDG66" s="661"/>
      <c r="CDH66" s="556"/>
      <c r="CDI66" s="557"/>
      <c r="CDJ66" s="557"/>
      <c r="CDK66" s="557"/>
      <c r="CDL66" s="557"/>
      <c r="CDM66" s="557"/>
      <c r="CDN66" s="557"/>
      <c r="CDO66" s="557"/>
      <c r="CDP66" s="557"/>
      <c r="CDQ66" s="557"/>
      <c r="CDR66" s="557"/>
      <c r="CDS66" s="557"/>
      <c r="CDT66" s="557"/>
      <c r="CDU66" s="557"/>
      <c r="CDV66" s="557"/>
      <c r="CDW66" s="557"/>
      <c r="CDX66" s="557"/>
      <c r="CDY66" s="557"/>
      <c r="CDZ66" s="557"/>
      <c r="CEA66" s="661"/>
      <c r="CEB66" s="556"/>
      <c r="CEC66" s="557"/>
      <c r="CED66" s="557"/>
      <c r="CEE66" s="557"/>
      <c r="CEF66" s="557"/>
      <c r="CEG66" s="557"/>
      <c r="CEH66" s="557"/>
      <c r="CEI66" s="557"/>
      <c r="CEJ66" s="557"/>
      <c r="CEK66" s="557"/>
      <c r="CEL66" s="557"/>
      <c r="CEM66" s="557"/>
      <c r="CEN66" s="557"/>
      <c r="CEO66" s="557"/>
      <c r="CEP66" s="557"/>
      <c r="CEQ66" s="557"/>
      <c r="CER66" s="557"/>
      <c r="CES66" s="557"/>
      <c r="CET66" s="557"/>
      <c r="CEU66" s="661"/>
      <c r="CEV66" s="556"/>
      <c r="CEW66" s="557"/>
      <c r="CEX66" s="557"/>
      <c r="CEY66" s="557"/>
      <c r="CEZ66" s="557"/>
      <c r="CFA66" s="557"/>
      <c r="CFB66" s="557"/>
      <c r="CFC66" s="557"/>
      <c r="CFD66" s="557"/>
      <c r="CFE66" s="557"/>
      <c r="CFF66" s="557"/>
      <c r="CFG66" s="557"/>
      <c r="CFH66" s="557"/>
      <c r="CFI66" s="557"/>
      <c r="CFJ66" s="557"/>
      <c r="CFK66" s="557"/>
      <c r="CFL66" s="557"/>
      <c r="CFM66" s="557"/>
      <c r="CFN66" s="557"/>
      <c r="CFO66" s="661"/>
      <c r="CFP66" s="556"/>
      <c r="CFQ66" s="557"/>
      <c r="CFR66" s="557"/>
      <c r="CFS66" s="557"/>
      <c r="CFT66" s="557"/>
      <c r="CFU66" s="557"/>
      <c r="CFV66" s="557"/>
      <c r="CFW66" s="557"/>
      <c r="CFX66" s="557"/>
      <c r="CFY66" s="557"/>
      <c r="CFZ66" s="557"/>
      <c r="CGA66" s="557"/>
      <c r="CGB66" s="557"/>
      <c r="CGC66" s="557"/>
      <c r="CGD66" s="557"/>
      <c r="CGE66" s="557"/>
      <c r="CGF66" s="557"/>
      <c r="CGG66" s="557"/>
      <c r="CGH66" s="557"/>
      <c r="CGI66" s="661"/>
      <c r="CGJ66" s="556"/>
      <c r="CGK66" s="557"/>
      <c r="CGL66" s="557"/>
      <c r="CGM66" s="557"/>
      <c r="CGN66" s="557"/>
      <c r="CGO66" s="557"/>
      <c r="CGP66" s="557"/>
      <c r="CGQ66" s="557"/>
      <c r="CGR66" s="557"/>
      <c r="CGS66" s="557"/>
      <c r="CGT66" s="557"/>
      <c r="CGU66" s="557"/>
      <c r="CGV66" s="557"/>
      <c r="CGW66" s="557"/>
      <c r="CGX66" s="557"/>
      <c r="CGY66" s="557"/>
      <c r="CGZ66" s="557"/>
      <c r="CHA66" s="557"/>
      <c r="CHB66" s="557"/>
      <c r="CHC66" s="661"/>
      <c r="CHD66" s="556"/>
      <c r="CHE66" s="557"/>
      <c r="CHF66" s="557"/>
      <c r="CHG66" s="557"/>
      <c r="CHH66" s="557"/>
      <c r="CHI66" s="557"/>
      <c r="CHJ66" s="557"/>
      <c r="CHK66" s="557"/>
      <c r="CHL66" s="557"/>
      <c r="CHM66" s="557"/>
      <c r="CHN66" s="557"/>
      <c r="CHO66" s="557"/>
      <c r="CHP66" s="557"/>
      <c r="CHQ66" s="557"/>
      <c r="CHR66" s="557"/>
      <c r="CHS66" s="557"/>
      <c r="CHT66" s="557"/>
      <c r="CHU66" s="557"/>
      <c r="CHV66" s="557"/>
      <c r="CHW66" s="661"/>
      <c r="CHX66" s="556"/>
      <c r="CHY66" s="557"/>
      <c r="CHZ66" s="557"/>
      <c r="CIA66" s="557"/>
      <c r="CIB66" s="557"/>
      <c r="CIC66" s="557"/>
      <c r="CID66" s="557"/>
      <c r="CIE66" s="557"/>
      <c r="CIF66" s="557"/>
      <c r="CIG66" s="557"/>
      <c r="CIH66" s="557"/>
      <c r="CII66" s="557"/>
      <c r="CIJ66" s="557"/>
      <c r="CIK66" s="557"/>
      <c r="CIL66" s="557"/>
      <c r="CIM66" s="557"/>
      <c r="CIN66" s="557"/>
      <c r="CIO66" s="557"/>
      <c r="CIP66" s="557"/>
      <c r="CIQ66" s="661"/>
      <c r="CIR66" s="556"/>
      <c r="CIS66" s="557"/>
      <c r="CIT66" s="557"/>
      <c r="CIU66" s="557"/>
      <c r="CIV66" s="557"/>
      <c r="CIW66" s="557"/>
      <c r="CIX66" s="557"/>
      <c r="CIY66" s="557"/>
      <c r="CIZ66" s="557"/>
      <c r="CJA66" s="557"/>
      <c r="CJB66" s="557"/>
      <c r="CJC66" s="557"/>
      <c r="CJD66" s="557"/>
      <c r="CJE66" s="557"/>
      <c r="CJF66" s="557"/>
      <c r="CJG66" s="557"/>
      <c r="CJH66" s="557"/>
      <c r="CJI66" s="557"/>
      <c r="CJJ66" s="557"/>
      <c r="CJK66" s="661"/>
      <c r="CJL66" s="556"/>
      <c r="CJM66" s="557"/>
      <c r="CJN66" s="557"/>
      <c r="CJO66" s="557"/>
      <c r="CJP66" s="557"/>
      <c r="CJQ66" s="557"/>
      <c r="CJR66" s="557"/>
      <c r="CJS66" s="557"/>
      <c r="CJT66" s="557"/>
      <c r="CJU66" s="557"/>
      <c r="CJV66" s="557"/>
      <c r="CJW66" s="557"/>
      <c r="CJX66" s="557"/>
      <c r="CJY66" s="557"/>
      <c r="CJZ66" s="557"/>
      <c r="CKA66" s="557"/>
      <c r="CKB66" s="557"/>
      <c r="CKC66" s="557"/>
      <c r="CKD66" s="557"/>
      <c r="CKE66" s="661"/>
      <c r="CKF66" s="556"/>
      <c r="CKG66" s="557"/>
      <c r="CKH66" s="557"/>
      <c r="CKI66" s="557"/>
      <c r="CKJ66" s="557"/>
      <c r="CKK66" s="557"/>
      <c r="CKL66" s="557"/>
      <c r="CKM66" s="557"/>
      <c r="CKN66" s="557"/>
      <c r="CKO66" s="557"/>
      <c r="CKP66" s="557"/>
      <c r="CKQ66" s="557"/>
      <c r="CKR66" s="557"/>
      <c r="CKS66" s="557"/>
      <c r="CKT66" s="557"/>
      <c r="CKU66" s="557"/>
      <c r="CKV66" s="557"/>
      <c r="CKW66" s="557"/>
      <c r="CKX66" s="557"/>
      <c r="CKY66" s="661"/>
      <c r="CKZ66" s="556"/>
      <c r="CLA66" s="557"/>
      <c r="CLB66" s="557"/>
      <c r="CLC66" s="557"/>
      <c r="CLD66" s="557"/>
      <c r="CLE66" s="557"/>
      <c r="CLF66" s="557"/>
      <c r="CLG66" s="557"/>
      <c r="CLH66" s="557"/>
      <c r="CLI66" s="557"/>
      <c r="CLJ66" s="557"/>
      <c r="CLK66" s="557"/>
      <c r="CLL66" s="557"/>
      <c r="CLM66" s="557"/>
      <c r="CLN66" s="557"/>
      <c r="CLO66" s="557"/>
      <c r="CLP66" s="557"/>
      <c r="CLQ66" s="557"/>
      <c r="CLR66" s="557"/>
      <c r="CLS66" s="661"/>
      <c r="CLT66" s="556"/>
      <c r="CLU66" s="557"/>
      <c r="CLV66" s="557"/>
      <c r="CLW66" s="557"/>
      <c r="CLX66" s="557"/>
      <c r="CLY66" s="557"/>
      <c r="CLZ66" s="557"/>
      <c r="CMA66" s="557"/>
      <c r="CMB66" s="557"/>
      <c r="CMC66" s="557"/>
      <c r="CMD66" s="557"/>
      <c r="CME66" s="557"/>
      <c r="CMF66" s="557"/>
      <c r="CMG66" s="557"/>
      <c r="CMH66" s="557"/>
      <c r="CMI66" s="557"/>
      <c r="CMJ66" s="557"/>
      <c r="CMK66" s="557"/>
      <c r="CML66" s="557"/>
      <c r="CMM66" s="661"/>
      <c r="CMN66" s="556"/>
      <c r="CMO66" s="557"/>
      <c r="CMP66" s="557"/>
      <c r="CMQ66" s="557"/>
      <c r="CMR66" s="557"/>
      <c r="CMS66" s="557"/>
      <c r="CMT66" s="557"/>
      <c r="CMU66" s="557"/>
      <c r="CMV66" s="557"/>
      <c r="CMW66" s="557"/>
      <c r="CMX66" s="557"/>
      <c r="CMY66" s="557"/>
      <c r="CMZ66" s="557"/>
      <c r="CNA66" s="557"/>
      <c r="CNB66" s="557"/>
      <c r="CNC66" s="557"/>
      <c r="CND66" s="557"/>
      <c r="CNE66" s="557"/>
      <c r="CNF66" s="557"/>
      <c r="CNG66" s="661"/>
      <c r="CNH66" s="556"/>
      <c r="CNI66" s="557"/>
      <c r="CNJ66" s="557"/>
      <c r="CNK66" s="557"/>
      <c r="CNL66" s="557"/>
      <c r="CNM66" s="557"/>
      <c r="CNN66" s="557"/>
      <c r="CNO66" s="557"/>
      <c r="CNP66" s="557"/>
      <c r="CNQ66" s="557"/>
      <c r="CNR66" s="557"/>
      <c r="CNS66" s="557"/>
      <c r="CNT66" s="557"/>
      <c r="CNU66" s="557"/>
      <c r="CNV66" s="557"/>
      <c r="CNW66" s="557"/>
      <c r="CNX66" s="557"/>
      <c r="CNY66" s="557"/>
      <c r="CNZ66" s="557"/>
      <c r="COA66" s="661"/>
      <c r="COB66" s="556"/>
      <c r="COC66" s="557"/>
      <c r="COD66" s="557"/>
      <c r="COE66" s="557"/>
      <c r="COF66" s="557"/>
      <c r="COG66" s="557"/>
      <c r="COH66" s="557"/>
      <c r="COI66" s="557"/>
      <c r="COJ66" s="557"/>
      <c r="COK66" s="557"/>
      <c r="COL66" s="557"/>
      <c r="COM66" s="557"/>
      <c r="CON66" s="557"/>
      <c r="COO66" s="557"/>
      <c r="COP66" s="557"/>
      <c r="COQ66" s="557"/>
      <c r="COR66" s="557"/>
      <c r="COS66" s="557"/>
      <c r="COT66" s="557"/>
      <c r="COU66" s="661"/>
      <c r="COV66" s="556"/>
      <c r="COW66" s="557"/>
      <c r="COX66" s="557"/>
      <c r="COY66" s="557"/>
      <c r="COZ66" s="557"/>
      <c r="CPA66" s="557"/>
      <c r="CPB66" s="557"/>
      <c r="CPC66" s="557"/>
      <c r="CPD66" s="557"/>
      <c r="CPE66" s="557"/>
      <c r="CPF66" s="557"/>
      <c r="CPG66" s="557"/>
      <c r="CPH66" s="557"/>
      <c r="CPI66" s="557"/>
      <c r="CPJ66" s="557"/>
      <c r="CPK66" s="557"/>
      <c r="CPL66" s="557"/>
      <c r="CPM66" s="557"/>
      <c r="CPN66" s="557"/>
      <c r="CPO66" s="661"/>
      <c r="CPP66" s="556"/>
      <c r="CPQ66" s="557"/>
      <c r="CPR66" s="557"/>
      <c r="CPS66" s="557"/>
      <c r="CPT66" s="557"/>
      <c r="CPU66" s="557"/>
      <c r="CPV66" s="557"/>
      <c r="CPW66" s="557"/>
      <c r="CPX66" s="557"/>
      <c r="CPY66" s="557"/>
      <c r="CPZ66" s="557"/>
      <c r="CQA66" s="557"/>
      <c r="CQB66" s="557"/>
      <c r="CQC66" s="557"/>
      <c r="CQD66" s="557"/>
      <c r="CQE66" s="557"/>
      <c r="CQF66" s="557"/>
      <c r="CQG66" s="557"/>
      <c r="CQH66" s="557"/>
      <c r="CQI66" s="661"/>
      <c r="CQJ66" s="556"/>
      <c r="CQK66" s="557"/>
      <c r="CQL66" s="557"/>
      <c r="CQM66" s="557"/>
      <c r="CQN66" s="557"/>
      <c r="CQO66" s="557"/>
      <c r="CQP66" s="557"/>
      <c r="CQQ66" s="557"/>
      <c r="CQR66" s="557"/>
      <c r="CQS66" s="557"/>
      <c r="CQT66" s="557"/>
      <c r="CQU66" s="557"/>
      <c r="CQV66" s="557"/>
      <c r="CQW66" s="557"/>
      <c r="CQX66" s="557"/>
      <c r="CQY66" s="557"/>
      <c r="CQZ66" s="557"/>
      <c r="CRA66" s="557"/>
      <c r="CRB66" s="557"/>
      <c r="CRC66" s="661"/>
      <c r="CRD66" s="556"/>
      <c r="CRE66" s="557"/>
      <c r="CRF66" s="557"/>
      <c r="CRG66" s="557"/>
      <c r="CRH66" s="557"/>
      <c r="CRI66" s="557"/>
      <c r="CRJ66" s="557"/>
      <c r="CRK66" s="557"/>
      <c r="CRL66" s="557"/>
      <c r="CRM66" s="557"/>
      <c r="CRN66" s="557"/>
      <c r="CRO66" s="557"/>
      <c r="CRP66" s="557"/>
      <c r="CRQ66" s="557"/>
      <c r="CRR66" s="557"/>
      <c r="CRS66" s="557"/>
      <c r="CRT66" s="557"/>
      <c r="CRU66" s="557"/>
      <c r="CRV66" s="557"/>
      <c r="CRW66" s="661"/>
      <c r="CRX66" s="556"/>
      <c r="CRY66" s="557"/>
      <c r="CRZ66" s="557"/>
      <c r="CSA66" s="557"/>
      <c r="CSB66" s="557"/>
      <c r="CSC66" s="557"/>
      <c r="CSD66" s="557"/>
      <c r="CSE66" s="557"/>
      <c r="CSF66" s="557"/>
      <c r="CSG66" s="557"/>
      <c r="CSH66" s="557"/>
      <c r="CSI66" s="557"/>
      <c r="CSJ66" s="557"/>
      <c r="CSK66" s="557"/>
      <c r="CSL66" s="557"/>
      <c r="CSM66" s="557"/>
      <c r="CSN66" s="557"/>
      <c r="CSO66" s="557"/>
      <c r="CSP66" s="557"/>
      <c r="CSQ66" s="661"/>
      <c r="CSR66" s="556"/>
      <c r="CSS66" s="557"/>
      <c r="CST66" s="557"/>
      <c r="CSU66" s="557"/>
      <c r="CSV66" s="557"/>
      <c r="CSW66" s="557"/>
      <c r="CSX66" s="557"/>
      <c r="CSY66" s="557"/>
      <c r="CSZ66" s="557"/>
      <c r="CTA66" s="557"/>
      <c r="CTB66" s="557"/>
      <c r="CTC66" s="557"/>
      <c r="CTD66" s="557"/>
      <c r="CTE66" s="557"/>
      <c r="CTF66" s="557"/>
      <c r="CTG66" s="557"/>
      <c r="CTH66" s="557"/>
      <c r="CTI66" s="557"/>
      <c r="CTJ66" s="557"/>
      <c r="CTK66" s="661"/>
      <c r="CTL66" s="556"/>
      <c r="CTM66" s="557"/>
      <c r="CTN66" s="557"/>
      <c r="CTO66" s="557"/>
      <c r="CTP66" s="557"/>
      <c r="CTQ66" s="557"/>
      <c r="CTR66" s="557"/>
      <c r="CTS66" s="557"/>
      <c r="CTT66" s="557"/>
      <c r="CTU66" s="557"/>
      <c r="CTV66" s="557"/>
      <c r="CTW66" s="557"/>
      <c r="CTX66" s="557"/>
      <c r="CTY66" s="557"/>
      <c r="CTZ66" s="557"/>
      <c r="CUA66" s="557"/>
      <c r="CUB66" s="557"/>
      <c r="CUC66" s="557"/>
      <c r="CUD66" s="557"/>
      <c r="CUE66" s="661"/>
      <c r="CUF66" s="556"/>
      <c r="CUG66" s="557"/>
      <c r="CUH66" s="557"/>
      <c r="CUI66" s="557"/>
      <c r="CUJ66" s="557"/>
      <c r="CUK66" s="557"/>
      <c r="CUL66" s="557"/>
      <c r="CUM66" s="557"/>
      <c r="CUN66" s="557"/>
      <c r="CUO66" s="557"/>
      <c r="CUP66" s="557"/>
      <c r="CUQ66" s="557"/>
      <c r="CUR66" s="557"/>
      <c r="CUS66" s="557"/>
      <c r="CUT66" s="557"/>
      <c r="CUU66" s="557"/>
      <c r="CUV66" s="557"/>
      <c r="CUW66" s="557"/>
      <c r="CUX66" s="557"/>
      <c r="CUY66" s="661"/>
      <c r="CUZ66" s="556"/>
      <c r="CVA66" s="557"/>
      <c r="CVB66" s="557"/>
      <c r="CVC66" s="557"/>
      <c r="CVD66" s="557"/>
      <c r="CVE66" s="557"/>
      <c r="CVF66" s="557"/>
      <c r="CVG66" s="557"/>
      <c r="CVH66" s="557"/>
      <c r="CVI66" s="557"/>
      <c r="CVJ66" s="557"/>
      <c r="CVK66" s="557"/>
      <c r="CVL66" s="557"/>
      <c r="CVM66" s="557"/>
      <c r="CVN66" s="557"/>
      <c r="CVO66" s="557"/>
      <c r="CVP66" s="557"/>
      <c r="CVQ66" s="557"/>
      <c r="CVR66" s="557"/>
      <c r="CVS66" s="661"/>
      <c r="CVT66" s="556"/>
      <c r="CVU66" s="557"/>
      <c r="CVV66" s="557"/>
      <c r="CVW66" s="557"/>
      <c r="CVX66" s="557"/>
      <c r="CVY66" s="557"/>
      <c r="CVZ66" s="557"/>
      <c r="CWA66" s="557"/>
      <c r="CWB66" s="557"/>
      <c r="CWC66" s="557"/>
      <c r="CWD66" s="557"/>
      <c r="CWE66" s="557"/>
      <c r="CWF66" s="557"/>
      <c r="CWG66" s="557"/>
      <c r="CWH66" s="557"/>
      <c r="CWI66" s="557"/>
      <c r="CWJ66" s="557"/>
      <c r="CWK66" s="557"/>
      <c r="CWL66" s="557"/>
      <c r="CWM66" s="661"/>
      <c r="CWN66" s="556"/>
      <c r="CWO66" s="557"/>
      <c r="CWP66" s="557"/>
      <c r="CWQ66" s="557"/>
      <c r="CWR66" s="557"/>
      <c r="CWS66" s="557"/>
      <c r="CWT66" s="557"/>
      <c r="CWU66" s="557"/>
      <c r="CWV66" s="557"/>
      <c r="CWW66" s="557"/>
      <c r="CWX66" s="557"/>
      <c r="CWY66" s="557"/>
      <c r="CWZ66" s="557"/>
      <c r="CXA66" s="557"/>
      <c r="CXB66" s="557"/>
      <c r="CXC66" s="557"/>
      <c r="CXD66" s="557"/>
      <c r="CXE66" s="557"/>
      <c r="CXF66" s="557"/>
      <c r="CXG66" s="661"/>
      <c r="CXH66" s="556"/>
      <c r="CXI66" s="557"/>
      <c r="CXJ66" s="557"/>
      <c r="CXK66" s="557"/>
      <c r="CXL66" s="557"/>
      <c r="CXM66" s="557"/>
      <c r="CXN66" s="557"/>
      <c r="CXO66" s="557"/>
      <c r="CXP66" s="557"/>
      <c r="CXQ66" s="557"/>
      <c r="CXR66" s="557"/>
      <c r="CXS66" s="557"/>
      <c r="CXT66" s="557"/>
      <c r="CXU66" s="557"/>
      <c r="CXV66" s="557"/>
      <c r="CXW66" s="557"/>
      <c r="CXX66" s="557"/>
      <c r="CXY66" s="557"/>
      <c r="CXZ66" s="557"/>
      <c r="CYA66" s="661"/>
      <c r="CYB66" s="556"/>
      <c r="CYC66" s="557"/>
      <c r="CYD66" s="557"/>
      <c r="CYE66" s="557"/>
      <c r="CYF66" s="557"/>
      <c r="CYG66" s="557"/>
      <c r="CYH66" s="557"/>
      <c r="CYI66" s="557"/>
      <c r="CYJ66" s="557"/>
      <c r="CYK66" s="557"/>
      <c r="CYL66" s="557"/>
      <c r="CYM66" s="557"/>
      <c r="CYN66" s="557"/>
      <c r="CYO66" s="557"/>
      <c r="CYP66" s="557"/>
      <c r="CYQ66" s="557"/>
      <c r="CYR66" s="557"/>
      <c r="CYS66" s="557"/>
      <c r="CYT66" s="557"/>
      <c r="CYU66" s="661"/>
      <c r="CYV66" s="556"/>
      <c r="CYW66" s="557"/>
      <c r="CYX66" s="557"/>
      <c r="CYY66" s="557"/>
      <c r="CYZ66" s="557"/>
      <c r="CZA66" s="557"/>
      <c r="CZB66" s="557"/>
      <c r="CZC66" s="557"/>
      <c r="CZD66" s="557"/>
      <c r="CZE66" s="557"/>
      <c r="CZF66" s="557"/>
      <c r="CZG66" s="557"/>
      <c r="CZH66" s="557"/>
      <c r="CZI66" s="557"/>
      <c r="CZJ66" s="557"/>
      <c r="CZK66" s="557"/>
      <c r="CZL66" s="557"/>
      <c r="CZM66" s="557"/>
      <c r="CZN66" s="557"/>
      <c r="CZO66" s="661"/>
      <c r="CZP66" s="556"/>
      <c r="CZQ66" s="557"/>
      <c r="CZR66" s="557"/>
      <c r="CZS66" s="557"/>
      <c r="CZT66" s="557"/>
      <c r="CZU66" s="557"/>
      <c r="CZV66" s="557"/>
      <c r="CZW66" s="557"/>
      <c r="CZX66" s="557"/>
      <c r="CZY66" s="557"/>
      <c r="CZZ66" s="557"/>
      <c r="DAA66" s="557"/>
      <c r="DAB66" s="557"/>
      <c r="DAC66" s="557"/>
      <c r="DAD66" s="557"/>
      <c r="DAE66" s="557"/>
      <c r="DAF66" s="557"/>
      <c r="DAG66" s="557"/>
      <c r="DAH66" s="557"/>
      <c r="DAI66" s="661"/>
      <c r="DAJ66" s="556"/>
      <c r="DAK66" s="557"/>
      <c r="DAL66" s="557"/>
      <c r="DAM66" s="557"/>
      <c r="DAN66" s="557"/>
      <c r="DAO66" s="557"/>
      <c r="DAP66" s="557"/>
      <c r="DAQ66" s="557"/>
      <c r="DAR66" s="557"/>
      <c r="DAS66" s="557"/>
      <c r="DAT66" s="557"/>
      <c r="DAU66" s="557"/>
      <c r="DAV66" s="557"/>
      <c r="DAW66" s="557"/>
      <c r="DAX66" s="557"/>
      <c r="DAY66" s="557"/>
      <c r="DAZ66" s="557"/>
      <c r="DBA66" s="557"/>
      <c r="DBB66" s="557"/>
      <c r="DBC66" s="661"/>
      <c r="DBD66" s="556"/>
      <c r="DBE66" s="557"/>
      <c r="DBF66" s="557"/>
      <c r="DBG66" s="557"/>
      <c r="DBH66" s="557"/>
      <c r="DBI66" s="557"/>
      <c r="DBJ66" s="557"/>
      <c r="DBK66" s="557"/>
      <c r="DBL66" s="557"/>
      <c r="DBM66" s="557"/>
      <c r="DBN66" s="557"/>
      <c r="DBO66" s="557"/>
      <c r="DBP66" s="557"/>
      <c r="DBQ66" s="557"/>
      <c r="DBR66" s="557"/>
      <c r="DBS66" s="557"/>
      <c r="DBT66" s="557"/>
      <c r="DBU66" s="557"/>
      <c r="DBV66" s="557"/>
      <c r="DBW66" s="661"/>
      <c r="DBX66" s="556"/>
      <c r="DBY66" s="557"/>
      <c r="DBZ66" s="557"/>
      <c r="DCA66" s="557"/>
      <c r="DCB66" s="557"/>
      <c r="DCC66" s="557"/>
      <c r="DCD66" s="557"/>
      <c r="DCE66" s="557"/>
      <c r="DCF66" s="557"/>
      <c r="DCG66" s="557"/>
      <c r="DCH66" s="557"/>
      <c r="DCI66" s="557"/>
      <c r="DCJ66" s="557"/>
      <c r="DCK66" s="557"/>
      <c r="DCL66" s="557"/>
      <c r="DCM66" s="557"/>
      <c r="DCN66" s="557"/>
      <c r="DCO66" s="557"/>
      <c r="DCP66" s="557"/>
      <c r="DCQ66" s="661"/>
      <c r="DCR66" s="556"/>
      <c r="DCS66" s="557"/>
      <c r="DCT66" s="557"/>
      <c r="DCU66" s="557"/>
      <c r="DCV66" s="557"/>
      <c r="DCW66" s="557"/>
      <c r="DCX66" s="557"/>
      <c r="DCY66" s="557"/>
      <c r="DCZ66" s="557"/>
      <c r="DDA66" s="557"/>
      <c r="DDB66" s="557"/>
      <c r="DDC66" s="557"/>
      <c r="DDD66" s="557"/>
      <c r="DDE66" s="557"/>
      <c r="DDF66" s="557"/>
      <c r="DDG66" s="557"/>
      <c r="DDH66" s="557"/>
      <c r="DDI66" s="557"/>
      <c r="DDJ66" s="557"/>
      <c r="DDK66" s="661"/>
      <c r="DDL66" s="556"/>
      <c r="DDM66" s="557"/>
      <c r="DDN66" s="557"/>
      <c r="DDO66" s="557"/>
      <c r="DDP66" s="557"/>
      <c r="DDQ66" s="557"/>
      <c r="DDR66" s="557"/>
      <c r="DDS66" s="557"/>
      <c r="DDT66" s="557"/>
      <c r="DDU66" s="557"/>
      <c r="DDV66" s="557"/>
      <c r="DDW66" s="557"/>
      <c r="DDX66" s="557"/>
      <c r="DDY66" s="557"/>
      <c r="DDZ66" s="557"/>
      <c r="DEA66" s="557"/>
      <c r="DEB66" s="557"/>
      <c r="DEC66" s="557"/>
      <c r="DED66" s="557"/>
      <c r="DEE66" s="661"/>
      <c r="DEF66" s="556"/>
      <c r="DEG66" s="557"/>
      <c r="DEH66" s="557"/>
      <c r="DEI66" s="557"/>
      <c r="DEJ66" s="557"/>
      <c r="DEK66" s="557"/>
      <c r="DEL66" s="557"/>
      <c r="DEM66" s="557"/>
      <c r="DEN66" s="557"/>
      <c r="DEO66" s="557"/>
      <c r="DEP66" s="557"/>
      <c r="DEQ66" s="557"/>
      <c r="DER66" s="557"/>
      <c r="DES66" s="557"/>
      <c r="DET66" s="557"/>
      <c r="DEU66" s="557"/>
      <c r="DEV66" s="557"/>
      <c r="DEW66" s="557"/>
      <c r="DEX66" s="557"/>
      <c r="DEY66" s="661"/>
      <c r="DEZ66" s="556"/>
      <c r="DFA66" s="557"/>
      <c r="DFB66" s="557"/>
      <c r="DFC66" s="557"/>
      <c r="DFD66" s="557"/>
      <c r="DFE66" s="557"/>
      <c r="DFF66" s="557"/>
      <c r="DFG66" s="557"/>
      <c r="DFH66" s="557"/>
      <c r="DFI66" s="557"/>
      <c r="DFJ66" s="557"/>
      <c r="DFK66" s="557"/>
      <c r="DFL66" s="557"/>
      <c r="DFM66" s="557"/>
      <c r="DFN66" s="557"/>
      <c r="DFO66" s="557"/>
      <c r="DFP66" s="557"/>
      <c r="DFQ66" s="557"/>
      <c r="DFR66" s="557"/>
      <c r="DFS66" s="661"/>
      <c r="DFT66" s="556"/>
      <c r="DFU66" s="557"/>
      <c r="DFV66" s="557"/>
      <c r="DFW66" s="557"/>
      <c r="DFX66" s="557"/>
      <c r="DFY66" s="557"/>
      <c r="DFZ66" s="557"/>
      <c r="DGA66" s="557"/>
      <c r="DGB66" s="557"/>
      <c r="DGC66" s="557"/>
      <c r="DGD66" s="557"/>
      <c r="DGE66" s="557"/>
      <c r="DGF66" s="557"/>
      <c r="DGG66" s="557"/>
      <c r="DGH66" s="557"/>
      <c r="DGI66" s="557"/>
      <c r="DGJ66" s="557"/>
      <c r="DGK66" s="557"/>
      <c r="DGL66" s="557"/>
      <c r="DGM66" s="661"/>
      <c r="DGN66" s="556"/>
      <c r="DGO66" s="557"/>
      <c r="DGP66" s="557"/>
      <c r="DGQ66" s="557"/>
      <c r="DGR66" s="557"/>
      <c r="DGS66" s="557"/>
      <c r="DGT66" s="557"/>
      <c r="DGU66" s="557"/>
      <c r="DGV66" s="557"/>
      <c r="DGW66" s="557"/>
      <c r="DGX66" s="557"/>
      <c r="DGY66" s="557"/>
      <c r="DGZ66" s="557"/>
      <c r="DHA66" s="557"/>
      <c r="DHB66" s="557"/>
      <c r="DHC66" s="557"/>
      <c r="DHD66" s="557"/>
      <c r="DHE66" s="557"/>
      <c r="DHF66" s="557"/>
      <c r="DHG66" s="661"/>
      <c r="DHH66" s="556"/>
      <c r="DHI66" s="557"/>
      <c r="DHJ66" s="557"/>
      <c r="DHK66" s="557"/>
      <c r="DHL66" s="557"/>
      <c r="DHM66" s="557"/>
      <c r="DHN66" s="557"/>
      <c r="DHO66" s="557"/>
      <c r="DHP66" s="557"/>
      <c r="DHQ66" s="557"/>
      <c r="DHR66" s="557"/>
      <c r="DHS66" s="557"/>
      <c r="DHT66" s="557"/>
      <c r="DHU66" s="557"/>
      <c r="DHV66" s="557"/>
      <c r="DHW66" s="557"/>
      <c r="DHX66" s="557"/>
      <c r="DHY66" s="557"/>
      <c r="DHZ66" s="557"/>
      <c r="DIA66" s="661"/>
      <c r="DIB66" s="556"/>
      <c r="DIC66" s="557"/>
      <c r="DID66" s="557"/>
      <c r="DIE66" s="557"/>
      <c r="DIF66" s="557"/>
      <c r="DIG66" s="557"/>
      <c r="DIH66" s="557"/>
      <c r="DII66" s="557"/>
      <c r="DIJ66" s="557"/>
      <c r="DIK66" s="557"/>
      <c r="DIL66" s="557"/>
      <c r="DIM66" s="557"/>
      <c r="DIN66" s="557"/>
      <c r="DIO66" s="557"/>
      <c r="DIP66" s="557"/>
      <c r="DIQ66" s="557"/>
      <c r="DIR66" s="557"/>
      <c r="DIS66" s="557"/>
      <c r="DIT66" s="557"/>
      <c r="DIU66" s="661"/>
      <c r="DIV66" s="556"/>
      <c r="DIW66" s="557"/>
      <c r="DIX66" s="557"/>
      <c r="DIY66" s="557"/>
      <c r="DIZ66" s="557"/>
      <c r="DJA66" s="557"/>
      <c r="DJB66" s="557"/>
      <c r="DJC66" s="557"/>
      <c r="DJD66" s="557"/>
      <c r="DJE66" s="557"/>
      <c r="DJF66" s="557"/>
      <c r="DJG66" s="557"/>
      <c r="DJH66" s="557"/>
      <c r="DJI66" s="557"/>
      <c r="DJJ66" s="557"/>
      <c r="DJK66" s="557"/>
      <c r="DJL66" s="557"/>
      <c r="DJM66" s="557"/>
      <c r="DJN66" s="557"/>
      <c r="DJO66" s="661"/>
      <c r="DJP66" s="556"/>
      <c r="DJQ66" s="557"/>
      <c r="DJR66" s="557"/>
      <c r="DJS66" s="557"/>
      <c r="DJT66" s="557"/>
      <c r="DJU66" s="557"/>
      <c r="DJV66" s="557"/>
      <c r="DJW66" s="557"/>
      <c r="DJX66" s="557"/>
      <c r="DJY66" s="557"/>
      <c r="DJZ66" s="557"/>
      <c r="DKA66" s="557"/>
      <c r="DKB66" s="557"/>
      <c r="DKC66" s="557"/>
      <c r="DKD66" s="557"/>
      <c r="DKE66" s="557"/>
      <c r="DKF66" s="557"/>
      <c r="DKG66" s="557"/>
      <c r="DKH66" s="557"/>
      <c r="DKI66" s="661"/>
      <c r="DKJ66" s="556"/>
      <c r="DKK66" s="557"/>
      <c r="DKL66" s="557"/>
      <c r="DKM66" s="557"/>
      <c r="DKN66" s="557"/>
      <c r="DKO66" s="557"/>
      <c r="DKP66" s="557"/>
      <c r="DKQ66" s="557"/>
      <c r="DKR66" s="557"/>
      <c r="DKS66" s="557"/>
      <c r="DKT66" s="557"/>
      <c r="DKU66" s="557"/>
      <c r="DKV66" s="557"/>
      <c r="DKW66" s="557"/>
      <c r="DKX66" s="557"/>
      <c r="DKY66" s="557"/>
      <c r="DKZ66" s="557"/>
      <c r="DLA66" s="557"/>
      <c r="DLB66" s="557"/>
      <c r="DLC66" s="661"/>
      <c r="DLD66" s="556"/>
      <c r="DLE66" s="557"/>
      <c r="DLF66" s="557"/>
      <c r="DLG66" s="557"/>
      <c r="DLH66" s="557"/>
      <c r="DLI66" s="557"/>
      <c r="DLJ66" s="557"/>
      <c r="DLK66" s="557"/>
      <c r="DLL66" s="557"/>
      <c r="DLM66" s="557"/>
      <c r="DLN66" s="557"/>
      <c r="DLO66" s="557"/>
      <c r="DLP66" s="557"/>
      <c r="DLQ66" s="557"/>
      <c r="DLR66" s="557"/>
      <c r="DLS66" s="557"/>
      <c r="DLT66" s="557"/>
      <c r="DLU66" s="557"/>
      <c r="DLV66" s="557"/>
      <c r="DLW66" s="661"/>
      <c r="DLX66" s="556"/>
      <c r="DLY66" s="557"/>
      <c r="DLZ66" s="557"/>
      <c r="DMA66" s="557"/>
      <c r="DMB66" s="557"/>
      <c r="DMC66" s="557"/>
      <c r="DMD66" s="557"/>
      <c r="DME66" s="557"/>
      <c r="DMF66" s="557"/>
      <c r="DMG66" s="557"/>
      <c r="DMH66" s="557"/>
      <c r="DMI66" s="557"/>
      <c r="DMJ66" s="557"/>
      <c r="DMK66" s="557"/>
      <c r="DML66" s="557"/>
      <c r="DMM66" s="557"/>
      <c r="DMN66" s="557"/>
      <c r="DMO66" s="557"/>
      <c r="DMP66" s="557"/>
      <c r="DMQ66" s="661"/>
      <c r="DMR66" s="556"/>
      <c r="DMS66" s="557"/>
      <c r="DMT66" s="557"/>
      <c r="DMU66" s="557"/>
      <c r="DMV66" s="557"/>
      <c r="DMW66" s="557"/>
      <c r="DMX66" s="557"/>
      <c r="DMY66" s="557"/>
      <c r="DMZ66" s="557"/>
      <c r="DNA66" s="557"/>
      <c r="DNB66" s="557"/>
      <c r="DNC66" s="557"/>
      <c r="DND66" s="557"/>
      <c r="DNE66" s="557"/>
      <c r="DNF66" s="557"/>
      <c r="DNG66" s="557"/>
      <c r="DNH66" s="557"/>
      <c r="DNI66" s="557"/>
      <c r="DNJ66" s="557"/>
      <c r="DNK66" s="661"/>
      <c r="DNL66" s="556"/>
      <c r="DNM66" s="557"/>
      <c r="DNN66" s="557"/>
      <c r="DNO66" s="557"/>
      <c r="DNP66" s="557"/>
      <c r="DNQ66" s="557"/>
      <c r="DNR66" s="557"/>
      <c r="DNS66" s="557"/>
      <c r="DNT66" s="557"/>
      <c r="DNU66" s="557"/>
      <c r="DNV66" s="557"/>
      <c r="DNW66" s="557"/>
      <c r="DNX66" s="557"/>
      <c r="DNY66" s="557"/>
      <c r="DNZ66" s="557"/>
      <c r="DOA66" s="557"/>
      <c r="DOB66" s="557"/>
      <c r="DOC66" s="557"/>
      <c r="DOD66" s="557"/>
      <c r="DOE66" s="661"/>
      <c r="DOF66" s="556"/>
      <c r="DOG66" s="557"/>
      <c r="DOH66" s="557"/>
      <c r="DOI66" s="557"/>
      <c r="DOJ66" s="557"/>
      <c r="DOK66" s="557"/>
      <c r="DOL66" s="557"/>
      <c r="DOM66" s="557"/>
      <c r="DON66" s="557"/>
      <c r="DOO66" s="557"/>
      <c r="DOP66" s="557"/>
      <c r="DOQ66" s="557"/>
      <c r="DOR66" s="557"/>
      <c r="DOS66" s="557"/>
      <c r="DOT66" s="557"/>
      <c r="DOU66" s="557"/>
      <c r="DOV66" s="557"/>
      <c r="DOW66" s="557"/>
      <c r="DOX66" s="557"/>
      <c r="DOY66" s="661"/>
      <c r="DOZ66" s="556"/>
      <c r="DPA66" s="557"/>
      <c r="DPB66" s="557"/>
      <c r="DPC66" s="557"/>
      <c r="DPD66" s="557"/>
      <c r="DPE66" s="557"/>
      <c r="DPF66" s="557"/>
      <c r="DPG66" s="557"/>
      <c r="DPH66" s="557"/>
      <c r="DPI66" s="557"/>
      <c r="DPJ66" s="557"/>
      <c r="DPK66" s="557"/>
      <c r="DPL66" s="557"/>
      <c r="DPM66" s="557"/>
      <c r="DPN66" s="557"/>
      <c r="DPO66" s="557"/>
      <c r="DPP66" s="557"/>
      <c r="DPQ66" s="557"/>
      <c r="DPR66" s="557"/>
      <c r="DPS66" s="661"/>
      <c r="DPT66" s="556"/>
      <c r="DPU66" s="557"/>
      <c r="DPV66" s="557"/>
      <c r="DPW66" s="557"/>
      <c r="DPX66" s="557"/>
      <c r="DPY66" s="557"/>
      <c r="DPZ66" s="557"/>
      <c r="DQA66" s="557"/>
      <c r="DQB66" s="557"/>
      <c r="DQC66" s="557"/>
      <c r="DQD66" s="557"/>
      <c r="DQE66" s="557"/>
      <c r="DQF66" s="557"/>
      <c r="DQG66" s="557"/>
      <c r="DQH66" s="557"/>
      <c r="DQI66" s="557"/>
      <c r="DQJ66" s="557"/>
      <c r="DQK66" s="557"/>
      <c r="DQL66" s="557"/>
      <c r="DQM66" s="661"/>
      <c r="DQN66" s="556"/>
      <c r="DQO66" s="557"/>
      <c r="DQP66" s="557"/>
      <c r="DQQ66" s="557"/>
      <c r="DQR66" s="557"/>
      <c r="DQS66" s="557"/>
      <c r="DQT66" s="557"/>
      <c r="DQU66" s="557"/>
      <c r="DQV66" s="557"/>
      <c r="DQW66" s="557"/>
      <c r="DQX66" s="557"/>
      <c r="DQY66" s="557"/>
      <c r="DQZ66" s="557"/>
      <c r="DRA66" s="557"/>
      <c r="DRB66" s="557"/>
      <c r="DRC66" s="557"/>
      <c r="DRD66" s="557"/>
      <c r="DRE66" s="557"/>
      <c r="DRF66" s="557"/>
      <c r="DRG66" s="661"/>
      <c r="DRH66" s="556"/>
      <c r="DRI66" s="557"/>
      <c r="DRJ66" s="557"/>
      <c r="DRK66" s="557"/>
      <c r="DRL66" s="557"/>
      <c r="DRM66" s="557"/>
      <c r="DRN66" s="557"/>
      <c r="DRO66" s="557"/>
      <c r="DRP66" s="557"/>
      <c r="DRQ66" s="557"/>
      <c r="DRR66" s="557"/>
      <c r="DRS66" s="557"/>
      <c r="DRT66" s="557"/>
      <c r="DRU66" s="557"/>
      <c r="DRV66" s="557"/>
      <c r="DRW66" s="557"/>
      <c r="DRX66" s="557"/>
      <c r="DRY66" s="557"/>
      <c r="DRZ66" s="557"/>
      <c r="DSA66" s="661"/>
      <c r="DSB66" s="556"/>
      <c r="DSC66" s="557"/>
      <c r="DSD66" s="557"/>
      <c r="DSE66" s="557"/>
      <c r="DSF66" s="557"/>
      <c r="DSG66" s="557"/>
      <c r="DSH66" s="557"/>
      <c r="DSI66" s="557"/>
      <c r="DSJ66" s="557"/>
      <c r="DSK66" s="557"/>
      <c r="DSL66" s="557"/>
      <c r="DSM66" s="557"/>
      <c r="DSN66" s="557"/>
      <c r="DSO66" s="557"/>
      <c r="DSP66" s="557"/>
      <c r="DSQ66" s="557"/>
      <c r="DSR66" s="557"/>
      <c r="DSS66" s="557"/>
      <c r="DST66" s="557"/>
      <c r="DSU66" s="661"/>
      <c r="DSV66" s="556"/>
      <c r="DSW66" s="557"/>
      <c r="DSX66" s="557"/>
      <c r="DSY66" s="557"/>
      <c r="DSZ66" s="557"/>
      <c r="DTA66" s="557"/>
      <c r="DTB66" s="557"/>
      <c r="DTC66" s="557"/>
      <c r="DTD66" s="557"/>
      <c r="DTE66" s="557"/>
      <c r="DTF66" s="557"/>
      <c r="DTG66" s="557"/>
      <c r="DTH66" s="557"/>
      <c r="DTI66" s="557"/>
      <c r="DTJ66" s="557"/>
      <c r="DTK66" s="557"/>
      <c r="DTL66" s="557"/>
      <c r="DTM66" s="557"/>
      <c r="DTN66" s="557"/>
      <c r="DTO66" s="661"/>
      <c r="DTP66" s="556"/>
      <c r="DTQ66" s="557"/>
      <c r="DTR66" s="557"/>
      <c r="DTS66" s="557"/>
      <c r="DTT66" s="557"/>
      <c r="DTU66" s="557"/>
      <c r="DTV66" s="557"/>
      <c r="DTW66" s="557"/>
      <c r="DTX66" s="557"/>
      <c r="DTY66" s="557"/>
      <c r="DTZ66" s="557"/>
      <c r="DUA66" s="557"/>
      <c r="DUB66" s="557"/>
      <c r="DUC66" s="557"/>
      <c r="DUD66" s="557"/>
      <c r="DUE66" s="557"/>
      <c r="DUF66" s="557"/>
      <c r="DUG66" s="557"/>
      <c r="DUH66" s="557"/>
      <c r="DUI66" s="661"/>
      <c r="DUJ66" s="556"/>
      <c r="DUK66" s="557"/>
      <c r="DUL66" s="557"/>
      <c r="DUM66" s="557"/>
      <c r="DUN66" s="557"/>
      <c r="DUO66" s="557"/>
      <c r="DUP66" s="557"/>
      <c r="DUQ66" s="557"/>
      <c r="DUR66" s="557"/>
      <c r="DUS66" s="557"/>
      <c r="DUT66" s="557"/>
      <c r="DUU66" s="557"/>
      <c r="DUV66" s="557"/>
      <c r="DUW66" s="557"/>
      <c r="DUX66" s="557"/>
      <c r="DUY66" s="557"/>
      <c r="DUZ66" s="557"/>
      <c r="DVA66" s="557"/>
      <c r="DVB66" s="557"/>
      <c r="DVC66" s="661"/>
      <c r="DVD66" s="556"/>
      <c r="DVE66" s="557"/>
      <c r="DVF66" s="557"/>
      <c r="DVG66" s="557"/>
      <c r="DVH66" s="557"/>
      <c r="DVI66" s="557"/>
      <c r="DVJ66" s="557"/>
      <c r="DVK66" s="557"/>
      <c r="DVL66" s="557"/>
      <c r="DVM66" s="557"/>
      <c r="DVN66" s="557"/>
      <c r="DVO66" s="557"/>
      <c r="DVP66" s="557"/>
      <c r="DVQ66" s="557"/>
      <c r="DVR66" s="557"/>
      <c r="DVS66" s="557"/>
      <c r="DVT66" s="557"/>
      <c r="DVU66" s="557"/>
      <c r="DVV66" s="557"/>
      <c r="DVW66" s="661"/>
      <c r="DVX66" s="556"/>
      <c r="DVY66" s="557"/>
      <c r="DVZ66" s="557"/>
      <c r="DWA66" s="557"/>
      <c r="DWB66" s="557"/>
      <c r="DWC66" s="557"/>
      <c r="DWD66" s="557"/>
      <c r="DWE66" s="557"/>
      <c r="DWF66" s="557"/>
      <c r="DWG66" s="557"/>
      <c r="DWH66" s="557"/>
      <c r="DWI66" s="557"/>
      <c r="DWJ66" s="557"/>
      <c r="DWK66" s="557"/>
      <c r="DWL66" s="557"/>
      <c r="DWM66" s="557"/>
      <c r="DWN66" s="557"/>
      <c r="DWO66" s="557"/>
      <c r="DWP66" s="557"/>
      <c r="DWQ66" s="661"/>
      <c r="DWR66" s="556"/>
      <c r="DWS66" s="557"/>
      <c r="DWT66" s="557"/>
      <c r="DWU66" s="557"/>
      <c r="DWV66" s="557"/>
      <c r="DWW66" s="557"/>
      <c r="DWX66" s="557"/>
      <c r="DWY66" s="557"/>
      <c r="DWZ66" s="557"/>
      <c r="DXA66" s="557"/>
      <c r="DXB66" s="557"/>
      <c r="DXC66" s="557"/>
      <c r="DXD66" s="557"/>
      <c r="DXE66" s="557"/>
      <c r="DXF66" s="557"/>
      <c r="DXG66" s="557"/>
      <c r="DXH66" s="557"/>
      <c r="DXI66" s="557"/>
      <c r="DXJ66" s="557"/>
      <c r="DXK66" s="661"/>
      <c r="DXL66" s="556"/>
      <c r="DXM66" s="557"/>
      <c r="DXN66" s="557"/>
      <c r="DXO66" s="557"/>
      <c r="DXP66" s="557"/>
      <c r="DXQ66" s="557"/>
      <c r="DXR66" s="557"/>
      <c r="DXS66" s="557"/>
      <c r="DXT66" s="557"/>
      <c r="DXU66" s="557"/>
      <c r="DXV66" s="557"/>
      <c r="DXW66" s="557"/>
      <c r="DXX66" s="557"/>
      <c r="DXY66" s="557"/>
      <c r="DXZ66" s="557"/>
      <c r="DYA66" s="557"/>
      <c r="DYB66" s="557"/>
      <c r="DYC66" s="557"/>
      <c r="DYD66" s="557"/>
      <c r="DYE66" s="661"/>
      <c r="DYF66" s="556"/>
      <c r="DYG66" s="557"/>
      <c r="DYH66" s="557"/>
      <c r="DYI66" s="557"/>
      <c r="DYJ66" s="557"/>
      <c r="DYK66" s="557"/>
      <c r="DYL66" s="557"/>
      <c r="DYM66" s="557"/>
      <c r="DYN66" s="557"/>
      <c r="DYO66" s="557"/>
      <c r="DYP66" s="557"/>
      <c r="DYQ66" s="557"/>
      <c r="DYR66" s="557"/>
      <c r="DYS66" s="557"/>
      <c r="DYT66" s="557"/>
      <c r="DYU66" s="557"/>
      <c r="DYV66" s="557"/>
      <c r="DYW66" s="557"/>
      <c r="DYX66" s="557"/>
      <c r="DYY66" s="661"/>
      <c r="DYZ66" s="556"/>
      <c r="DZA66" s="557"/>
      <c r="DZB66" s="557"/>
      <c r="DZC66" s="557"/>
      <c r="DZD66" s="557"/>
      <c r="DZE66" s="557"/>
      <c r="DZF66" s="557"/>
      <c r="DZG66" s="557"/>
      <c r="DZH66" s="557"/>
      <c r="DZI66" s="557"/>
      <c r="DZJ66" s="557"/>
      <c r="DZK66" s="557"/>
      <c r="DZL66" s="557"/>
      <c r="DZM66" s="557"/>
      <c r="DZN66" s="557"/>
      <c r="DZO66" s="557"/>
      <c r="DZP66" s="557"/>
      <c r="DZQ66" s="557"/>
      <c r="DZR66" s="557"/>
      <c r="DZS66" s="661"/>
      <c r="DZT66" s="556"/>
      <c r="DZU66" s="557"/>
      <c r="DZV66" s="557"/>
      <c r="DZW66" s="557"/>
      <c r="DZX66" s="557"/>
      <c r="DZY66" s="557"/>
      <c r="DZZ66" s="557"/>
      <c r="EAA66" s="557"/>
      <c r="EAB66" s="557"/>
      <c r="EAC66" s="557"/>
      <c r="EAD66" s="557"/>
      <c r="EAE66" s="557"/>
      <c r="EAF66" s="557"/>
      <c r="EAG66" s="557"/>
      <c r="EAH66" s="557"/>
      <c r="EAI66" s="557"/>
      <c r="EAJ66" s="557"/>
      <c r="EAK66" s="557"/>
      <c r="EAL66" s="557"/>
      <c r="EAM66" s="661"/>
      <c r="EAN66" s="556"/>
      <c r="EAO66" s="557"/>
      <c r="EAP66" s="557"/>
      <c r="EAQ66" s="557"/>
      <c r="EAR66" s="557"/>
      <c r="EAS66" s="557"/>
      <c r="EAT66" s="557"/>
      <c r="EAU66" s="557"/>
      <c r="EAV66" s="557"/>
      <c r="EAW66" s="557"/>
      <c r="EAX66" s="557"/>
      <c r="EAY66" s="557"/>
      <c r="EAZ66" s="557"/>
      <c r="EBA66" s="557"/>
      <c r="EBB66" s="557"/>
      <c r="EBC66" s="557"/>
      <c r="EBD66" s="557"/>
      <c r="EBE66" s="557"/>
      <c r="EBF66" s="557"/>
      <c r="EBG66" s="661"/>
      <c r="EBH66" s="556"/>
      <c r="EBI66" s="557"/>
      <c r="EBJ66" s="557"/>
      <c r="EBK66" s="557"/>
      <c r="EBL66" s="557"/>
      <c r="EBM66" s="557"/>
      <c r="EBN66" s="557"/>
      <c r="EBO66" s="557"/>
      <c r="EBP66" s="557"/>
      <c r="EBQ66" s="557"/>
      <c r="EBR66" s="557"/>
      <c r="EBS66" s="557"/>
      <c r="EBT66" s="557"/>
      <c r="EBU66" s="557"/>
      <c r="EBV66" s="557"/>
      <c r="EBW66" s="557"/>
      <c r="EBX66" s="557"/>
      <c r="EBY66" s="557"/>
      <c r="EBZ66" s="557"/>
      <c r="ECA66" s="661"/>
      <c r="ECB66" s="556"/>
      <c r="ECC66" s="557"/>
      <c r="ECD66" s="557"/>
      <c r="ECE66" s="557"/>
      <c r="ECF66" s="557"/>
      <c r="ECG66" s="557"/>
      <c r="ECH66" s="557"/>
      <c r="ECI66" s="557"/>
      <c r="ECJ66" s="557"/>
      <c r="ECK66" s="557"/>
      <c r="ECL66" s="557"/>
      <c r="ECM66" s="557"/>
      <c r="ECN66" s="557"/>
      <c r="ECO66" s="557"/>
      <c r="ECP66" s="557"/>
      <c r="ECQ66" s="557"/>
      <c r="ECR66" s="557"/>
      <c r="ECS66" s="557"/>
      <c r="ECT66" s="557"/>
      <c r="ECU66" s="661"/>
      <c r="ECV66" s="556"/>
      <c r="ECW66" s="557"/>
      <c r="ECX66" s="557"/>
      <c r="ECY66" s="557"/>
      <c r="ECZ66" s="557"/>
      <c r="EDA66" s="557"/>
      <c r="EDB66" s="557"/>
      <c r="EDC66" s="557"/>
      <c r="EDD66" s="557"/>
      <c r="EDE66" s="557"/>
      <c r="EDF66" s="557"/>
      <c r="EDG66" s="557"/>
      <c r="EDH66" s="557"/>
      <c r="EDI66" s="557"/>
      <c r="EDJ66" s="557"/>
      <c r="EDK66" s="557"/>
      <c r="EDL66" s="557"/>
      <c r="EDM66" s="557"/>
      <c r="EDN66" s="557"/>
      <c r="EDO66" s="661"/>
      <c r="EDP66" s="556"/>
      <c r="EDQ66" s="557"/>
      <c r="EDR66" s="557"/>
      <c r="EDS66" s="557"/>
      <c r="EDT66" s="557"/>
      <c r="EDU66" s="557"/>
      <c r="EDV66" s="557"/>
      <c r="EDW66" s="557"/>
      <c r="EDX66" s="557"/>
      <c r="EDY66" s="557"/>
      <c r="EDZ66" s="557"/>
      <c r="EEA66" s="557"/>
      <c r="EEB66" s="557"/>
      <c r="EEC66" s="557"/>
      <c r="EED66" s="557"/>
      <c r="EEE66" s="557"/>
      <c r="EEF66" s="557"/>
      <c r="EEG66" s="557"/>
      <c r="EEH66" s="557"/>
      <c r="EEI66" s="661"/>
      <c r="EEJ66" s="556"/>
      <c r="EEK66" s="557"/>
      <c r="EEL66" s="557"/>
      <c r="EEM66" s="557"/>
      <c r="EEN66" s="557"/>
      <c r="EEO66" s="557"/>
      <c r="EEP66" s="557"/>
      <c r="EEQ66" s="557"/>
      <c r="EER66" s="557"/>
      <c r="EES66" s="557"/>
      <c r="EET66" s="557"/>
      <c r="EEU66" s="557"/>
      <c r="EEV66" s="557"/>
      <c r="EEW66" s="557"/>
      <c r="EEX66" s="557"/>
      <c r="EEY66" s="557"/>
      <c r="EEZ66" s="557"/>
      <c r="EFA66" s="557"/>
      <c r="EFB66" s="557"/>
      <c r="EFC66" s="661"/>
      <c r="EFD66" s="556"/>
      <c r="EFE66" s="557"/>
      <c r="EFF66" s="557"/>
      <c r="EFG66" s="557"/>
      <c r="EFH66" s="557"/>
      <c r="EFI66" s="557"/>
      <c r="EFJ66" s="557"/>
      <c r="EFK66" s="557"/>
      <c r="EFL66" s="557"/>
      <c r="EFM66" s="557"/>
      <c r="EFN66" s="557"/>
      <c r="EFO66" s="557"/>
      <c r="EFP66" s="557"/>
      <c r="EFQ66" s="557"/>
      <c r="EFR66" s="557"/>
      <c r="EFS66" s="557"/>
      <c r="EFT66" s="557"/>
      <c r="EFU66" s="557"/>
      <c r="EFV66" s="557"/>
      <c r="EFW66" s="661"/>
      <c r="EFX66" s="556"/>
      <c r="EFY66" s="557"/>
      <c r="EFZ66" s="557"/>
      <c r="EGA66" s="557"/>
      <c r="EGB66" s="557"/>
      <c r="EGC66" s="557"/>
      <c r="EGD66" s="557"/>
      <c r="EGE66" s="557"/>
      <c r="EGF66" s="557"/>
      <c r="EGG66" s="557"/>
      <c r="EGH66" s="557"/>
      <c r="EGI66" s="557"/>
      <c r="EGJ66" s="557"/>
      <c r="EGK66" s="557"/>
      <c r="EGL66" s="557"/>
      <c r="EGM66" s="557"/>
      <c r="EGN66" s="557"/>
      <c r="EGO66" s="557"/>
      <c r="EGP66" s="557"/>
      <c r="EGQ66" s="661"/>
      <c r="EGR66" s="556"/>
      <c r="EGS66" s="557"/>
      <c r="EGT66" s="557"/>
      <c r="EGU66" s="557"/>
      <c r="EGV66" s="557"/>
      <c r="EGW66" s="557"/>
      <c r="EGX66" s="557"/>
      <c r="EGY66" s="557"/>
      <c r="EGZ66" s="557"/>
      <c r="EHA66" s="557"/>
      <c r="EHB66" s="557"/>
      <c r="EHC66" s="557"/>
      <c r="EHD66" s="557"/>
      <c r="EHE66" s="557"/>
      <c r="EHF66" s="557"/>
      <c r="EHG66" s="557"/>
      <c r="EHH66" s="557"/>
      <c r="EHI66" s="557"/>
      <c r="EHJ66" s="557"/>
      <c r="EHK66" s="661"/>
      <c r="EHL66" s="556"/>
      <c r="EHM66" s="557"/>
      <c r="EHN66" s="557"/>
      <c r="EHO66" s="557"/>
      <c r="EHP66" s="557"/>
      <c r="EHQ66" s="557"/>
      <c r="EHR66" s="557"/>
      <c r="EHS66" s="557"/>
      <c r="EHT66" s="557"/>
      <c r="EHU66" s="557"/>
      <c r="EHV66" s="557"/>
      <c r="EHW66" s="557"/>
      <c r="EHX66" s="557"/>
      <c r="EHY66" s="557"/>
      <c r="EHZ66" s="557"/>
      <c r="EIA66" s="557"/>
      <c r="EIB66" s="557"/>
      <c r="EIC66" s="557"/>
      <c r="EID66" s="557"/>
      <c r="EIE66" s="661"/>
      <c r="EIF66" s="556"/>
      <c r="EIG66" s="557"/>
      <c r="EIH66" s="557"/>
      <c r="EII66" s="557"/>
      <c r="EIJ66" s="557"/>
      <c r="EIK66" s="557"/>
      <c r="EIL66" s="557"/>
      <c r="EIM66" s="557"/>
      <c r="EIN66" s="557"/>
      <c r="EIO66" s="557"/>
      <c r="EIP66" s="557"/>
      <c r="EIQ66" s="557"/>
      <c r="EIR66" s="557"/>
      <c r="EIS66" s="557"/>
      <c r="EIT66" s="557"/>
      <c r="EIU66" s="557"/>
      <c r="EIV66" s="557"/>
      <c r="EIW66" s="557"/>
      <c r="EIX66" s="557"/>
      <c r="EIY66" s="661"/>
      <c r="EIZ66" s="556"/>
      <c r="EJA66" s="557"/>
      <c r="EJB66" s="557"/>
      <c r="EJC66" s="557"/>
      <c r="EJD66" s="557"/>
      <c r="EJE66" s="557"/>
      <c r="EJF66" s="557"/>
      <c r="EJG66" s="557"/>
      <c r="EJH66" s="557"/>
      <c r="EJI66" s="557"/>
      <c r="EJJ66" s="557"/>
      <c r="EJK66" s="557"/>
      <c r="EJL66" s="557"/>
      <c r="EJM66" s="557"/>
      <c r="EJN66" s="557"/>
      <c r="EJO66" s="557"/>
      <c r="EJP66" s="557"/>
      <c r="EJQ66" s="557"/>
      <c r="EJR66" s="557"/>
      <c r="EJS66" s="661"/>
      <c r="EJT66" s="556"/>
      <c r="EJU66" s="557"/>
      <c r="EJV66" s="557"/>
      <c r="EJW66" s="557"/>
      <c r="EJX66" s="557"/>
      <c r="EJY66" s="557"/>
      <c r="EJZ66" s="557"/>
      <c r="EKA66" s="557"/>
      <c r="EKB66" s="557"/>
      <c r="EKC66" s="557"/>
      <c r="EKD66" s="557"/>
      <c r="EKE66" s="557"/>
      <c r="EKF66" s="557"/>
      <c r="EKG66" s="557"/>
      <c r="EKH66" s="557"/>
      <c r="EKI66" s="557"/>
      <c r="EKJ66" s="557"/>
      <c r="EKK66" s="557"/>
      <c r="EKL66" s="557"/>
      <c r="EKM66" s="661"/>
      <c r="EKN66" s="556"/>
      <c r="EKO66" s="557"/>
      <c r="EKP66" s="557"/>
      <c r="EKQ66" s="557"/>
      <c r="EKR66" s="557"/>
      <c r="EKS66" s="557"/>
      <c r="EKT66" s="557"/>
      <c r="EKU66" s="557"/>
      <c r="EKV66" s="557"/>
      <c r="EKW66" s="557"/>
      <c r="EKX66" s="557"/>
      <c r="EKY66" s="557"/>
      <c r="EKZ66" s="557"/>
      <c r="ELA66" s="557"/>
      <c r="ELB66" s="557"/>
      <c r="ELC66" s="557"/>
      <c r="ELD66" s="557"/>
      <c r="ELE66" s="557"/>
      <c r="ELF66" s="557"/>
      <c r="ELG66" s="661"/>
      <c r="ELH66" s="556"/>
      <c r="ELI66" s="557"/>
      <c r="ELJ66" s="557"/>
      <c r="ELK66" s="557"/>
      <c r="ELL66" s="557"/>
      <c r="ELM66" s="557"/>
      <c r="ELN66" s="557"/>
      <c r="ELO66" s="557"/>
      <c r="ELP66" s="557"/>
      <c r="ELQ66" s="557"/>
      <c r="ELR66" s="557"/>
      <c r="ELS66" s="557"/>
      <c r="ELT66" s="557"/>
      <c r="ELU66" s="557"/>
      <c r="ELV66" s="557"/>
      <c r="ELW66" s="557"/>
      <c r="ELX66" s="557"/>
      <c r="ELY66" s="557"/>
      <c r="ELZ66" s="557"/>
      <c r="EMA66" s="661"/>
      <c r="EMB66" s="556"/>
      <c r="EMC66" s="557"/>
      <c r="EMD66" s="557"/>
      <c r="EME66" s="557"/>
      <c r="EMF66" s="557"/>
      <c r="EMG66" s="557"/>
      <c r="EMH66" s="557"/>
      <c r="EMI66" s="557"/>
      <c r="EMJ66" s="557"/>
      <c r="EMK66" s="557"/>
      <c r="EML66" s="557"/>
      <c r="EMM66" s="557"/>
      <c r="EMN66" s="557"/>
      <c r="EMO66" s="557"/>
      <c r="EMP66" s="557"/>
      <c r="EMQ66" s="557"/>
      <c r="EMR66" s="557"/>
      <c r="EMS66" s="557"/>
      <c r="EMT66" s="557"/>
      <c r="EMU66" s="661"/>
      <c r="EMV66" s="556"/>
      <c r="EMW66" s="557"/>
      <c r="EMX66" s="557"/>
      <c r="EMY66" s="557"/>
      <c r="EMZ66" s="557"/>
      <c r="ENA66" s="557"/>
      <c r="ENB66" s="557"/>
      <c r="ENC66" s="557"/>
      <c r="END66" s="557"/>
      <c r="ENE66" s="557"/>
      <c r="ENF66" s="557"/>
      <c r="ENG66" s="557"/>
      <c r="ENH66" s="557"/>
      <c r="ENI66" s="557"/>
      <c r="ENJ66" s="557"/>
      <c r="ENK66" s="557"/>
      <c r="ENL66" s="557"/>
      <c r="ENM66" s="557"/>
      <c r="ENN66" s="557"/>
      <c r="ENO66" s="661"/>
      <c r="ENP66" s="556"/>
      <c r="ENQ66" s="557"/>
      <c r="ENR66" s="557"/>
      <c r="ENS66" s="557"/>
      <c r="ENT66" s="557"/>
      <c r="ENU66" s="557"/>
      <c r="ENV66" s="557"/>
      <c r="ENW66" s="557"/>
      <c r="ENX66" s="557"/>
      <c r="ENY66" s="557"/>
      <c r="ENZ66" s="557"/>
      <c r="EOA66" s="557"/>
      <c r="EOB66" s="557"/>
      <c r="EOC66" s="557"/>
      <c r="EOD66" s="557"/>
      <c r="EOE66" s="557"/>
      <c r="EOF66" s="557"/>
      <c r="EOG66" s="557"/>
      <c r="EOH66" s="557"/>
      <c r="EOI66" s="661"/>
      <c r="EOJ66" s="556"/>
      <c r="EOK66" s="557"/>
      <c r="EOL66" s="557"/>
      <c r="EOM66" s="557"/>
      <c r="EON66" s="557"/>
      <c r="EOO66" s="557"/>
      <c r="EOP66" s="557"/>
      <c r="EOQ66" s="557"/>
      <c r="EOR66" s="557"/>
      <c r="EOS66" s="557"/>
      <c r="EOT66" s="557"/>
      <c r="EOU66" s="557"/>
      <c r="EOV66" s="557"/>
      <c r="EOW66" s="557"/>
      <c r="EOX66" s="557"/>
      <c r="EOY66" s="557"/>
      <c r="EOZ66" s="557"/>
      <c r="EPA66" s="557"/>
      <c r="EPB66" s="557"/>
      <c r="EPC66" s="661"/>
      <c r="EPD66" s="556"/>
      <c r="EPE66" s="557"/>
      <c r="EPF66" s="557"/>
      <c r="EPG66" s="557"/>
      <c r="EPH66" s="557"/>
      <c r="EPI66" s="557"/>
      <c r="EPJ66" s="557"/>
      <c r="EPK66" s="557"/>
      <c r="EPL66" s="557"/>
      <c r="EPM66" s="557"/>
      <c r="EPN66" s="557"/>
      <c r="EPO66" s="557"/>
      <c r="EPP66" s="557"/>
      <c r="EPQ66" s="557"/>
      <c r="EPR66" s="557"/>
      <c r="EPS66" s="557"/>
      <c r="EPT66" s="557"/>
      <c r="EPU66" s="557"/>
      <c r="EPV66" s="557"/>
      <c r="EPW66" s="661"/>
      <c r="EPX66" s="556"/>
      <c r="EPY66" s="557"/>
      <c r="EPZ66" s="557"/>
      <c r="EQA66" s="557"/>
      <c r="EQB66" s="557"/>
      <c r="EQC66" s="557"/>
      <c r="EQD66" s="557"/>
      <c r="EQE66" s="557"/>
      <c r="EQF66" s="557"/>
      <c r="EQG66" s="557"/>
      <c r="EQH66" s="557"/>
      <c r="EQI66" s="557"/>
      <c r="EQJ66" s="557"/>
      <c r="EQK66" s="557"/>
      <c r="EQL66" s="557"/>
      <c r="EQM66" s="557"/>
      <c r="EQN66" s="557"/>
      <c r="EQO66" s="557"/>
      <c r="EQP66" s="557"/>
      <c r="EQQ66" s="661"/>
      <c r="EQR66" s="556"/>
      <c r="EQS66" s="557"/>
      <c r="EQT66" s="557"/>
      <c r="EQU66" s="557"/>
      <c r="EQV66" s="557"/>
      <c r="EQW66" s="557"/>
      <c r="EQX66" s="557"/>
      <c r="EQY66" s="557"/>
      <c r="EQZ66" s="557"/>
      <c r="ERA66" s="557"/>
      <c r="ERB66" s="557"/>
      <c r="ERC66" s="557"/>
      <c r="ERD66" s="557"/>
      <c r="ERE66" s="557"/>
      <c r="ERF66" s="557"/>
      <c r="ERG66" s="557"/>
      <c r="ERH66" s="557"/>
      <c r="ERI66" s="557"/>
      <c r="ERJ66" s="557"/>
      <c r="ERK66" s="661"/>
      <c r="ERL66" s="556"/>
      <c r="ERM66" s="557"/>
      <c r="ERN66" s="557"/>
      <c r="ERO66" s="557"/>
      <c r="ERP66" s="557"/>
      <c r="ERQ66" s="557"/>
      <c r="ERR66" s="557"/>
      <c r="ERS66" s="557"/>
      <c r="ERT66" s="557"/>
      <c r="ERU66" s="557"/>
      <c r="ERV66" s="557"/>
      <c r="ERW66" s="557"/>
      <c r="ERX66" s="557"/>
      <c r="ERY66" s="557"/>
      <c r="ERZ66" s="557"/>
      <c r="ESA66" s="557"/>
      <c r="ESB66" s="557"/>
      <c r="ESC66" s="557"/>
      <c r="ESD66" s="557"/>
      <c r="ESE66" s="661"/>
      <c r="ESF66" s="556"/>
      <c r="ESG66" s="557"/>
      <c r="ESH66" s="557"/>
      <c r="ESI66" s="557"/>
      <c r="ESJ66" s="557"/>
      <c r="ESK66" s="557"/>
      <c r="ESL66" s="557"/>
      <c r="ESM66" s="557"/>
      <c r="ESN66" s="557"/>
      <c r="ESO66" s="557"/>
      <c r="ESP66" s="557"/>
      <c r="ESQ66" s="557"/>
      <c r="ESR66" s="557"/>
      <c r="ESS66" s="557"/>
      <c r="EST66" s="557"/>
      <c r="ESU66" s="557"/>
      <c r="ESV66" s="557"/>
      <c r="ESW66" s="557"/>
      <c r="ESX66" s="557"/>
      <c r="ESY66" s="661"/>
      <c r="ESZ66" s="556"/>
      <c r="ETA66" s="557"/>
      <c r="ETB66" s="557"/>
      <c r="ETC66" s="557"/>
      <c r="ETD66" s="557"/>
      <c r="ETE66" s="557"/>
      <c r="ETF66" s="557"/>
      <c r="ETG66" s="557"/>
      <c r="ETH66" s="557"/>
      <c r="ETI66" s="557"/>
      <c r="ETJ66" s="557"/>
      <c r="ETK66" s="557"/>
      <c r="ETL66" s="557"/>
      <c r="ETM66" s="557"/>
      <c r="ETN66" s="557"/>
      <c r="ETO66" s="557"/>
      <c r="ETP66" s="557"/>
      <c r="ETQ66" s="557"/>
      <c r="ETR66" s="557"/>
      <c r="ETS66" s="661"/>
      <c r="ETT66" s="556"/>
      <c r="ETU66" s="557"/>
      <c r="ETV66" s="557"/>
      <c r="ETW66" s="557"/>
      <c r="ETX66" s="557"/>
      <c r="ETY66" s="557"/>
      <c r="ETZ66" s="557"/>
      <c r="EUA66" s="557"/>
      <c r="EUB66" s="557"/>
      <c r="EUC66" s="557"/>
      <c r="EUD66" s="557"/>
      <c r="EUE66" s="557"/>
      <c r="EUF66" s="557"/>
      <c r="EUG66" s="557"/>
      <c r="EUH66" s="557"/>
      <c r="EUI66" s="557"/>
      <c r="EUJ66" s="557"/>
      <c r="EUK66" s="557"/>
      <c r="EUL66" s="557"/>
      <c r="EUM66" s="661"/>
      <c r="EUN66" s="556"/>
      <c r="EUO66" s="557"/>
      <c r="EUP66" s="557"/>
      <c r="EUQ66" s="557"/>
      <c r="EUR66" s="557"/>
      <c r="EUS66" s="557"/>
      <c r="EUT66" s="557"/>
      <c r="EUU66" s="557"/>
      <c r="EUV66" s="557"/>
      <c r="EUW66" s="557"/>
      <c r="EUX66" s="557"/>
      <c r="EUY66" s="557"/>
      <c r="EUZ66" s="557"/>
      <c r="EVA66" s="557"/>
      <c r="EVB66" s="557"/>
      <c r="EVC66" s="557"/>
      <c r="EVD66" s="557"/>
      <c r="EVE66" s="557"/>
      <c r="EVF66" s="557"/>
      <c r="EVG66" s="661"/>
      <c r="EVH66" s="556"/>
      <c r="EVI66" s="557"/>
      <c r="EVJ66" s="557"/>
      <c r="EVK66" s="557"/>
      <c r="EVL66" s="557"/>
      <c r="EVM66" s="557"/>
      <c r="EVN66" s="557"/>
      <c r="EVO66" s="557"/>
      <c r="EVP66" s="557"/>
      <c r="EVQ66" s="557"/>
      <c r="EVR66" s="557"/>
      <c r="EVS66" s="557"/>
      <c r="EVT66" s="557"/>
      <c r="EVU66" s="557"/>
      <c r="EVV66" s="557"/>
      <c r="EVW66" s="557"/>
      <c r="EVX66" s="557"/>
      <c r="EVY66" s="557"/>
      <c r="EVZ66" s="557"/>
      <c r="EWA66" s="661"/>
      <c r="EWB66" s="556"/>
      <c r="EWC66" s="557"/>
      <c r="EWD66" s="557"/>
      <c r="EWE66" s="557"/>
      <c r="EWF66" s="557"/>
      <c r="EWG66" s="557"/>
      <c r="EWH66" s="557"/>
      <c r="EWI66" s="557"/>
      <c r="EWJ66" s="557"/>
      <c r="EWK66" s="557"/>
      <c r="EWL66" s="557"/>
      <c r="EWM66" s="557"/>
      <c r="EWN66" s="557"/>
      <c r="EWO66" s="557"/>
      <c r="EWP66" s="557"/>
      <c r="EWQ66" s="557"/>
      <c r="EWR66" s="557"/>
      <c r="EWS66" s="557"/>
      <c r="EWT66" s="557"/>
      <c r="EWU66" s="661"/>
      <c r="EWV66" s="556"/>
      <c r="EWW66" s="557"/>
      <c r="EWX66" s="557"/>
      <c r="EWY66" s="557"/>
      <c r="EWZ66" s="557"/>
      <c r="EXA66" s="557"/>
      <c r="EXB66" s="557"/>
      <c r="EXC66" s="557"/>
      <c r="EXD66" s="557"/>
      <c r="EXE66" s="557"/>
      <c r="EXF66" s="557"/>
      <c r="EXG66" s="557"/>
      <c r="EXH66" s="557"/>
      <c r="EXI66" s="557"/>
      <c r="EXJ66" s="557"/>
      <c r="EXK66" s="557"/>
      <c r="EXL66" s="557"/>
      <c r="EXM66" s="557"/>
      <c r="EXN66" s="557"/>
      <c r="EXO66" s="661"/>
      <c r="EXP66" s="556"/>
      <c r="EXQ66" s="557"/>
      <c r="EXR66" s="557"/>
      <c r="EXS66" s="557"/>
      <c r="EXT66" s="557"/>
      <c r="EXU66" s="557"/>
      <c r="EXV66" s="557"/>
      <c r="EXW66" s="557"/>
      <c r="EXX66" s="557"/>
      <c r="EXY66" s="557"/>
      <c r="EXZ66" s="557"/>
      <c r="EYA66" s="557"/>
      <c r="EYB66" s="557"/>
      <c r="EYC66" s="557"/>
      <c r="EYD66" s="557"/>
      <c r="EYE66" s="557"/>
      <c r="EYF66" s="557"/>
      <c r="EYG66" s="557"/>
      <c r="EYH66" s="557"/>
      <c r="EYI66" s="661"/>
      <c r="EYJ66" s="556"/>
      <c r="EYK66" s="557"/>
      <c r="EYL66" s="557"/>
      <c r="EYM66" s="557"/>
      <c r="EYN66" s="557"/>
      <c r="EYO66" s="557"/>
      <c r="EYP66" s="557"/>
      <c r="EYQ66" s="557"/>
      <c r="EYR66" s="557"/>
      <c r="EYS66" s="557"/>
      <c r="EYT66" s="557"/>
      <c r="EYU66" s="557"/>
      <c r="EYV66" s="557"/>
      <c r="EYW66" s="557"/>
      <c r="EYX66" s="557"/>
      <c r="EYY66" s="557"/>
      <c r="EYZ66" s="557"/>
      <c r="EZA66" s="557"/>
      <c r="EZB66" s="557"/>
      <c r="EZC66" s="661"/>
      <c r="EZD66" s="556"/>
      <c r="EZE66" s="557"/>
      <c r="EZF66" s="557"/>
      <c r="EZG66" s="557"/>
      <c r="EZH66" s="557"/>
      <c r="EZI66" s="557"/>
      <c r="EZJ66" s="557"/>
      <c r="EZK66" s="557"/>
      <c r="EZL66" s="557"/>
      <c r="EZM66" s="557"/>
      <c r="EZN66" s="557"/>
      <c r="EZO66" s="557"/>
      <c r="EZP66" s="557"/>
      <c r="EZQ66" s="557"/>
      <c r="EZR66" s="557"/>
      <c r="EZS66" s="557"/>
      <c r="EZT66" s="557"/>
      <c r="EZU66" s="557"/>
      <c r="EZV66" s="557"/>
      <c r="EZW66" s="661"/>
      <c r="EZX66" s="556"/>
      <c r="EZY66" s="557"/>
      <c r="EZZ66" s="557"/>
      <c r="FAA66" s="557"/>
      <c r="FAB66" s="557"/>
      <c r="FAC66" s="557"/>
      <c r="FAD66" s="557"/>
      <c r="FAE66" s="557"/>
      <c r="FAF66" s="557"/>
      <c r="FAG66" s="557"/>
      <c r="FAH66" s="557"/>
      <c r="FAI66" s="557"/>
      <c r="FAJ66" s="557"/>
      <c r="FAK66" s="557"/>
      <c r="FAL66" s="557"/>
      <c r="FAM66" s="557"/>
      <c r="FAN66" s="557"/>
      <c r="FAO66" s="557"/>
      <c r="FAP66" s="557"/>
      <c r="FAQ66" s="661"/>
      <c r="FAR66" s="556"/>
      <c r="FAS66" s="557"/>
      <c r="FAT66" s="557"/>
      <c r="FAU66" s="557"/>
      <c r="FAV66" s="557"/>
      <c r="FAW66" s="557"/>
      <c r="FAX66" s="557"/>
      <c r="FAY66" s="557"/>
      <c r="FAZ66" s="557"/>
      <c r="FBA66" s="557"/>
      <c r="FBB66" s="557"/>
      <c r="FBC66" s="557"/>
      <c r="FBD66" s="557"/>
      <c r="FBE66" s="557"/>
      <c r="FBF66" s="557"/>
      <c r="FBG66" s="557"/>
      <c r="FBH66" s="557"/>
      <c r="FBI66" s="557"/>
      <c r="FBJ66" s="557"/>
      <c r="FBK66" s="661"/>
      <c r="FBL66" s="556"/>
      <c r="FBM66" s="557"/>
      <c r="FBN66" s="557"/>
      <c r="FBO66" s="557"/>
      <c r="FBP66" s="557"/>
      <c r="FBQ66" s="557"/>
      <c r="FBR66" s="557"/>
      <c r="FBS66" s="557"/>
      <c r="FBT66" s="557"/>
      <c r="FBU66" s="557"/>
      <c r="FBV66" s="557"/>
      <c r="FBW66" s="557"/>
      <c r="FBX66" s="557"/>
      <c r="FBY66" s="557"/>
      <c r="FBZ66" s="557"/>
      <c r="FCA66" s="557"/>
      <c r="FCB66" s="557"/>
      <c r="FCC66" s="557"/>
      <c r="FCD66" s="557"/>
      <c r="FCE66" s="661"/>
      <c r="FCF66" s="556"/>
      <c r="FCG66" s="557"/>
      <c r="FCH66" s="557"/>
      <c r="FCI66" s="557"/>
      <c r="FCJ66" s="557"/>
      <c r="FCK66" s="557"/>
      <c r="FCL66" s="557"/>
      <c r="FCM66" s="557"/>
      <c r="FCN66" s="557"/>
      <c r="FCO66" s="557"/>
      <c r="FCP66" s="557"/>
      <c r="FCQ66" s="557"/>
      <c r="FCR66" s="557"/>
      <c r="FCS66" s="557"/>
      <c r="FCT66" s="557"/>
      <c r="FCU66" s="557"/>
      <c r="FCV66" s="557"/>
      <c r="FCW66" s="557"/>
      <c r="FCX66" s="557"/>
      <c r="FCY66" s="661"/>
      <c r="FCZ66" s="556"/>
      <c r="FDA66" s="557"/>
      <c r="FDB66" s="557"/>
      <c r="FDC66" s="557"/>
      <c r="FDD66" s="557"/>
      <c r="FDE66" s="557"/>
      <c r="FDF66" s="557"/>
      <c r="FDG66" s="557"/>
      <c r="FDH66" s="557"/>
      <c r="FDI66" s="557"/>
      <c r="FDJ66" s="557"/>
      <c r="FDK66" s="557"/>
      <c r="FDL66" s="557"/>
      <c r="FDM66" s="557"/>
      <c r="FDN66" s="557"/>
      <c r="FDO66" s="557"/>
      <c r="FDP66" s="557"/>
      <c r="FDQ66" s="557"/>
      <c r="FDR66" s="557"/>
      <c r="FDS66" s="661"/>
      <c r="FDT66" s="556"/>
      <c r="FDU66" s="557"/>
      <c r="FDV66" s="557"/>
      <c r="FDW66" s="557"/>
      <c r="FDX66" s="557"/>
      <c r="FDY66" s="557"/>
      <c r="FDZ66" s="557"/>
      <c r="FEA66" s="557"/>
      <c r="FEB66" s="557"/>
      <c r="FEC66" s="557"/>
      <c r="FED66" s="557"/>
      <c r="FEE66" s="557"/>
      <c r="FEF66" s="557"/>
      <c r="FEG66" s="557"/>
      <c r="FEH66" s="557"/>
      <c r="FEI66" s="557"/>
      <c r="FEJ66" s="557"/>
      <c r="FEK66" s="557"/>
      <c r="FEL66" s="557"/>
      <c r="FEM66" s="661"/>
      <c r="FEN66" s="556"/>
      <c r="FEO66" s="557"/>
      <c r="FEP66" s="557"/>
      <c r="FEQ66" s="557"/>
      <c r="FER66" s="557"/>
      <c r="FES66" s="557"/>
      <c r="FET66" s="557"/>
      <c r="FEU66" s="557"/>
      <c r="FEV66" s="557"/>
      <c r="FEW66" s="557"/>
      <c r="FEX66" s="557"/>
      <c r="FEY66" s="557"/>
      <c r="FEZ66" s="557"/>
      <c r="FFA66" s="557"/>
      <c r="FFB66" s="557"/>
      <c r="FFC66" s="557"/>
      <c r="FFD66" s="557"/>
      <c r="FFE66" s="557"/>
      <c r="FFF66" s="557"/>
      <c r="FFG66" s="661"/>
      <c r="FFH66" s="556"/>
      <c r="FFI66" s="557"/>
      <c r="FFJ66" s="557"/>
      <c r="FFK66" s="557"/>
      <c r="FFL66" s="557"/>
      <c r="FFM66" s="557"/>
      <c r="FFN66" s="557"/>
      <c r="FFO66" s="557"/>
      <c r="FFP66" s="557"/>
      <c r="FFQ66" s="557"/>
      <c r="FFR66" s="557"/>
      <c r="FFS66" s="557"/>
      <c r="FFT66" s="557"/>
      <c r="FFU66" s="557"/>
      <c r="FFV66" s="557"/>
      <c r="FFW66" s="557"/>
      <c r="FFX66" s="557"/>
      <c r="FFY66" s="557"/>
      <c r="FFZ66" s="557"/>
      <c r="FGA66" s="661"/>
      <c r="FGB66" s="556"/>
      <c r="FGC66" s="557"/>
      <c r="FGD66" s="557"/>
      <c r="FGE66" s="557"/>
      <c r="FGF66" s="557"/>
      <c r="FGG66" s="557"/>
      <c r="FGH66" s="557"/>
      <c r="FGI66" s="557"/>
      <c r="FGJ66" s="557"/>
      <c r="FGK66" s="557"/>
      <c r="FGL66" s="557"/>
      <c r="FGM66" s="557"/>
      <c r="FGN66" s="557"/>
      <c r="FGO66" s="557"/>
      <c r="FGP66" s="557"/>
      <c r="FGQ66" s="557"/>
      <c r="FGR66" s="557"/>
      <c r="FGS66" s="557"/>
      <c r="FGT66" s="557"/>
      <c r="FGU66" s="661"/>
      <c r="FGV66" s="556"/>
      <c r="FGW66" s="557"/>
      <c r="FGX66" s="557"/>
      <c r="FGY66" s="557"/>
      <c r="FGZ66" s="557"/>
      <c r="FHA66" s="557"/>
      <c r="FHB66" s="557"/>
      <c r="FHC66" s="557"/>
      <c r="FHD66" s="557"/>
      <c r="FHE66" s="557"/>
      <c r="FHF66" s="557"/>
      <c r="FHG66" s="557"/>
      <c r="FHH66" s="557"/>
      <c r="FHI66" s="557"/>
      <c r="FHJ66" s="557"/>
      <c r="FHK66" s="557"/>
      <c r="FHL66" s="557"/>
      <c r="FHM66" s="557"/>
      <c r="FHN66" s="557"/>
      <c r="FHO66" s="661"/>
      <c r="FHP66" s="556"/>
      <c r="FHQ66" s="557"/>
      <c r="FHR66" s="557"/>
      <c r="FHS66" s="557"/>
      <c r="FHT66" s="557"/>
      <c r="FHU66" s="557"/>
      <c r="FHV66" s="557"/>
      <c r="FHW66" s="557"/>
      <c r="FHX66" s="557"/>
      <c r="FHY66" s="557"/>
      <c r="FHZ66" s="557"/>
      <c r="FIA66" s="557"/>
      <c r="FIB66" s="557"/>
      <c r="FIC66" s="557"/>
      <c r="FID66" s="557"/>
      <c r="FIE66" s="557"/>
      <c r="FIF66" s="557"/>
      <c r="FIG66" s="557"/>
      <c r="FIH66" s="557"/>
      <c r="FII66" s="661"/>
      <c r="FIJ66" s="556"/>
      <c r="FIK66" s="557"/>
      <c r="FIL66" s="557"/>
      <c r="FIM66" s="557"/>
      <c r="FIN66" s="557"/>
      <c r="FIO66" s="557"/>
      <c r="FIP66" s="557"/>
      <c r="FIQ66" s="557"/>
      <c r="FIR66" s="557"/>
      <c r="FIS66" s="557"/>
      <c r="FIT66" s="557"/>
      <c r="FIU66" s="557"/>
      <c r="FIV66" s="557"/>
      <c r="FIW66" s="557"/>
      <c r="FIX66" s="557"/>
      <c r="FIY66" s="557"/>
      <c r="FIZ66" s="557"/>
      <c r="FJA66" s="557"/>
      <c r="FJB66" s="557"/>
      <c r="FJC66" s="661"/>
      <c r="FJD66" s="556"/>
      <c r="FJE66" s="557"/>
      <c r="FJF66" s="557"/>
      <c r="FJG66" s="557"/>
      <c r="FJH66" s="557"/>
      <c r="FJI66" s="557"/>
      <c r="FJJ66" s="557"/>
      <c r="FJK66" s="557"/>
      <c r="FJL66" s="557"/>
      <c r="FJM66" s="557"/>
      <c r="FJN66" s="557"/>
      <c r="FJO66" s="557"/>
      <c r="FJP66" s="557"/>
      <c r="FJQ66" s="557"/>
      <c r="FJR66" s="557"/>
      <c r="FJS66" s="557"/>
      <c r="FJT66" s="557"/>
      <c r="FJU66" s="557"/>
      <c r="FJV66" s="557"/>
      <c r="FJW66" s="661"/>
      <c r="FJX66" s="556"/>
      <c r="FJY66" s="557"/>
      <c r="FJZ66" s="557"/>
      <c r="FKA66" s="557"/>
      <c r="FKB66" s="557"/>
      <c r="FKC66" s="557"/>
      <c r="FKD66" s="557"/>
      <c r="FKE66" s="557"/>
      <c r="FKF66" s="557"/>
      <c r="FKG66" s="557"/>
      <c r="FKH66" s="557"/>
      <c r="FKI66" s="557"/>
      <c r="FKJ66" s="557"/>
      <c r="FKK66" s="557"/>
      <c r="FKL66" s="557"/>
      <c r="FKM66" s="557"/>
      <c r="FKN66" s="557"/>
      <c r="FKO66" s="557"/>
      <c r="FKP66" s="557"/>
      <c r="FKQ66" s="661"/>
      <c r="FKR66" s="556"/>
      <c r="FKS66" s="557"/>
      <c r="FKT66" s="557"/>
      <c r="FKU66" s="557"/>
      <c r="FKV66" s="557"/>
      <c r="FKW66" s="557"/>
      <c r="FKX66" s="557"/>
      <c r="FKY66" s="557"/>
      <c r="FKZ66" s="557"/>
      <c r="FLA66" s="557"/>
      <c r="FLB66" s="557"/>
      <c r="FLC66" s="557"/>
      <c r="FLD66" s="557"/>
      <c r="FLE66" s="557"/>
      <c r="FLF66" s="557"/>
      <c r="FLG66" s="557"/>
      <c r="FLH66" s="557"/>
      <c r="FLI66" s="557"/>
      <c r="FLJ66" s="557"/>
      <c r="FLK66" s="661"/>
      <c r="FLL66" s="556"/>
      <c r="FLM66" s="557"/>
      <c r="FLN66" s="557"/>
      <c r="FLO66" s="557"/>
      <c r="FLP66" s="557"/>
      <c r="FLQ66" s="557"/>
      <c r="FLR66" s="557"/>
      <c r="FLS66" s="557"/>
      <c r="FLT66" s="557"/>
      <c r="FLU66" s="557"/>
      <c r="FLV66" s="557"/>
      <c r="FLW66" s="557"/>
      <c r="FLX66" s="557"/>
      <c r="FLY66" s="557"/>
      <c r="FLZ66" s="557"/>
      <c r="FMA66" s="557"/>
      <c r="FMB66" s="557"/>
      <c r="FMC66" s="557"/>
      <c r="FMD66" s="557"/>
      <c r="FME66" s="661"/>
      <c r="FMF66" s="556"/>
      <c r="FMG66" s="557"/>
      <c r="FMH66" s="557"/>
      <c r="FMI66" s="557"/>
      <c r="FMJ66" s="557"/>
      <c r="FMK66" s="557"/>
      <c r="FML66" s="557"/>
      <c r="FMM66" s="557"/>
      <c r="FMN66" s="557"/>
      <c r="FMO66" s="557"/>
      <c r="FMP66" s="557"/>
      <c r="FMQ66" s="557"/>
      <c r="FMR66" s="557"/>
      <c r="FMS66" s="557"/>
      <c r="FMT66" s="557"/>
      <c r="FMU66" s="557"/>
      <c r="FMV66" s="557"/>
      <c r="FMW66" s="557"/>
      <c r="FMX66" s="557"/>
      <c r="FMY66" s="661"/>
      <c r="FMZ66" s="556"/>
      <c r="FNA66" s="557"/>
      <c r="FNB66" s="557"/>
      <c r="FNC66" s="557"/>
      <c r="FND66" s="557"/>
      <c r="FNE66" s="557"/>
      <c r="FNF66" s="557"/>
      <c r="FNG66" s="557"/>
      <c r="FNH66" s="557"/>
      <c r="FNI66" s="557"/>
      <c r="FNJ66" s="557"/>
      <c r="FNK66" s="557"/>
      <c r="FNL66" s="557"/>
      <c r="FNM66" s="557"/>
      <c r="FNN66" s="557"/>
      <c r="FNO66" s="557"/>
      <c r="FNP66" s="557"/>
      <c r="FNQ66" s="557"/>
      <c r="FNR66" s="557"/>
      <c r="FNS66" s="661"/>
      <c r="FNT66" s="556"/>
      <c r="FNU66" s="557"/>
      <c r="FNV66" s="557"/>
      <c r="FNW66" s="557"/>
      <c r="FNX66" s="557"/>
      <c r="FNY66" s="557"/>
      <c r="FNZ66" s="557"/>
      <c r="FOA66" s="557"/>
      <c r="FOB66" s="557"/>
      <c r="FOC66" s="557"/>
      <c r="FOD66" s="557"/>
      <c r="FOE66" s="557"/>
      <c r="FOF66" s="557"/>
      <c r="FOG66" s="557"/>
      <c r="FOH66" s="557"/>
      <c r="FOI66" s="557"/>
      <c r="FOJ66" s="557"/>
      <c r="FOK66" s="557"/>
      <c r="FOL66" s="557"/>
      <c r="FOM66" s="661"/>
      <c r="FON66" s="556"/>
      <c r="FOO66" s="557"/>
      <c r="FOP66" s="557"/>
      <c r="FOQ66" s="557"/>
      <c r="FOR66" s="557"/>
      <c r="FOS66" s="557"/>
      <c r="FOT66" s="557"/>
      <c r="FOU66" s="557"/>
      <c r="FOV66" s="557"/>
      <c r="FOW66" s="557"/>
      <c r="FOX66" s="557"/>
      <c r="FOY66" s="557"/>
      <c r="FOZ66" s="557"/>
      <c r="FPA66" s="557"/>
      <c r="FPB66" s="557"/>
      <c r="FPC66" s="557"/>
      <c r="FPD66" s="557"/>
      <c r="FPE66" s="557"/>
      <c r="FPF66" s="557"/>
      <c r="FPG66" s="661"/>
      <c r="FPH66" s="556"/>
      <c r="FPI66" s="557"/>
      <c r="FPJ66" s="557"/>
      <c r="FPK66" s="557"/>
      <c r="FPL66" s="557"/>
      <c r="FPM66" s="557"/>
      <c r="FPN66" s="557"/>
      <c r="FPO66" s="557"/>
      <c r="FPP66" s="557"/>
      <c r="FPQ66" s="557"/>
      <c r="FPR66" s="557"/>
      <c r="FPS66" s="557"/>
      <c r="FPT66" s="557"/>
      <c r="FPU66" s="557"/>
      <c r="FPV66" s="557"/>
      <c r="FPW66" s="557"/>
      <c r="FPX66" s="557"/>
      <c r="FPY66" s="557"/>
      <c r="FPZ66" s="557"/>
      <c r="FQA66" s="661"/>
      <c r="FQB66" s="556"/>
      <c r="FQC66" s="557"/>
      <c r="FQD66" s="557"/>
      <c r="FQE66" s="557"/>
      <c r="FQF66" s="557"/>
      <c r="FQG66" s="557"/>
      <c r="FQH66" s="557"/>
      <c r="FQI66" s="557"/>
      <c r="FQJ66" s="557"/>
      <c r="FQK66" s="557"/>
      <c r="FQL66" s="557"/>
      <c r="FQM66" s="557"/>
      <c r="FQN66" s="557"/>
      <c r="FQO66" s="557"/>
      <c r="FQP66" s="557"/>
      <c r="FQQ66" s="557"/>
      <c r="FQR66" s="557"/>
      <c r="FQS66" s="557"/>
      <c r="FQT66" s="557"/>
      <c r="FQU66" s="661"/>
      <c r="FQV66" s="556"/>
      <c r="FQW66" s="557"/>
      <c r="FQX66" s="557"/>
      <c r="FQY66" s="557"/>
      <c r="FQZ66" s="557"/>
      <c r="FRA66" s="557"/>
      <c r="FRB66" s="557"/>
      <c r="FRC66" s="557"/>
      <c r="FRD66" s="557"/>
      <c r="FRE66" s="557"/>
      <c r="FRF66" s="557"/>
      <c r="FRG66" s="557"/>
      <c r="FRH66" s="557"/>
      <c r="FRI66" s="557"/>
      <c r="FRJ66" s="557"/>
      <c r="FRK66" s="557"/>
      <c r="FRL66" s="557"/>
      <c r="FRM66" s="557"/>
      <c r="FRN66" s="557"/>
      <c r="FRO66" s="661"/>
      <c r="FRP66" s="556"/>
      <c r="FRQ66" s="557"/>
      <c r="FRR66" s="557"/>
      <c r="FRS66" s="557"/>
      <c r="FRT66" s="557"/>
      <c r="FRU66" s="557"/>
      <c r="FRV66" s="557"/>
      <c r="FRW66" s="557"/>
      <c r="FRX66" s="557"/>
      <c r="FRY66" s="557"/>
      <c r="FRZ66" s="557"/>
      <c r="FSA66" s="557"/>
      <c r="FSB66" s="557"/>
      <c r="FSC66" s="557"/>
      <c r="FSD66" s="557"/>
      <c r="FSE66" s="557"/>
      <c r="FSF66" s="557"/>
      <c r="FSG66" s="557"/>
      <c r="FSH66" s="557"/>
      <c r="FSI66" s="661"/>
      <c r="FSJ66" s="556"/>
      <c r="FSK66" s="557"/>
      <c r="FSL66" s="557"/>
      <c r="FSM66" s="557"/>
      <c r="FSN66" s="557"/>
      <c r="FSO66" s="557"/>
      <c r="FSP66" s="557"/>
      <c r="FSQ66" s="557"/>
      <c r="FSR66" s="557"/>
      <c r="FSS66" s="557"/>
      <c r="FST66" s="557"/>
      <c r="FSU66" s="557"/>
      <c r="FSV66" s="557"/>
      <c r="FSW66" s="557"/>
      <c r="FSX66" s="557"/>
      <c r="FSY66" s="557"/>
      <c r="FSZ66" s="557"/>
      <c r="FTA66" s="557"/>
      <c r="FTB66" s="557"/>
      <c r="FTC66" s="661"/>
      <c r="FTD66" s="556"/>
      <c r="FTE66" s="557"/>
      <c r="FTF66" s="557"/>
      <c r="FTG66" s="557"/>
      <c r="FTH66" s="557"/>
      <c r="FTI66" s="557"/>
      <c r="FTJ66" s="557"/>
      <c r="FTK66" s="557"/>
      <c r="FTL66" s="557"/>
      <c r="FTM66" s="557"/>
      <c r="FTN66" s="557"/>
      <c r="FTO66" s="557"/>
      <c r="FTP66" s="557"/>
      <c r="FTQ66" s="557"/>
      <c r="FTR66" s="557"/>
      <c r="FTS66" s="557"/>
      <c r="FTT66" s="557"/>
      <c r="FTU66" s="557"/>
      <c r="FTV66" s="557"/>
      <c r="FTW66" s="661"/>
      <c r="FTX66" s="556"/>
      <c r="FTY66" s="557"/>
      <c r="FTZ66" s="557"/>
      <c r="FUA66" s="557"/>
      <c r="FUB66" s="557"/>
      <c r="FUC66" s="557"/>
      <c r="FUD66" s="557"/>
      <c r="FUE66" s="557"/>
      <c r="FUF66" s="557"/>
      <c r="FUG66" s="557"/>
      <c r="FUH66" s="557"/>
      <c r="FUI66" s="557"/>
      <c r="FUJ66" s="557"/>
      <c r="FUK66" s="557"/>
      <c r="FUL66" s="557"/>
      <c r="FUM66" s="557"/>
      <c r="FUN66" s="557"/>
      <c r="FUO66" s="557"/>
      <c r="FUP66" s="557"/>
      <c r="FUQ66" s="661"/>
      <c r="FUR66" s="556"/>
      <c r="FUS66" s="557"/>
      <c r="FUT66" s="557"/>
      <c r="FUU66" s="557"/>
      <c r="FUV66" s="557"/>
      <c r="FUW66" s="557"/>
      <c r="FUX66" s="557"/>
      <c r="FUY66" s="557"/>
      <c r="FUZ66" s="557"/>
      <c r="FVA66" s="557"/>
      <c r="FVB66" s="557"/>
      <c r="FVC66" s="557"/>
      <c r="FVD66" s="557"/>
      <c r="FVE66" s="557"/>
      <c r="FVF66" s="557"/>
      <c r="FVG66" s="557"/>
      <c r="FVH66" s="557"/>
      <c r="FVI66" s="557"/>
      <c r="FVJ66" s="557"/>
      <c r="FVK66" s="661"/>
      <c r="FVL66" s="556"/>
      <c r="FVM66" s="557"/>
      <c r="FVN66" s="557"/>
      <c r="FVO66" s="557"/>
      <c r="FVP66" s="557"/>
      <c r="FVQ66" s="557"/>
      <c r="FVR66" s="557"/>
      <c r="FVS66" s="557"/>
      <c r="FVT66" s="557"/>
      <c r="FVU66" s="557"/>
      <c r="FVV66" s="557"/>
      <c r="FVW66" s="557"/>
      <c r="FVX66" s="557"/>
      <c r="FVY66" s="557"/>
      <c r="FVZ66" s="557"/>
      <c r="FWA66" s="557"/>
      <c r="FWB66" s="557"/>
      <c r="FWC66" s="557"/>
      <c r="FWD66" s="557"/>
      <c r="FWE66" s="661"/>
      <c r="FWF66" s="556"/>
      <c r="FWG66" s="557"/>
      <c r="FWH66" s="557"/>
      <c r="FWI66" s="557"/>
      <c r="FWJ66" s="557"/>
      <c r="FWK66" s="557"/>
      <c r="FWL66" s="557"/>
      <c r="FWM66" s="557"/>
      <c r="FWN66" s="557"/>
      <c r="FWO66" s="557"/>
      <c r="FWP66" s="557"/>
      <c r="FWQ66" s="557"/>
      <c r="FWR66" s="557"/>
      <c r="FWS66" s="557"/>
      <c r="FWT66" s="557"/>
      <c r="FWU66" s="557"/>
      <c r="FWV66" s="557"/>
      <c r="FWW66" s="557"/>
      <c r="FWX66" s="557"/>
      <c r="FWY66" s="661"/>
      <c r="FWZ66" s="556"/>
      <c r="FXA66" s="557"/>
      <c r="FXB66" s="557"/>
      <c r="FXC66" s="557"/>
      <c r="FXD66" s="557"/>
      <c r="FXE66" s="557"/>
      <c r="FXF66" s="557"/>
      <c r="FXG66" s="557"/>
      <c r="FXH66" s="557"/>
      <c r="FXI66" s="557"/>
      <c r="FXJ66" s="557"/>
      <c r="FXK66" s="557"/>
      <c r="FXL66" s="557"/>
      <c r="FXM66" s="557"/>
      <c r="FXN66" s="557"/>
      <c r="FXO66" s="557"/>
      <c r="FXP66" s="557"/>
      <c r="FXQ66" s="557"/>
      <c r="FXR66" s="557"/>
      <c r="FXS66" s="661"/>
      <c r="FXT66" s="556"/>
      <c r="FXU66" s="557"/>
      <c r="FXV66" s="557"/>
      <c r="FXW66" s="557"/>
      <c r="FXX66" s="557"/>
      <c r="FXY66" s="557"/>
      <c r="FXZ66" s="557"/>
      <c r="FYA66" s="557"/>
      <c r="FYB66" s="557"/>
      <c r="FYC66" s="557"/>
      <c r="FYD66" s="557"/>
      <c r="FYE66" s="557"/>
      <c r="FYF66" s="557"/>
      <c r="FYG66" s="557"/>
      <c r="FYH66" s="557"/>
      <c r="FYI66" s="557"/>
      <c r="FYJ66" s="557"/>
      <c r="FYK66" s="557"/>
      <c r="FYL66" s="557"/>
      <c r="FYM66" s="661"/>
      <c r="FYN66" s="556"/>
      <c r="FYO66" s="557"/>
      <c r="FYP66" s="557"/>
      <c r="FYQ66" s="557"/>
      <c r="FYR66" s="557"/>
      <c r="FYS66" s="557"/>
      <c r="FYT66" s="557"/>
      <c r="FYU66" s="557"/>
      <c r="FYV66" s="557"/>
      <c r="FYW66" s="557"/>
      <c r="FYX66" s="557"/>
      <c r="FYY66" s="557"/>
      <c r="FYZ66" s="557"/>
      <c r="FZA66" s="557"/>
      <c r="FZB66" s="557"/>
      <c r="FZC66" s="557"/>
      <c r="FZD66" s="557"/>
      <c r="FZE66" s="557"/>
      <c r="FZF66" s="557"/>
      <c r="FZG66" s="661"/>
      <c r="FZH66" s="556"/>
      <c r="FZI66" s="557"/>
      <c r="FZJ66" s="557"/>
      <c r="FZK66" s="557"/>
      <c r="FZL66" s="557"/>
      <c r="FZM66" s="557"/>
      <c r="FZN66" s="557"/>
      <c r="FZO66" s="557"/>
      <c r="FZP66" s="557"/>
      <c r="FZQ66" s="557"/>
      <c r="FZR66" s="557"/>
      <c r="FZS66" s="557"/>
      <c r="FZT66" s="557"/>
      <c r="FZU66" s="557"/>
      <c r="FZV66" s="557"/>
      <c r="FZW66" s="557"/>
      <c r="FZX66" s="557"/>
      <c r="FZY66" s="557"/>
      <c r="FZZ66" s="557"/>
      <c r="GAA66" s="661"/>
      <c r="GAB66" s="556"/>
      <c r="GAC66" s="557"/>
      <c r="GAD66" s="557"/>
      <c r="GAE66" s="557"/>
      <c r="GAF66" s="557"/>
      <c r="GAG66" s="557"/>
      <c r="GAH66" s="557"/>
      <c r="GAI66" s="557"/>
      <c r="GAJ66" s="557"/>
      <c r="GAK66" s="557"/>
      <c r="GAL66" s="557"/>
      <c r="GAM66" s="557"/>
      <c r="GAN66" s="557"/>
      <c r="GAO66" s="557"/>
      <c r="GAP66" s="557"/>
      <c r="GAQ66" s="557"/>
      <c r="GAR66" s="557"/>
      <c r="GAS66" s="557"/>
      <c r="GAT66" s="557"/>
      <c r="GAU66" s="661"/>
      <c r="GAV66" s="556"/>
      <c r="GAW66" s="557"/>
      <c r="GAX66" s="557"/>
      <c r="GAY66" s="557"/>
      <c r="GAZ66" s="557"/>
      <c r="GBA66" s="557"/>
      <c r="GBB66" s="557"/>
      <c r="GBC66" s="557"/>
      <c r="GBD66" s="557"/>
      <c r="GBE66" s="557"/>
      <c r="GBF66" s="557"/>
      <c r="GBG66" s="557"/>
      <c r="GBH66" s="557"/>
      <c r="GBI66" s="557"/>
      <c r="GBJ66" s="557"/>
      <c r="GBK66" s="557"/>
      <c r="GBL66" s="557"/>
      <c r="GBM66" s="557"/>
      <c r="GBN66" s="557"/>
      <c r="GBO66" s="661"/>
      <c r="GBP66" s="556"/>
      <c r="GBQ66" s="557"/>
      <c r="GBR66" s="557"/>
      <c r="GBS66" s="557"/>
      <c r="GBT66" s="557"/>
      <c r="GBU66" s="557"/>
      <c r="GBV66" s="557"/>
      <c r="GBW66" s="557"/>
      <c r="GBX66" s="557"/>
      <c r="GBY66" s="557"/>
      <c r="GBZ66" s="557"/>
      <c r="GCA66" s="557"/>
      <c r="GCB66" s="557"/>
      <c r="GCC66" s="557"/>
      <c r="GCD66" s="557"/>
      <c r="GCE66" s="557"/>
      <c r="GCF66" s="557"/>
      <c r="GCG66" s="557"/>
      <c r="GCH66" s="557"/>
      <c r="GCI66" s="661"/>
      <c r="GCJ66" s="556"/>
      <c r="GCK66" s="557"/>
      <c r="GCL66" s="557"/>
      <c r="GCM66" s="557"/>
      <c r="GCN66" s="557"/>
      <c r="GCO66" s="557"/>
      <c r="GCP66" s="557"/>
      <c r="GCQ66" s="557"/>
      <c r="GCR66" s="557"/>
      <c r="GCS66" s="557"/>
      <c r="GCT66" s="557"/>
      <c r="GCU66" s="557"/>
      <c r="GCV66" s="557"/>
      <c r="GCW66" s="557"/>
      <c r="GCX66" s="557"/>
      <c r="GCY66" s="557"/>
      <c r="GCZ66" s="557"/>
      <c r="GDA66" s="557"/>
      <c r="GDB66" s="557"/>
      <c r="GDC66" s="661"/>
      <c r="GDD66" s="556"/>
      <c r="GDE66" s="557"/>
      <c r="GDF66" s="557"/>
      <c r="GDG66" s="557"/>
      <c r="GDH66" s="557"/>
      <c r="GDI66" s="557"/>
      <c r="GDJ66" s="557"/>
      <c r="GDK66" s="557"/>
      <c r="GDL66" s="557"/>
      <c r="GDM66" s="557"/>
      <c r="GDN66" s="557"/>
      <c r="GDO66" s="557"/>
      <c r="GDP66" s="557"/>
      <c r="GDQ66" s="557"/>
      <c r="GDR66" s="557"/>
      <c r="GDS66" s="557"/>
      <c r="GDT66" s="557"/>
      <c r="GDU66" s="557"/>
      <c r="GDV66" s="557"/>
      <c r="GDW66" s="661"/>
      <c r="GDX66" s="556"/>
      <c r="GDY66" s="557"/>
      <c r="GDZ66" s="557"/>
      <c r="GEA66" s="557"/>
      <c r="GEB66" s="557"/>
      <c r="GEC66" s="557"/>
      <c r="GED66" s="557"/>
      <c r="GEE66" s="557"/>
      <c r="GEF66" s="557"/>
      <c r="GEG66" s="557"/>
      <c r="GEH66" s="557"/>
      <c r="GEI66" s="557"/>
      <c r="GEJ66" s="557"/>
      <c r="GEK66" s="557"/>
      <c r="GEL66" s="557"/>
      <c r="GEM66" s="557"/>
      <c r="GEN66" s="557"/>
      <c r="GEO66" s="557"/>
      <c r="GEP66" s="557"/>
      <c r="GEQ66" s="661"/>
      <c r="GER66" s="556"/>
      <c r="GES66" s="557"/>
      <c r="GET66" s="557"/>
      <c r="GEU66" s="557"/>
      <c r="GEV66" s="557"/>
      <c r="GEW66" s="557"/>
      <c r="GEX66" s="557"/>
      <c r="GEY66" s="557"/>
      <c r="GEZ66" s="557"/>
      <c r="GFA66" s="557"/>
      <c r="GFB66" s="557"/>
      <c r="GFC66" s="557"/>
      <c r="GFD66" s="557"/>
      <c r="GFE66" s="557"/>
      <c r="GFF66" s="557"/>
      <c r="GFG66" s="557"/>
      <c r="GFH66" s="557"/>
      <c r="GFI66" s="557"/>
      <c r="GFJ66" s="557"/>
      <c r="GFK66" s="661"/>
      <c r="GFL66" s="556"/>
      <c r="GFM66" s="557"/>
      <c r="GFN66" s="557"/>
      <c r="GFO66" s="557"/>
      <c r="GFP66" s="557"/>
      <c r="GFQ66" s="557"/>
      <c r="GFR66" s="557"/>
      <c r="GFS66" s="557"/>
      <c r="GFT66" s="557"/>
      <c r="GFU66" s="557"/>
      <c r="GFV66" s="557"/>
      <c r="GFW66" s="557"/>
      <c r="GFX66" s="557"/>
      <c r="GFY66" s="557"/>
      <c r="GFZ66" s="557"/>
      <c r="GGA66" s="557"/>
      <c r="GGB66" s="557"/>
      <c r="GGC66" s="557"/>
      <c r="GGD66" s="557"/>
      <c r="GGE66" s="661"/>
      <c r="GGF66" s="556"/>
      <c r="GGG66" s="557"/>
      <c r="GGH66" s="557"/>
      <c r="GGI66" s="557"/>
      <c r="GGJ66" s="557"/>
      <c r="GGK66" s="557"/>
      <c r="GGL66" s="557"/>
      <c r="GGM66" s="557"/>
      <c r="GGN66" s="557"/>
      <c r="GGO66" s="557"/>
      <c r="GGP66" s="557"/>
      <c r="GGQ66" s="557"/>
      <c r="GGR66" s="557"/>
      <c r="GGS66" s="557"/>
      <c r="GGT66" s="557"/>
      <c r="GGU66" s="557"/>
      <c r="GGV66" s="557"/>
      <c r="GGW66" s="557"/>
      <c r="GGX66" s="557"/>
      <c r="GGY66" s="661"/>
      <c r="GGZ66" s="556"/>
      <c r="GHA66" s="557"/>
      <c r="GHB66" s="557"/>
      <c r="GHC66" s="557"/>
      <c r="GHD66" s="557"/>
      <c r="GHE66" s="557"/>
      <c r="GHF66" s="557"/>
      <c r="GHG66" s="557"/>
      <c r="GHH66" s="557"/>
      <c r="GHI66" s="557"/>
      <c r="GHJ66" s="557"/>
      <c r="GHK66" s="557"/>
      <c r="GHL66" s="557"/>
      <c r="GHM66" s="557"/>
      <c r="GHN66" s="557"/>
      <c r="GHO66" s="557"/>
      <c r="GHP66" s="557"/>
      <c r="GHQ66" s="557"/>
      <c r="GHR66" s="557"/>
      <c r="GHS66" s="661"/>
      <c r="GHT66" s="556"/>
      <c r="GHU66" s="557"/>
      <c r="GHV66" s="557"/>
      <c r="GHW66" s="557"/>
      <c r="GHX66" s="557"/>
      <c r="GHY66" s="557"/>
      <c r="GHZ66" s="557"/>
      <c r="GIA66" s="557"/>
      <c r="GIB66" s="557"/>
      <c r="GIC66" s="557"/>
      <c r="GID66" s="557"/>
      <c r="GIE66" s="557"/>
      <c r="GIF66" s="557"/>
      <c r="GIG66" s="557"/>
      <c r="GIH66" s="557"/>
      <c r="GII66" s="557"/>
      <c r="GIJ66" s="557"/>
      <c r="GIK66" s="557"/>
      <c r="GIL66" s="557"/>
      <c r="GIM66" s="661"/>
      <c r="GIN66" s="556"/>
      <c r="GIO66" s="557"/>
      <c r="GIP66" s="557"/>
      <c r="GIQ66" s="557"/>
      <c r="GIR66" s="557"/>
      <c r="GIS66" s="557"/>
      <c r="GIT66" s="557"/>
      <c r="GIU66" s="557"/>
      <c r="GIV66" s="557"/>
      <c r="GIW66" s="557"/>
      <c r="GIX66" s="557"/>
      <c r="GIY66" s="557"/>
      <c r="GIZ66" s="557"/>
      <c r="GJA66" s="557"/>
      <c r="GJB66" s="557"/>
      <c r="GJC66" s="557"/>
      <c r="GJD66" s="557"/>
      <c r="GJE66" s="557"/>
      <c r="GJF66" s="557"/>
      <c r="GJG66" s="661"/>
      <c r="GJH66" s="556"/>
      <c r="GJI66" s="557"/>
      <c r="GJJ66" s="557"/>
      <c r="GJK66" s="557"/>
      <c r="GJL66" s="557"/>
      <c r="GJM66" s="557"/>
      <c r="GJN66" s="557"/>
      <c r="GJO66" s="557"/>
      <c r="GJP66" s="557"/>
      <c r="GJQ66" s="557"/>
      <c r="GJR66" s="557"/>
      <c r="GJS66" s="557"/>
      <c r="GJT66" s="557"/>
      <c r="GJU66" s="557"/>
      <c r="GJV66" s="557"/>
      <c r="GJW66" s="557"/>
      <c r="GJX66" s="557"/>
      <c r="GJY66" s="557"/>
      <c r="GJZ66" s="557"/>
      <c r="GKA66" s="661"/>
      <c r="GKB66" s="556"/>
      <c r="GKC66" s="557"/>
      <c r="GKD66" s="557"/>
      <c r="GKE66" s="557"/>
      <c r="GKF66" s="557"/>
      <c r="GKG66" s="557"/>
      <c r="GKH66" s="557"/>
      <c r="GKI66" s="557"/>
      <c r="GKJ66" s="557"/>
      <c r="GKK66" s="557"/>
      <c r="GKL66" s="557"/>
      <c r="GKM66" s="557"/>
      <c r="GKN66" s="557"/>
      <c r="GKO66" s="557"/>
      <c r="GKP66" s="557"/>
      <c r="GKQ66" s="557"/>
      <c r="GKR66" s="557"/>
      <c r="GKS66" s="557"/>
      <c r="GKT66" s="557"/>
      <c r="GKU66" s="661"/>
      <c r="GKV66" s="556"/>
      <c r="GKW66" s="557"/>
      <c r="GKX66" s="557"/>
      <c r="GKY66" s="557"/>
      <c r="GKZ66" s="557"/>
      <c r="GLA66" s="557"/>
      <c r="GLB66" s="557"/>
      <c r="GLC66" s="557"/>
      <c r="GLD66" s="557"/>
      <c r="GLE66" s="557"/>
      <c r="GLF66" s="557"/>
      <c r="GLG66" s="557"/>
      <c r="GLH66" s="557"/>
      <c r="GLI66" s="557"/>
      <c r="GLJ66" s="557"/>
      <c r="GLK66" s="557"/>
      <c r="GLL66" s="557"/>
      <c r="GLM66" s="557"/>
      <c r="GLN66" s="557"/>
      <c r="GLO66" s="661"/>
      <c r="GLP66" s="556"/>
      <c r="GLQ66" s="557"/>
      <c r="GLR66" s="557"/>
      <c r="GLS66" s="557"/>
      <c r="GLT66" s="557"/>
      <c r="GLU66" s="557"/>
      <c r="GLV66" s="557"/>
      <c r="GLW66" s="557"/>
      <c r="GLX66" s="557"/>
      <c r="GLY66" s="557"/>
      <c r="GLZ66" s="557"/>
      <c r="GMA66" s="557"/>
      <c r="GMB66" s="557"/>
      <c r="GMC66" s="557"/>
      <c r="GMD66" s="557"/>
      <c r="GME66" s="557"/>
      <c r="GMF66" s="557"/>
      <c r="GMG66" s="557"/>
      <c r="GMH66" s="557"/>
      <c r="GMI66" s="661"/>
      <c r="GMJ66" s="556"/>
      <c r="GMK66" s="557"/>
      <c r="GML66" s="557"/>
      <c r="GMM66" s="557"/>
      <c r="GMN66" s="557"/>
      <c r="GMO66" s="557"/>
      <c r="GMP66" s="557"/>
      <c r="GMQ66" s="557"/>
      <c r="GMR66" s="557"/>
      <c r="GMS66" s="557"/>
      <c r="GMT66" s="557"/>
      <c r="GMU66" s="557"/>
      <c r="GMV66" s="557"/>
      <c r="GMW66" s="557"/>
      <c r="GMX66" s="557"/>
      <c r="GMY66" s="557"/>
      <c r="GMZ66" s="557"/>
      <c r="GNA66" s="557"/>
      <c r="GNB66" s="557"/>
      <c r="GNC66" s="661"/>
      <c r="GND66" s="556"/>
      <c r="GNE66" s="557"/>
      <c r="GNF66" s="557"/>
      <c r="GNG66" s="557"/>
      <c r="GNH66" s="557"/>
      <c r="GNI66" s="557"/>
      <c r="GNJ66" s="557"/>
      <c r="GNK66" s="557"/>
      <c r="GNL66" s="557"/>
      <c r="GNM66" s="557"/>
      <c r="GNN66" s="557"/>
      <c r="GNO66" s="557"/>
      <c r="GNP66" s="557"/>
      <c r="GNQ66" s="557"/>
      <c r="GNR66" s="557"/>
      <c r="GNS66" s="557"/>
      <c r="GNT66" s="557"/>
      <c r="GNU66" s="557"/>
      <c r="GNV66" s="557"/>
      <c r="GNW66" s="661"/>
      <c r="GNX66" s="556"/>
      <c r="GNY66" s="557"/>
      <c r="GNZ66" s="557"/>
      <c r="GOA66" s="557"/>
      <c r="GOB66" s="557"/>
      <c r="GOC66" s="557"/>
      <c r="GOD66" s="557"/>
      <c r="GOE66" s="557"/>
      <c r="GOF66" s="557"/>
      <c r="GOG66" s="557"/>
      <c r="GOH66" s="557"/>
      <c r="GOI66" s="557"/>
      <c r="GOJ66" s="557"/>
      <c r="GOK66" s="557"/>
      <c r="GOL66" s="557"/>
      <c r="GOM66" s="557"/>
      <c r="GON66" s="557"/>
      <c r="GOO66" s="557"/>
      <c r="GOP66" s="557"/>
      <c r="GOQ66" s="661"/>
      <c r="GOR66" s="556"/>
      <c r="GOS66" s="557"/>
      <c r="GOT66" s="557"/>
      <c r="GOU66" s="557"/>
      <c r="GOV66" s="557"/>
      <c r="GOW66" s="557"/>
      <c r="GOX66" s="557"/>
      <c r="GOY66" s="557"/>
      <c r="GOZ66" s="557"/>
      <c r="GPA66" s="557"/>
      <c r="GPB66" s="557"/>
      <c r="GPC66" s="557"/>
      <c r="GPD66" s="557"/>
      <c r="GPE66" s="557"/>
      <c r="GPF66" s="557"/>
      <c r="GPG66" s="557"/>
      <c r="GPH66" s="557"/>
      <c r="GPI66" s="557"/>
      <c r="GPJ66" s="557"/>
      <c r="GPK66" s="661"/>
      <c r="GPL66" s="556"/>
      <c r="GPM66" s="557"/>
      <c r="GPN66" s="557"/>
      <c r="GPO66" s="557"/>
      <c r="GPP66" s="557"/>
      <c r="GPQ66" s="557"/>
      <c r="GPR66" s="557"/>
      <c r="GPS66" s="557"/>
      <c r="GPT66" s="557"/>
      <c r="GPU66" s="557"/>
      <c r="GPV66" s="557"/>
      <c r="GPW66" s="557"/>
      <c r="GPX66" s="557"/>
      <c r="GPY66" s="557"/>
      <c r="GPZ66" s="557"/>
      <c r="GQA66" s="557"/>
      <c r="GQB66" s="557"/>
      <c r="GQC66" s="557"/>
      <c r="GQD66" s="557"/>
      <c r="GQE66" s="661"/>
      <c r="GQF66" s="556"/>
      <c r="GQG66" s="557"/>
      <c r="GQH66" s="557"/>
      <c r="GQI66" s="557"/>
      <c r="GQJ66" s="557"/>
      <c r="GQK66" s="557"/>
      <c r="GQL66" s="557"/>
      <c r="GQM66" s="557"/>
      <c r="GQN66" s="557"/>
      <c r="GQO66" s="557"/>
      <c r="GQP66" s="557"/>
      <c r="GQQ66" s="557"/>
      <c r="GQR66" s="557"/>
      <c r="GQS66" s="557"/>
      <c r="GQT66" s="557"/>
      <c r="GQU66" s="557"/>
      <c r="GQV66" s="557"/>
      <c r="GQW66" s="557"/>
      <c r="GQX66" s="557"/>
      <c r="GQY66" s="661"/>
      <c r="GQZ66" s="556"/>
      <c r="GRA66" s="557"/>
      <c r="GRB66" s="557"/>
      <c r="GRC66" s="557"/>
      <c r="GRD66" s="557"/>
      <c r="GRE66" s="557"/>
      <c r="GRF66" s="557"/>
      <c r="GRG66" s="557"/>
      <c r="GRH66" s="557"/>
      <c r="GRI66" s="557"/>
      <c r="GRJ66" s="557"/>
      <c r="GRK66" s="557"/>
      <c r="GRL66" s="557"/>
      <c r="GRM66" s="557"/>
      <c r="GRN66" s="557"/>
      <c r="GRO66" s="557"/>
      <c r="GRP66" s="557"/>
      <c r="GRQ66" s="557"/>
      <c r="GRR66" s="557"/>
      <c r="GRS66" s="661"/>
      <c r="GRT66" s="556"/>
      <c r="GRU66" s="557"/>
      <c r="GRV66" s="557"/>
      <c r="GRW66" s="557"/>
      <c r="GRX66" s="557"/>
      <c r="GRY66" s="557"/>
      <c r="GRZ66" s="557"/>
      <c r="GSA66" s="557"/>
      <c r="GSB66" s="557"/>
      <c r="GSC66" s="557"/>
      <c r="GSD66" s="557"/>
      <c r="GSE66" s="557"/>
      <c r="GSF66" s="557"/>
      <c r="GSG66" s="557"/>
      <c r="GSH66" s="557"/>
      <c r="GSI66" s="557"/>
      <c r="GSJ66" s="557"/>
      <c r="GSK66" s="557"/>
      <c r="GSL66" s="557"/>
      <c r="GSM66" s="661"/>
      <c r="GSN66" s="556"/>
      <c r="GSO66" s="557"/>
      <c r="GSP66" s="557"/>
      <c r="GSQ66" s="557"/>
      <c r="GSR66" s="557"/>
      <c r="GSS66" s="557"/>
      <c r="GST66" s="557"/>
      <c r="GSU66" s="557"/>
      <c r="GSV66" s="557"/>
      <c r="GSW66" s="557"/>
      <c r="GSX66" s="557"/>
      <c r="GSY66" s="557"/>
      <c r="GSZ66" s="557"/>
      <c r="GTA66" s="557"/>
      <c r="GTB66" s="557"/>
      <c r="GTC66" s="557"/>
      <c r="GTD66" s="557"/>
      <c r="GTE66" s="557"/>
      <c r="GTF66" s="557"/>
      <c r="GTG66" s="661"/>
      <c r="GTH66" s="556"/>
      <c r="GTI66" s="557"/>
      <c r="GTJ66" s="557"/>
      <c r="GTK66" s="557"/>
      <c r="GTL66" s="557"/>
      <c r="GTM66" s="557"/>
      <c r="GTN66" s="557"/>
      <c r="GTO66" s="557"/>
      <c r="GTP66" s="557"/>
      <c r="GTQ66" s="557"/>
      <c r="GTR66" s="557"/>
      <c r="GTS66" s="557"/>
      <c r="GTT66" s="557"/>
      <c r="GTU66" s="557"/>
      <c r="GTV66" s="557"/>
      <c r="GTW66" s="557"/>
      <c r="GTX66" s="557"/>
      <c r="GTY66" s="557"/>
      <c r="GTZ66" s="557"/>
      <c r="GUA66" s="661"/>
      <c r="GUB66" s="556"/>
      <c r="GUC66" s="557"/>
      <c r="GUD66" s="557"/>
      <c r="GUE66" s="557"/>
      <c r="GUF66" s="557"/>
      <c r="GUG66" s="557"/>
      <c r="GUH66" s="557"/>
      <c r="GUI66" s="557"/>
      <c r="GUJ66" s="557"/>
      <c r="GUK66" s="557"/>
      <c r="GUL66" s="557"/>
      <c r="GUM66" s="557"/>
      <c r="GUN66" s="557"/>
      <c r="GUO66" s="557"/>
      <c r="GUP66" s="557"/>
      <c r="GUQ66" s="557"/>
      <c r="GUR66" s="557"/>
      <c r="GUS66" s="557"/>
      <c r="GUT66" s="557"/>
      <c r="GUU66" s="661"/>
      <c r="GUV66" s="556"/>
      <c r="GUW66" s="557"/>
      <c r="GUX66" s="557"/>
      <c r="GUY66" s="557"/>
      <c r="GUZ66" s="557"/>
      <c r="GVA66" s="557"/>
      <c r="GVB66" s="557"/>
      <c r="GVC66" s="557"/>
      <c r="GVD66" s="557"/>
      <c r="GVE66" s="557"/>
      <c r="GVF66" s="557"/>
      <c r="GVG66" s="557"/>
      <c r="GVH66" s="557"/>
      <c r="GVI66" s="557"/>
      <c r="GVJ66" s="557"/>
      <c r="GVK66" s="557"/>
      <c r="GVL66" s="557"/>
      <c r="GVM66" s="557"/>
      <c r="GVN66" s="557"/>
      <c r="GVO66" s="661"/>
      <c r="GVP66" s="556"/>
      <c r="GVQ66" s="557"/>
      <c r="GVR66" s="557"/>
      <c r="GVS66" s="557"/>
      <c r="GVT66" s="557"/>
      <c r="GVU66" s="557"/>
      <c r="GVV66" s="557"/>
      <c r="GVW66" s="557"/>
      <c r="GVX66" s="557"/>
      <c r="GVY66" s="557"/>
      <c r="GVZ66" s="557"/>
      <c r="GWA66" s="557"/>
      <c r="GWB66" s="557"/>
      <c r="GWC66" s="557"/>
      <c r="GWD66" s="557"/>
      <c r="GWE66" s="557"/>
      <c r="GWF66" s="557"/>
      <c r="GWG66" s="557"/>
      <c r="GWH66" s="557"/>
      <c r="GWI66" s="661"/>
      <c r="GWJ66" s="556"/>
      <c r="GWK66" s="557"/>
      <c r="GWL66" s="557"/>
      <c r="GWM66" s="557"/>
      <c r="GWN66" s="557"/>
      <c r="GWO66" s="557"/>
      <c r="GWP66" s="557"/>
      <c r="GWQ66" s="557"/>
      <c r="GWR66" s="557"/>
      <c r="GWS66" s="557"/>
      <c r="GWT66" s="557"/>
      <c r="GWU66" s="557"/>
      <c r="GWV66" s="557"/>
      <c r="GWW66" s="557"/>
      <c r="GWX66" s="557"/>
      <c r="GWY66" s="557"/>
      <c r="GWZ66" s="557"/>
      <c r="GXA66" s="557"/>
      <c r="GXB66" s="557"/>
      <c r="GXC66" s="661"/>
      <c r="GXD66" s="556"/>
      <c r="GXE66" s="557"/>
      <c r="GXF66" s="557"/>
      <c r="GXG66" s="557"/>
      <c r="GXH66" s="557"/>
      <c r="GXI66" s="557"/>
      <c r="GXJ66" s="557"/>
      <c r="GXK66" s="557"/>
      <c r="GXL66" s="557"/>
      <c r="GXM66" s="557"/>
      <c r="GXN66" s="557"/>
      <c r="GXO66" s="557"/>
      <c r="GXP66" s="557"/>
      <c r="GXQ66" s="557"/>
      <c r="GXR66" s="557"/>
      <c r="GXS66" s="557"/>
      <c r="GXT66" s="557"/>
      <c r="GXU66" s="557"/>
      <c r="GXV66" s="557"/>
      <c r="GXW66" s="661"/>
      <c r="GXX66" s="556"/>
      <c r="GXY66" s="557"/>
      <c r="GXZ66" s="557"/>
      <c r="GYA66" s="557"/>
      <c r="GYB66" s="557"/>
      <c r="GYC66" s="557"/>
      <c r="GYD66" s="557"/>
      <c r="GYE66" s="557"/>
      <c r="GYF66" s="557"/>
      <c r="GYG66" s="557"/>
      <c r="GYH66" s="557"/>
      <c r="GYI66" s="557"/>
      <c r="GYJ66" s="557"/>
      <c r="GYK66" s="557"/>
      <c r="GYL66" s="557"/>
      <c r="GYM66" s="557"/>
      <c r="GYN66" s="557"/>
      <c r="GYO66" s="557"/>
      <c r="GYP66" s="557"/>
      <c r="GYQ66" s="661"/>
      <c r="GYR66" s="556"/>
      <c r="GYS66" s="557"/>
      <c r="GYT66" s="557"/>
      <c r="GYU66" s="557"/>
      <c r="GYV66" s="557"/>
      <c r="GYW66" s="557"/>
      <c r="GYX66" s="557"/>
      <c r="GYY66" s="557"/>
      <c r="GYZ66" s="557"/>
      <c r="GZA66" s="557"/>
      <c r="GZB66" s="557"/>
      <c r="GZC66" s="557"/>
      <c r="GZD66" s="557"/>
      <c r="GZE66" s="557"/>
      <c r="GZF66" s="557"/>
      <c r="GZG66" s="557"/>
      <c r="GZH66" s="557"/>
      <c r="GZI66" s="557"/>
      <c r="GZJ66" s="557"/>
      <c r="GZK66" s="661"/>
      <c r="GZL66" s="556"/>
      <c r="GZM66" s="557"/>
      <c r="GZN66" s="557"/>
      <c r="GZO66" s="557"/>
      <c r="GZP66" s="557"/>
      <c r="GZQ66" s="557"/>
      <c r="GZR66" s="557"/>
      <c r="GZS66" s="557"/>
      <c r="GZT66" s="557"/>
      <c r="GZU66" s="557"/>
      <c r="GZV66" s="557"/>
      <c r="GZW66" s="557"/>
      <c r="GZX66" s="557"/>
      <c r="GZY66" s="557"/>
      <c r="GZZ66" s="557"/>
      <c r="HAA66" s="557"/>
      <c r="HAB66" s="557"/>
      <c r="HAC66" s="557"/>
      <c r="HAD66" s="557"/>
      <c r="HAE66" s="661"/>
      <c r="HAF66" s="556"/>
      <c r="HAG66" s="557"/>
      <c r="HAH66" s="557"/>
      <c r="HAI66" s="557"/>
      <c r="HAJ66" s="557"/>
      <c r="HAK66" s="557"/>
      <c r="HAL66" s="557"/>
      <c r="HAM66" s="557"/>
      <c r="HAN66" s="557"/>
      <c r="HAO66" s="557"/>
      <c r="HAP66" s="557"/>
      <c r="HAQ66" s="557"/>
      <c r="HAR66" s="557"/>
      <c r="HAS66" s="557"/>
      <c r="HAT66" s="557"/>
      <c r="HAU66" s="557"/>
      <c r="HAV66" s="557"/>
      <c r="HAW66" s="557"/>
      <c r="HAX66" s="557"/>
      <c r="HAY66" s="661"/>
      <c r="HAZ66" s="556"/>
      <c r="HBA66" s="557"/>
      <c r="HBB66" s="557"/>
      <c r="HBC66" s="557"/>
      <c r="HBD66" s="557"/>
      <c r="HBE66" s="557"/>
      <c r="HBF66" s="557"/>
      <c r="HBG66" s="557"/>
      <c r="HBH66" s="557"/>
      <c r="HBI66" s="557"/>
      <c r="HBJ66" s="557"/>
      <c r="HBK66" s="557"/>
      <c r="HBL66" s="557"/>
      <c r="HBM66" s="557"/>
      <c r="HBN66" s="557"/>
      <c r="HBO66" s="557"/>
      <c r="HBP66" s="557"/>
      <c r="HBQ66" s="557"/>
      <c r="HBR66" s="557"/>
      <c r="HBS66" s="661"/>
      <c r="HBT66" s="556"/>
      <c r="HBU66" s="557"/>
      <c r="HBV66" s="557"/>
      <c r="HBW66" s="557"/>
      <c r="HBX66" s="557"/>
      <c r="HBY66" s="557"/>
      <c r="HBZ66" s="557"/>
      <c r="HCA66" s="557"/>
      <c r="HCB66" s="557"/>
      <c r="HCC66" s="557"/>
      <c r="HCD66" s="557"/>
      <c r="HCE66" s="557"/>
      <c r="HCF66" s="557"/>
      <c r="HCG66" s="557"/>
      <c r="HCH66" s="557"/>
      <c r="HCI66" s="557"/>
      <c r="HCJ66" s="557"/>
      <c r="HCK66" s="557"/>
      <c r="HCL66" s="557"/>
      <c r="HCM66" s="661"/>
      <c r="HCN66" s="556"/>
      <c r="HCO66" s="557"/>
      <c r="HCP66" s="557"/>
      <c r="HCQ66" s="557"/>
      <c r="HCR66" s="557"/>
      <c r="HCS66" s="557"/>
      <c r="HCT66" s="557"/>
      <c r="HCU66" s="557"/>
      <c r="HCV66" s="557"/>
      <c r="HCW66" s="557"/>
      <c r="HCX66" s="557"/>
      <c r="HCY66" s="557"/>
      <c r="HCZ66" s="557"/>
      <c r="HDA66" s="557"/>
      <c r="HDB66" s="557"/>
      <c r="HDC66" s="557"/>
      <c r="HDD66" s="557"/>
      <c r="HDE66" s="557"/>
      <c r="HDF66" s="557"/>
      <c r="HDG66" s="661"/>
      <c r="HDH66" s="556"/>
      <c r="HDI66" s="557"/>
      <c r="HDJ66" s="557"/>
      <c r="HDK66" s="557"/>
      <c r="HDL66" s="557"/>
      <c r="HDM66" s="557"/>
      <c r="HDN66" s="557"/>
      <c r="HDO66" s="557"/>
      <c r="HDP66" s="557"/>
      <c r="HDQ66" s="557"/>
      <c r="HDR66" s="557"/>
      <c r="HDS66" s="557"/>
      <c r="HDT66" s="557"/>
      <c r="HDU66" s="557"/>
      <c r="HDV66" s="557"/>
      <c r="HDW66" s="557"/>
      <c r="HDX66" s="557"/>
      <c r="HDY66" s="557"/>
      <c r="HDZ66" s="557"/>
      <c r="HEA66" s="661"/>
      <c r="HEB66" s="556"/>
      <c r="HEC66" s="557"/>
      <c r="HED66" s="557"/>
      <c r="HEE66" s="557"/>
      <c r="HEF66" s="557"/>
      <c r="HEG66" s="557"/>
      <c r="HEH66" s="557"/>
      <c r="HEI66" s="557"/>
      <c r="HEJ66" s="557"/>
      <c r="HEK66" s="557"/>
      <c r="HEL66" s="557"/>
      <c r="HEM66" s="557"/>
      <c r="HEN66" s="557"/>
      <c r="HEO66" s="557"/>
      <c r="HEP66" s="557"/>
      <c r="HEQ66" s="557"/>
      <c r="HER66" s="557"/>
      <c r="HES66" s="557"/>
      <c r="HET66" s="557"/>
      <c r="HEU66" s="661"/>
      <c r="HEV66" s="556"/>
      <c r="HEW66" s="557"/>
      <c r="HEX66" s="557"/>
      <c r="HEY66" s="557"/>
      <c r="HEZ66" s="557"/>
      <c r="HFA66" s="557"/>
      <c r="HFB66" s="557"/>
      <c r="HFC66" s="557"/>
      <c r="HFD66" s="557"/>
      <c r="HFE66" s="557"/>
      <c r="HFF66" s="557"/>
      <c r="HFG66" s="557"/>
      <c r="HFH66" s="557"/>
      <c r="HFI66" s="557"/>
      <c r="HFJ66" s="557"/>
      <c r="HFK66" s="557"/>
      <c r="HFL66" s="557"/>
      <c r="HFM66" s="557"/>
      <c r="HFN66" s="557"/>
      <c r="HFO66" s="661"/>
      <c r="HFP66" s="556"/>
      <c r="HFQ66" s="557"/>
      <c r="HFR66" s="557"/>
      <c r="HFS66" s="557"/>
      <c r="HFT66" s="557"/>
      <c r="HFU66" s="557"/>
      <c r="HFV66" s="557"/>
      <c r="HFW66" s="557"/>
      <c r="HFX66" s="557"/>
      <c r="HFY66" s="557"/>
      <c r="HFZ66" s="557"/>
      <c r="HGA66" s="557"/>
      <c r="HGB66" s="557"/>
      <c r="HGC66" s="557"/>
      <c r="HGD66" s="557"/>
      <c r="HGE66" s="557"/>
      <c r="HGF66" s="557"/>
      <c r="HGG66" s="557"/>
      <c r="HGH66" s="557"/>
      <c r="HGI66" s="661"/>
      <c r="HGJ66" s="556"/>
      <c r="HGK66" s="557"/>
      <c r="HGL66" s="557"/>
      <c r="HGM66" s="557"/>
      <c r="HGN66" s="557"/>
      <c r="HGO66" s="557"/>
      <c r="HGP66" s="557"/>
      <c r="HGQ66" s="557"/>
      <c r="HGR66" s="557"/>
      <c r="HGS66" s="557"/>
      <c r="HGT66" s="557"/>
      <c r="HGU66" s="557"/>
      <c r="HGV66" s="557"/>
      <c r="HGW66" s="557"/>
      <c r="HGX66" s="557"/>
      <c r="HGY66" s="557"/>
      <c r="HGZ66" s="557"/>
      <c r="HHA66" s="557"/>
      <c r="HHB66" s="557"/>
      <c r="HHC66" s="661"/>
      <c r="HHD66" s="556"/>
      <c r="HHE66" s="557"/>
      <c r="HHF66" s="557"/>
      <c r="HHG66" s="557"/>
      <c r="HHH66" s="557"/>
      <c r="HHI66" s="557"/>
      <c r="HHJ66" s="557"/>
      <c r="HHK66" s="557"/>
      <c r="HHL66" s="557"/>
      <c r="HHM66" s="557"/>
      <c r="HHN66" s="557"/>
      <c r="HHO66" s="557"/>
      <c r="HHP66" s="557"/>
      <c r="HHQ66" s="557"/>
      <c r="HHR66" s="557"/>
      <c r="HHS66" s="557"/>
      <c r="HHT66" s="557"/>
      <c r="HHU66" s="557"/>
      <c r="HHV66" s="557"/>
      <c r="HHW66" s="661"/>
      <c r="HHX66" s="556"/>
      <c r="HHY66" s="557"/>
      <c r="HHZ66" s="557"/>
      <c r="HIA66" s="557"/>
      <c r="HIB66" s="557"/>
      <c r="HIC66" s="557"/>
      <c r="HID66" s="557"/>
      <c r="HIE66" s="557"/>
      <c r="HIF66" s="557"/>
      <c r="HIG66" s="557"/>
      <c r="HIH66" s="557"/>
      <c r="HII66" s="557"/>
      <c r="HIJ66" s="557"/>
      <c r="HIK66" s="557"/>
      <c r="HIL66" s="557"/>
      <c r="HIM66" s="557"/>
      <c r="HIN66" s="557"/>
      <c r="HIO66" s="557"/>
      <c r="HIP66" s="557"/>
      <c r="HIQ66" s="661"/>
      <c r="HIR66" s="556"/>
      <c r="HIS66" s="557"/>
      <c r="HIT66" s="557"/>
      <c r="HIU66" s="557"/>
      <c r="HIV66" s="557"/>
      <c r="HIW66" s="557"/>
      <c r="HIX66" s="557"/>
      <c r="HIY66" s="557"/>
      <c r="HIZ66" s="557"/>
      <c r="HJA66" s="557"/>
      <c r="HJB66" s="557"/>
      <c r="HJC66" s="557"/>
      <c r="HJD66" s="557"/>
      <c r="HJE66" s="557"/>
      <c r="HJF66" s="557"/>
      <c r="HJG66" s="557"/>
      <c r="HJH66" s="557"/>
      <c r="HJI66" s="557"/>
      <c r="HJJ66" s="557"/>
      <c r="HJK66" s="661"/>
      <c r="HJL66" s="556"/>
      <c r="HJM66" s="557"/>
      <c r="HJN66" s="557"/>
      <c r="HJO66" s="557"/>
      <c r="HJP66" s="557"/>
      <c r="HJQ66" s="557"/>
      <c r="HJR66" s="557"/>
      <c r="HJS66" s="557"/>
      <c r="HJT66" s="557"/>
      <c r="HJU66" s="557"/>
      <c r="HJV66" s="557"/>
      <c r="HJW66" s="557"/>
      <c r="HJX66" s="557"/>
      <c r="HJY66" s="557"/>
      <c r="HJZ66" s="557"/>
      <c r="HKA66" s="557"/>
      <c r="HKB66" s="557"/>
      <c r="HKC66" s="557"/>
      <c r="HKD66" s="557"/>
      <c r="HKE66" s="661"/>
      <c r="HKF66" s="556"/>
      <c r="HKG66" s="557"/>
      <c r="HKH66" s="557"/>
      <c r="HKI66" s="557"/>
      <c r="HKJ66" s="557"/>
      <c r="HKK66" s="557"/>
      <c r="HKL66" s="557"/>
      <c r="HKM66" s="557"/>
      <c r="HKN66" s="557"/>
      <c r="HKO66" s="557"/>
      <c r="HKP66" s="557"/>
      <c r="HKQ66" s="557"/>
      <c r="HKR66" s="557"/>
      <c r="HKS66" s="557"/>
      <c r="HKT66" s="557"/>
      <c r="HKU66" s="557"/>
      <c r="HKV66" s="557"/>
      <c r="HKW66" s="557"/>
      <c r="HKX66" s="557"/>
      <c r="HKY66" s="661"/>
      <c r="HKZ66" s="556"/>
      <c r="HLA66" s="557"/>
      <c r="HLB66" s="557"/>
      <c r="HLC66" s="557"/>
      <c r="HLD66" s="557"/>
      <c r="HLE66" s="557"/>
      <c r="HLF66" s="557"/>
      <c r="HLG66" s="557"/>
      <c r="HLH66" s="557"/>
      <c r="HLI66" s="557"/>
      <c r="HLJ66" s="557"/>
      <c r="HLK66" s="557"/>
      <c r="HLL66" s="557"/>
      <c r="HLM66" s="557"/>
      <c r="HLN66" s="557"/>
      <c r="HLO66" s="557"/>
      <c r="HLP66" s="557"/>
      <c r="HLQ66" s="557"/>
      <c r="HLR66" s="557"/>
      <c r="HLS66" s="661"/>
      <c r="HLT66" s="556"/>
      <c r="HLU66" s="557"/>
      <c r="HLV66" s="557"/>
      <c r="HLW66" s="557"/>
      <c r="HLX66" s="557"/>
      <c r="HLY66" s="557"/>
      <c r="HLZ66" s="557"/>
      <c r="HMA66" s="557"/>
      <c r="HMB66" s="557"/>
      <c r="HMC66" s="557"/>
      <c r="HMD66" s="557"/>
      <c r="HME66" s="557"/>
      <c r="HMF66" s="557"/>
      <c r="HMG66" s="557"/>
      <c r="HMH66" s="557"/>
      <c r="HMI66" s="557"/>
      <c r="HMJ66" s="557"/>
      <c r="HMK66" s="557"/>
      <c r="HML66" s="557"/>
      <c r="HMM66" s="661"/>
      <c r="HMN66" s="556"/>
      <c r="HMO66" s="557"/>
      <c r="HMP66" s="557"/>
      <c r="HMQ66" s="557"/>
      <c r="HMR66" s="557"/>
      <c r="HMS66" s="557"/>
      <c r="HMT66" s="557"/>
      <c r="HMU66" s="557"/>
      <c r="HMV66" s="557"/>
      <c r="HMW66" s="557"/>
      <c r="HMX66" s="557"/>
      <c r="HMY66" s="557"/>
      <c r="HMZ66" s="557"/>
      <c r="HNA66" s="557"/>
      <c r="HNB66" s="557"/>
      <c r="HNC66" s="557"/>
      <c r="HND66" s="557"/>
      <c r="HNE66" s="557"/>
      <c r="HNF66" s="557"/>
      <c r="HNG66" s="661"/>
      <c r="HNH66" s="556"/>
      <c r="HNI66" s="557"/>
      <c r="HNJ66" s="557"/>
      <c r="HNK66" s="557"/>
      <c r="HNL66" s="557"/>
      <c r="HNM66" s="557"/>
      <c r="HNN66" s="557"/>
      <c r="HNO66" s="557"/>
      <c r="HNP66" s="557"/>
      <c r="HNQ66" s="557"/>
      <c r="HNR66" s="557"/>
      <c r="HNS66" s="557"/>
      <c r="HNT66" s="557"/>
      <c r="HNU66" s="557"/>
      <c r="HNV66" s="557"/>
      <c r="HNW66" s="557"/>
      <c r="HNX66" s="557"/>
      <c r="HNY66" s="557"/>
      <c r="HNZ66" s="557"/>
      <c r="HOA66" s="661"/>
      <c r="HOB66" s="556"/>
      <c r="HOC66" s="557"/>
      <c r="HOD66" s="557"/>
      <c r="HOE66" s="557"/>
      <c r="HOF66" s="557"/>
      <c r="HOG66" s="557"/>
      <c r="HOH66" s="557"/>
      <c r="HOI66" s="557"/>
      <c r="HOJ66" s="557"/>
      <c r="HOK66" s="557"/>
      <c r="HOL66" s="557"/>
      <c r="HOM66" s="557"/>
      <c r="HON66" s="557"/>
      <c r="HOO66" s="557"/>
      <c r="HOP66" s="557"/>
      <c r="HOQ66" s="557"/>
      <c r="HOR66" s="557"/>
      <c r="HOS66" s="557"/>
      <c r="HOT66" s="557"/>
      <c r="HOU66" s="661"/>
      <c r="HOV66" s="556"/>
      <c r="HOW66" s="557"/>
      <c r="HOX66" s="557"/>
      <c r="HOY66" s="557"/>
      <c r="HOZ66" s="557"/>
      <c r="HPA66" s="557"/>
      <c r="HPB66" s="557"/>
      <c r="HPC66" s="557"/>
      <c r="HPD66" s="557"/>
      <c r="HPE66" s="557"/>
      <c r="HPF66" s="557"/>
      <c r="HPG66" s="557"/>
      <c r="HPH66" s="557"/>
      <c r="HPI66" s="557"/>
      <c r="HPJ66" s="557"/>
      <c r="HPK66" s="557"/>
      <c r="HPL66" s="557"/>
      <c r="HPM66" s="557"/>
      <c r="HPN66" s="557"/>
      <c r="HPO66" s="661"/>
      <c r="HPP66" s="556"/>
      <c r="HPQ66" s="557"/>
      <c r="HPR66" s="557"/>
      <c r="HPS66" s="557"/>
      <c r="HPT66" s="557"/>
      <c r="HPU66" s="557"/>
      <c r="HPV66" s="557"/>
      <c r="HPW66" s="557"/>
      <c r="HPX66" s="557"/>
      <c r="HPY66" s="557"/>
      <c r="HPZ66" s="557"/>
      <c r="HQA66" s="557"/>
      <c r="HQB66" s="557"/>
      <c r="HQC66" s="557"/>
      <c r="HQD66" s="557"/>
      <c r="HQE66" s="557"/>
      <c r="HQF66" s="557"/>
      <c r="HQG66" s="557"/>
      <c r="HQH66" s="557"/>
      <c r="HQI66" s="661"/>
      <c r="HQJ66" s="556"/>
      <c r="HQK66" s="557"/>
      <c r="HQL66" s="557"/>
      <c r="HQM66" s="557"/>
      <c r="HQN66" s="557"/>
      <c r="HQO66" s="557"/>
      <c r="HQP66" s="557"/>
      <c r="HQQ66" s="557"/>
      <c r="HQR66" s="557"/>
      <c r="HQS66" s="557"/>
      <c r="HQT66" s="557"/>
      <c r="HQU66" s="557"/>
      <c r="HQV66" s="557"/>
      <c r="HQW66" s="557"/>
      <c r="HQX66" s="557"/>
      <c r="HQY66" s="557"/>
      <c r="HQZ66" s="557"/>
      <c r="HRA66" s="557"/>
      <c r="HRB66" s="557"/>
      <c r="HRC66" s="661"/>
      <c r="HRD66" s="556"/>
      <c r="HRE66" s="557"/>
      <c r="HRF66" s="557"/>
      <c r="HRG66" s="557"/>
      <c r="HRH66" s="557"/>
      <c r="HRI66" s="557"/>
      <c r="HRJ66" s="557"/>
      <c r="HRK66" s="557"/>
      <c r="HRL66" s="557"/>
      <c r="HRM66" s="557"/>
      <c r="HRN66" s="557"/>
      <c r="HRO66" s="557"/>
      <c r="HRP66" s="557"/>
      <c r="HRQ66" s="557"/>
      <c r="HRR66" s="557"/>
      <c r="HRS66" s="557"/>
      <c r="HRT66" s="557"/>
      <c r="HRU66" s="557"/>
      <c r="HRV66" s="557"/>
      <c r="HRW66" s="661"/>
      <c r="HRX66" s="556"/>
      <c r="HRY66" s="557"/>
      <c r="HRZ66" s="557"/>
      <c r="HSA66" s="557"/>
      <c r="HSB66" s="557"/>
      <c r="HSC66" s="557"/>
      <c r="HSD66" s="557"/>
      <c r="HSE66" s="557"/>
      <c r="HSF66" s="557"/>
      <c r="HSG66" s="557"/>
      <c r="HSH66" s="557"/>
      <c r="HSI66" s="557"/>
      <c r="HSJ66" s="557"/>
      <c r="HSK66" s="557"/>
      <c r="HSL66" s="557"/>
      <c r="HSM66" s="557"/>
      <c r="HSN66" s="557"/>
      <c r="HSO66" s="557"/>
      <c r="HSP66" s="557"/>
      <c r="HSQ66" s="661"/>
      <c r="HSR66" s="556"/>
      <c r="HSS66" s="557"/>
      <c r="HST66" s="557"/>
      <c r="HSU66" s="557"/>
      <c r="HSV66" s="557"/>
      <c r="HSW66" s="557"/>
      <c r="HSX66" s="557"/>
      <c r="HSY66" s="557"/>
      <c r="HSZ66" s="557"/>
      <c r="HTA66" s="557"/>
      <c r="HTB66" s="557"/>
      <c r="HTC66" s="557"/>
      <c r="HTD66" s="557"/>
      <c r="HTE66" s="557"/>
      <c r="HTF66" s="557"/>
      <c r="HTG66" s="557"/>
      <c r="HTH66" s="557"/>
      <c r="HTI66" s="557"/>
      <c r="HTJ66" s="557"/>
      <c r="HTK66" s="661"/>
      <c r="HTL66" s="556"/>
      <c r="HTM66" s="557"/>
      <c r="HTN66" s="557"/>
      <c r="HTO66" s="557"/>
      <c r="HTP66" s="557"/>
      <c r="HTQ66" s="557"/>
      <c r="HTR66" s="557"/>
      <c r="HTS66" s="557"/>
      <c r="HTT66" s="557"/>
      <c r="HTU66" s="557"/>
      <c r="HTV66" s="557"/>
      <c r="HTW66" s="557"/>
      <c r="HTX66" s="557"/>
      <c r="HTY66" s="557"/>
      <c r="HTZ66" s="557"/>
      <c r="HUA66" s="557"/>
      <c r="HUB66" s="557"/>
      <c r="HUC66" s="557"/>
      <c r="HUD66" s="557"/>
      <c r="HUE66" s="661"/>
      <c r="HUF66" s="556"/>
      <c r="HUG66" s="557"/>
      <c r="HUH66" s="557"/>
      <c r="HUI66" s="557"/>
      <c r="HUJ66" s="557"/>
      <c r="HUK66" s="557"/>
      <c r="HUL66" s="557"/>
      <c r="HUM66" s="557"/>
      <c r="HUN66" s="557"/>
      <c r="HUO66" s="557"/>
      <c r="HUP66" s="557"/>
      <c r="HUQ66" s="557"/>
      <c r="HUR66" s="557"/>
      <c r="HUS66" s="557"/>
      <c r="HUT66" s="557"/>
      <c r="HUU66" s="557"/>
      <c r="HUV66" s="557"/>
      <c r="HUW66" s="557"/>
      <c r="HUX66" s="557"/>
      <c r="HUY66" s="661"/>
      <c r="HUZ66" s="556"/>
      <c r="HVA66" s="557"/>
      <c r="HVB66" s="557"/>
      <c r="HVC66" s="557"/>
      <c r="HVD66" s="557"/>
      <c r="HVE66" s="557"/>
      <c r="HVF66" s="557"/>
      <c r="HVG66" s="557"/>
      <c r="HVH66" s="557"/>
      <c r="HVI66" s="557"/>
      <c r="HVJ66" s="557"/>
      <c r="HVK66" s="557"/>
      <c r="HVL66" s="557"/>
      <c r="HVM66" s="557"/>
      <c r="HVN66" s="557"/>
      <c r="HVO66" s="557"/>
      <c r="HVP66" s="557"/>
      <c r="HVQ66" s="557"/>
      <c r="HVR66" s="557"/>
      <c r="HVS66" s="661"/>
      <c r="HVT66" s="556"/>
      <c r="HVU66" s="557"/>
      <c r="HVV66" s="557"/>
      <c r="HVW66" s="557"/>
      <c r="HVX66" s="557"/>
      <c r="HVY66" s="557"/>
      <c r="HVZ66" s="557"/>
      <c r="HWA66" s="557"/>
      <c r="HWB66" s="557"/>
      <c r="HWC66" s="557"/>
      <c r="HWD66" s="557"/>
      <c r="HWE66" s="557"/>
      <c r="HWF66" s="557"/>
      <c r="HWG66" s="557"/>
      <c r="HWH66" s="557"/>
      <c r="HWI66" s="557"/>
      <c r="HWJ66" s="557"/>
      <c r="HWK66" s="557"/>
      <c r="HWL66" s="557"/>
      <c r="HWM66" s="661"/>
      <c r="HWN66" s="556"/>
      <c r="HWO66" s="557"/>
      <c r="HWP66" s="557"/>
      <c r="HWQ66" s="557"/>
      <c r="HWR66" s="557"/>
      <c r="HWS66" s="557"/>
      <c r="HWT66" s="557"/>
      <c r="HWU66" s="557"/>
      <c r="HWV66" s="557"/>
      <c r="HWW66" s="557"/>
      <c r="HWX66" s="557"/>
      <c r="HWY66" s="557"/>
      <c r="HWZ66" s="557"/>
      <c r="HXA66" s="557"/>
      <c r="HXB66" s="557"/>
      <c r="HXC66" s="557"/>
      <c r="HXD66" s="557"/>
      <c r="HXE66" s="557"/>
      <c r="HXF66" s="557"/>
      <c r="HXG66" s="661"/>
      <c r="HXH66" s="556"/>
      <c r="HXI66" s="557"/>
      <c r="HXJ66" s="557"/>
      <c r="HXK66" s="557"/>
      <c r="HXL66" s="557"/>
      <c r="HXM66" s="557"/>
      <c r="HXN66" s="557"/>
      <c r="HXO66" s="557"/>
      <c r="HXP66" s="557"/>
      <c r="HXQ66" s="557"/>
      <c r="HXR66" s="557"/>
      <c r="HXS66" s="557"/>
      <c r="HXT66" s="557"/>
      <c r="HXU66" s="557"/>
      <c r="HXV66" s="557"/>
      <c r="HXW66" s="557"/>
      <c r="HXX66" s="557"/>
      <c r="HXY66" s="557"/>
      <c r="HXZ66" s="557"/>
      <c r="HYA66" s="661"/>
      <c r="HYB66" s="556"/>
      <c r="HYC66" s="557"/>
      <c r="HYD66" s="557"/>
      <c r="HYE66" s="557"/>
      <c r="HYF66" s="557"/>
      <c r="HYG66" s="557"/>
      <c r="HYH66" s="557"/>
      <c r="HYI66" s="557"/>
      <c r="HYJ66" s="557"/>
      <c r="HYK66" s="557"/>
      <c r="HYL66" s="557"/>
      <c r="HYM66" s="557"/>
      <c r="HYN66" s="557"/>
      <c r="HYO66" s="557"/>
      <c r="HYP66" s="557"/>
      <c r="HYQ66" s="557"/>
      <c r="HYR66" s="557"/>
      <c r="HYS66" s="557"/>
      <c r="HYT66" s="557"/>
      <c r="HYU66" s="661"/>
      <c r="HYV66" s="556"/>
      <c r="HYW66" s="557"/>
      <c r="HYX66" s="557"/>
      <c r="HYY66" s="557"/>
      <c r="HYZ66" s="557"/>
      <c r="HZA66" s="557"/>
      <c r="HZB66" s="557"/>
      <c r="HZC66" s="557"/>
      <c r="HZD66" s="557"/>
      <c r="HZE66" s="557"/>
      <c r="HZF66" s="557"/>
      <c r="HZG66" s="557"/>
      <c r="HZH66" s="557"/>
      <c r="HZI66" s="557"/>
      <c r="HZJ66" s="557"/>
      <c r="HZK66" s="557"/>
      <c r="HZL66" s="557"/>
      <c r="HZM66" s="557"/>
      <c r="HZN66" s="557"/>
      <c r="HZO66" s="661"/>
      <c r="HZP66" s="556"/>
      <c r="HZQ66" s="557"/>
      <c r="HZR66" s="557"/>
      <c r="HZS66" s="557"/>
      <c r="HZT66" s="557"/>
      <c r="HZU66" s="557"/>
      <c r="HZV66" s="557"/>
      <c r="HZW66" s="557"/>
      <c r="HZX66" s="557"/>
      <c r="HZY66" s="557"/>
      <c r="HZZ66" s="557"/>
      <c r="IAA66" s="557"/>
      <c r="IAB66" s="557"/>
      <c r="IAC66" s="557"/>
      <c r="IAD66" s="557"/>
      <c r="IAE66" s="557"/>
      <c r="IAF66" s="557"/>
      <c r="IAG66" s="557"/>
      <c r="IAH66" s="557"/>
      <c r="IAI66" s="661"/>
      <c r="IAJ66" s="556"/>
      <c r="IAK66" s="557"/>
      <c r="IAL66" s="557"/>
      <c r="IAM66" s="557"/>
      <c r="IAN66" s="557"/>
      <c r="IAO66" s="557"/>
      <c r="IAP66" s="557"/>
      <c r="IAQ66" s="557"/>
      <c r="IAR66" s="557"/>
      <c r="IAS66" s="557"/>
      <c r="IAT66" s="557"/>
      <c r="IAU66" s="557"/>
      <c r="IAV66" s="557"/>
      <c r="IAW66" s="557"/>
      <c r="IAX66" s="557"/>
      <c r="IAY66" s="557"/>
      <c r="IAZ66" s="557"/>
      <c r="IBA66" s="557"/>
      <c r="IBB66" s="557"/>
      <c r="IBC66" s="661"/>
      <c r="IBD66" s="556"/>
      <c r="IBE66" s="557"/>
      <c r="IBF66" s="557"/>
      <c r="IBG66" s="557"/>
      <c r="IBH66" s="557"/>
      <c r="IBI66" s="557"/>
      <c r="IBJ66" s="557"/>
      <c r="IBK66" s="557"/>
      <c r="IBL66" s="557"/>
      <c r="IBM66" s="557"/>
      <c r="IBN66" s="557"/>
      <c r="IBO66" s="557"/>
      <c r="IBP66" s="557"/>
      <c r="IBQ66" s="557"/>
      <c r="IBR66" s="557"/>
      <c r="IBS66" s="557"/>
      <c r="IBT66" s="557"/>
      <c r="IBU66" s="557"/>
      <c r="IBV66" s="557"/>
      <c r="IBW66" s="661"/>
      <c r="IBX66" s="556"/>
      <c r="IBY66" s="557"/>
      <c r="IBZ66" s="557"/>
      <c r="ICA66" s="557"/>
      <c r="ICB66" s="557"/>
      <c r="ICC66" s="557"/>
      <c r="ICD66" s="557"/>
      <c r="ICE66" s="557"/>
      <c r="ICF66" s="557"/>
      <c r="ICG66" s="557"/>
      <c r="ICH66" s="557"/>
      <c r="ICI66" s="557"/>
      <c r="ICJ66" s="557"/>
      <c r="ICK66" s="557"/>
      <c r="ICL66" s="557"/>
      <c r="ICM66" s="557"/>
      <c r="ICN66" s="557"/>
      <c r="ICO66" s="557"/>
      <c r="ICP66" s="557"/>
      <c r="ICQ66" s="661"/>
      <c r="ICR66" s="556"/>
      <c r="ICS66" s="557"/>
      <c r="ICT66" s="557"/>
      <c r="ICU66" s="557"/>
      <c r="ICV66" s="557"/>
      <c r="ICW66" s="557"/>
      <c r="ICX66" s="557"/>
      <c r="ICY66" s="557"/>
      <c r="ICZ66" s="557"/>
      <c r="IDA66" s="557"/>
      <c r="IDB66" s="557"/>
      <c r="IDC66" s="557"/>
      <c r="IDD66" s="557"/>
      <c r="IDE66" s="557"/>
      <c r="IDF66" s="557"/>
      <c r="IDG66" s="557"/>
      <c r="IDH66" s="557"/>
      <c r="IDI66" s="557"/>
      <c r="IDJ66" s="557"/>
      <c r="IDK66" s="661"/>
      <c r="IDL66" s="556"/>
      <c r="IDM66" s="557"/>
      <c r="IDN66" s="557"/>
      <c r="IDO66" s="557"/>
      <c r="IDP66" s="557"/>
      <c r="IDQ66" s="557"/>
      <c r="IDR66" s="557"/>
      <c r="IDS66" s="557"/>
      <c r="IDT66" s="557"/>
      <c r="IDU66" s="557"/>
      <c r="IDV66" s="557"/>
      <c r="IDW66" s="557"/>
      <c r="IDX66" s="557"/>
      <c r="IDY66" s="557"/>
      <c r="IDZ66" s="557"/>
      <c r="IEA66" s="557"/>
      <c r="IEB66" s="557"/>
      <c r="IEC66" s="557"/>
      <c r="IED66" s="557"/>
      <c r="IEE66" s="661"/>
      <c r="IEF66" s="556"/>
      <c r="IEG66" s="557"/>
      <c r="IEH66" s="557"/>
      <c r="IEI66" s="557"/>
      <c r="IEJ66" s="557"/>
      <c r="IEK66" s="557"/>
      <c r="IEL66" s="557"/>
      <c r="IEM66" s="557"/>
      <c r="IEN66" s="557"/>
      <c r="IEO66" s="557"/>
      <c r="IEP66" s="557"/>
      <c r="IEQ66" s="557"/>
      <c r="IER66" s="557"/>
      <c r="IES66" s="557"/>
      <c r="IET66" s="557"/>
      <c r="IEU66" s="557"/>
      <c r="IEV66" s="557"/>
      <c r="IEW66" s="557"/>
      <c r="IEX66" s="557"/>
      <c r="IEY66" s="661"/>
      <c r="IEZ66" s="556"/>
      <c r="IFA66" s="557"/>
      <c r="IFB66" s="557"/>
      <c r="IFC66" s="557"/>
      <c r="IFD66" s="557"/>
      <c r="IFE66" s="557"/>
      <c r="IFF66" s="557"/>
      <c r="IFG66" s="557"/>
      <c r="IFH66" s="557"/>
      <c r="IFI66" s="557"/>
      <c r="IFJ66" s="557"/>
      <c r="IFK66" s="557"/>
      <c r="IFL66" s="557"/>
      <c r="IFM66" s="557"/>
      <c r="IFN66" s="557"/>
      <c r="IFO66" s="557"/>
      <c r="IFP66" s="557"/>
      <c r="IFQ66" s="557"/>
      <c r="IFR66" s="557"/>
      <c r="IFS66" s="661"/>
      <c r="IFT66" s="556"/>
      <c r="IFU66" s="557"/>
      <c r="IFV66" s="557"/>
      <c r="IFW66" s="557"/>
      <c r="IFX66" s="557"/>
      <c r="IFY66" s="557"/>
      <c r="IFZ66" s="557"/>
      <c r="IGA66" s="557"/>
      <c r="IGB66" s="557"/>
      <c r="IGC66" s="557"/>
      <c r="IGD66" s="557"/>
      <c r="IGE66" s="557"/>
      <c r="IGF66" s="557"/>
      <c r="IGG66" s="557"/>
      <c r="IGH66" s="557"/>
      <c r="IGI66" s="557"/>
      <c r="IGJ66" s="557"/>
      <c r="IGK66" s="557"/>
      <c r="IGL66" s="557"/>
      <c r="IGM66" s="661"/>
      <c r="IGN66" s="556"/>
      <c r="IGO66" s="557"/>
      <c r="IGP66" s="557"/>
      <c r="IGQ66" s="557"/>
      <c r="IGR66" s="557"/>
      <c r="IGS66" s="557"/>
      <c r="IGT66" s="557"/>
      <c r="IGU66" s="557"/>
      <c r="IGV66" s="557"/>
      <c r="IGW66" s="557"/>
      <c r="IGX66" s="557"/>
      <c r="IGY66" s="557"/>
      <c r="IGZ66" s="557"/>
      <c r="IHA66" s="557"/>
      <c r="IHB66" s="557"/>
      <c r="IHC66" s="557"/>
      <c r="IHD66" s="557"/>
      <c r="IHE66" s="557"/>
      <c r="IHF66" s="557"/>
      <c r="IHG66" s="661"/>
      <c r="IHH66" s="556"/>
      <c r="IHI66" s="557"/>
      <c r="IHJ66" s="557"/>
      <c r="IHK66" s="557"/>
      <c r="IHL66" s="557"/>
      <c r="IHM66" s="557"/>
      <c r="IHN66" s="557"/>
      <c r="IHO66" s="557"/>
      <c r="IHP66" s="557"/>
      <c r="IHQ66" s="557"/>
      <c r="IHR66" s="557"/>
      <c r="IHS66" s="557"/>
      <c r="IHT66" s="557"/>
      <c r="IHU66" s="557"/>
      <c r="IHV66" s="557"/>
      <c r="IHW66" s="557"/>
      <c r="IHX66" s="557"/>
      <c r="IHY66" s="557"/>
      <c r="IHZ66" s="557"/>
      <c r="IIA66" s="661"/>
      <c r="IIB66" s="556"/>
      <c r="IIC66" s="557"/>
      <c r="IID66" s="557"/>
      <c r="IIE66" s="557"/>
      <c r="IIF66" s="557"/>
      <c r="IIG66" s="557"/>
      <c r="IIH66" s="557"/>
      <c r="III66" s="557"/>
      <c r="IIJ66" s="557"/>
      <c r="IIK66" s="557"/>
      <c r="IIL66" s="557"/>
      <c r="IIM66" s="557"/>
      <c r="IIN66" s="557"/>
      <c r="IIO66" s="557"/>
      <c r="IIP66" s="557"/>
      <c r="IIQ66" s="557"/>
      <c r="IIR66" s="557"/>
      <c r="IIS66" s="557"/>
      <c r="IIT66" s="557"/>
      <c r="IIU66" s="661"/>
      <c r="IIV66" s="556"/>
      <c r="IIW66" s="557"/>
      <c r="IIX66" s="557"/>
      <c r="IIY66" s="557"/>
      <c r="IIZ66" s="557"/>
      <c r="IJA66" s="557"/>
      <c r="IJB66" s="557"/>
      <c r="IJC66" s="557"/>
      <c r="IJD66" s="557"/>
      <c r="IJE66" s="557"/>
      <c r="IJF66" s="557"/>
      <c r="IJG66" s="557"/>
      <c r="IJH66" s="557"/>
      <c r="IJI66" s="557"/>
      <c r="IJJ66" s="557"/>
      <c r="IJK66" s="557"/>
      <c r="IJL66" s="557"/>
      <c r="IJM66" s="557"/>
      <c r="IJN66" s="557"/>
      <c r="IJO66" s="661"/>
      <c r="IJP66" s="556"/>
      <c r="IJQ66" s="557"/>
      <c r="IJR66" s="557"/>
      <c r="IJS66" s="557"/>
      <c r="IJT66" s="557"/>
      <c r="IJU66" s="557"/>
      <c r="IJV66" s="557"/>
      <c r="IJW66" s="557"/>
      <c r="IJX66" s="557"/>
      <c r="IJY66" s="557"/>
      <c r="IJZ66" s="557"/>
      <c r="IKA66" s="557"/>
      <c r="IKB66" s="557"/>
      <c r="IKC66" s="557"/>
      <c r="IKD66" s="557"/>
      <c r="IKE66" s="557"/>
      <c r="IKF66" s="557"/>
      <c r="IKG66" s="557"/>
      <c r="IKH66" s="557"/>
      <c r="IKI66" s="661"/>
      <c r="IKJ66" s="556"/>
      <c r="IKK66" s="557"/>
      <c r="IKL66" s="557"/>
      <c r="IKM66" s="557"/>
      <c r="IKN66" s="557"/>
      <c r="IKO66" s="557"/>
      <c r="IKP66" s="557"/>
      <c r="IKQ66" s="557"/>
      <c r="IKR66" s="557"/>
      <c r="IKS66" s="557"/>
      <c r="IKT66" s="557"/>
      <c r="IKU66" s="557"/>
      <c r="IKV66" s="557"/>
      <c r="IKW66" s="557"/>
      <c r="IKX66" s="557"/>
      <c r="IKY66" s="557"/>
      <c r="IKZ66" s="557"/>
      <c r="ILA66" s="557"/>
      <c r="ILB66" s="557"/>
      <c r="ILC66" s="661"/>
      <c r="ILD66" s="556"/>
      <c r="ILE66" s="557"/>
      <c r="ILF66" s="557"/>
      <c r="ILG66" s="557"/>
      <c r="ILH66" s="557"/>
      <c r="ILI66" s="557"/>
      <c r="ILJ66" s="557"/>
      <c r="ILK66" s="557"/>
      <c r="ILL66" s="557"/>
      <c r="ILM66" s="557"/>
      <c r="ILN66" s="557"/>
      <c r="ILO66" s="557"/>
      <c r="ILP66" s="557"/>
      <c r="ILQ66" s="557"/>
      <c r="ILR66" s="557"/>
      <c r="ILS66" s="557"/>
      <c r="ILT66" s="557"/>
      <c r="ILU66" s="557"/>
      <c r="ILV66" s="557"/>
      <c r="ILW66" s="661"/>
      <c r="ILX66" s="556"/>
      <c r="ILY66" s="557"/>
      <c r="ILZ66" s="557"/>
      <c r="IMA66" s="557"/>
      <c r="IMB66" s="557"/>
      <c r="IMC66" s="557"/>
      <c r="IMD66" s="557"/>
      <c r="IME66" s="557"/>
      <c r="IMF66" s="557"/>
      <c r="IMG66" s="557"/>
      <c r="IMH66" s="557"/>
      <c r="IMI66" s="557"/>
      <c r="IMJ66" s="557"/>
      <c r="IMK66" s="557"/>
      <c r="IML66" s="557"/>
      <c r="IMM66" s="557"/>
      <c r="IMN66" s="557"/>
      <c r="IMO66" s="557"/>
      <c r="IMP66" s="557"/>
      <c r="IMQ66" s="661"/>
      <c r="IMR66" s="556"/>
      <c r="IMS66" s="557"/>
      <c r="IMT66" s="557"/>
      <c r="IMU66" s="557"/>
      <c r="IMV66" s="557"/>
      <c r="IMW66" s="557"/>
      <c r="IMX66" s="557"/>
      <c r="IMY66" s="557"/>
      <c r="IMZ66" s="557"/>
      <c r="INA66" s="557"/>
      <c r="INB66" s="557"/>
      <c r="INC66" s="557"/>
      <c r="IND66" s="557"/>
      <c r="INE66" s="557"/>
      <c r="INF66" s="557"/>
      <c r="ING66" s="557"/>
      <c r="INH66" s="557"/>
      <c r="INI66" s="557"/>
      <c r="INJ66" s="557"/>
      <c r="INK66" s="661"/>
      <c r="INL66" s="556"/>
      <c r="INM66" s="557"/>
      <c r="INN66" s="557"/>
      <c r="INO66" s="557"/>
      <c r="INP66" s="557"/>
      <c r="INQ66" s="557"/>
      <c r="INR66" s="557"/>
      <c r="INS66" s="557"/>
      <c r="INT66" s="557"/>
      <c r="INU66" s="557"/>
      <c r="INV66" s="557"/>
      <c r="INW66" s="557"/>
      <c r="INX66" s="557"/>
      <c r="INY66" s="557"/>
      <c r="INZ66" s="557"/>
      <c r="IOA66" s="557"/>
      <c r="IOB66" s="557"/>
      <c r="IOC66" s="557"/>
      <c r="IOD66" s="557"/>
      <c r="IOE66" s="661"/>
      <c r="IOF66" s="556"/>
      <c r="IOG66" s="557"/>
      <c r="IOH66" s="557"/>
      <c r="IOI66" s="557"/>
      <c r="IOJ66" s="557"/>
      <c r="IOK66" s="557"/>
      <c r="IOL66" s="557"/>
      <c r="IOM66" s="557"/>
      <c r="ION66" s="557"/>
      <c r="IOO66" s="557"/>
      <c r="IOP66" s="557"/>
      <c r="IOQ66" s="557"/>
      <c r="IOR66" s="557"/>
      <c r="IOS66" s="557"/>
      <c r="IOT66" s="557"/>
      <c r="IOU66" s="557"/>
      <c r="IOV66" s="557"/>
      <c r="IOW66" s="557"/>
      <c r="IOX66" s="557"/>
      <c r="IOY66" s="661"/>
      <c r="IOZ66" s="556"/>
      <c r="IPA66" s="557"/>
      <c r="IPB66" s="557"/>
      <c r="IPC66" s="557"/>
      <c r="IPD66" s="557"/>
      <c r="IPE66" s="557"/>
      <c r="IPF66" s="557"/>
      <c r="IPG66" s="557"/>
      <c r="IPH66" s="557"/>
      <c r="IPI66" s="557"/>
      <c r="IPJ66" s="557"/>
      <c r="IPK66" s="557"/>
      <c r="IPL66" s="557"/>
      <c r="IPM66" s="557"/>
      <c r="IPN66" s="557"/>
      <c r="IPO66" s="557"/>
      <c r="IPP66" s="557"/>
      <c r="IPQ66" s="557"/>
      <c r="IPR66" s="557"/>
      <c r="IPS66" s="661"/>
      <c r="IPT66" s="556"/>
      <c r="IPU66" s="557"/>
      <c r="IPV66" s="557"/>
      <c r="IPW66" s="557"/>
      <c r="IPX66" s="557"/>
      <c r="IPY66" s="557"/>
      <c r="IPZ66" s="557"/>
      <c r="IQA66" s="557"/>
      <c r="IQB66" s="557"/>
      <c r="IQC66" s="557"/>
      <c r="IQD66" s="557"/>
      <c r="IQE66" s="557"/>
      <c r="IQF66" s="557"/>
      <c r="IQG66" s="557"/>
      <c r="IQH66" s="557"/>
      <c r="IQI66" s="557"/>
      <c r="IQJ66" s="557"/>
      <c r="IQK66" s="557"/>
      <c r="IQL66" s="557"/>
      <c r="IQM66" s="661"/>
      <c r="IQN66" s="556"/>
      <c r="IQO66" s="557"/>
      <c r="IQP66" s="557"/>
      <c r="IQQ66" s="557"/>
      <c r="IQR66" s="557"/>
      <c r="IQS66" s="557"/>
      <c r="IQT66" s="557"/>
      <c r="IQU66" s="557"/>
      <c r="IQV66" s="557"/>
      <c r="IQW66" s="557"/>
      <c r="IQX66" s="557"/>
      <c r="IQY66" s="557"/>
      <c r="IQZ66" s="557"/>
      <c r="IRA66" s="557"/>
      <c r="IRB66" s="557"/>
      <c r="IRC66" s="557"/>
      <c r="IRD66" s="557"/>
      <c r="IRE66" s="557"/>
      <c r="IRF66" s="557"/>
      <c r="IRG66" s="661"/>
      <c r="IRH66" s="556"/>
      <c r="IRI66" s="557"/>
      <c r="IRJ66" s="557"/>
      <c r="IRK66" s="557"/>
      <c r="IRL66" s="557"/>
      <c r="IRM66" s="557"/>
      <c r="IRN66" s="557"/>
      <c r="IRO66" s="557"/>
      <c r="IRP66" s="557"/>
      <c r="IRQ66" s="557"/>
      <c r="IRR66" s="557"/>
      <c r="IRS66" s="557"/>
      <c r="IRT66" s="557"/>
      <c r="IRU66" s="557"/>
      <c r="IRV66" s="557"/>
      <c r="IRW66" s="557"/>
      <c r="IRX66" s="557"/>
      <c r="IRY66" s="557"/>
      <c r="IRZ66" s="557"/>
      <c r="ISA66" s="661"/>
      <c r="ISB66" s="556"/>
      <c r="ISC66" s="557"/>
      <c r="ISD66" s="557"/>
      <c r="ISE66" s="557"/>
      <c r="ISF66" s="557"/>
      <c r="ISG66" s="557"/>
      <c r="ISH66" s="557"/>
      <c r="ISI66" s="557"/>
      <c r="ISJ66" s="557"/>
      <c r="ISK66" s="557"/>
      <c r="ISL66" s="557"/>
      <c r="ISM66" s="557"/>
      <c r="ISN66" s="557"/>
      <c r="ISO66" s="557"/>
      <c r="ISP66" s="557"/>
      <c r="ISQ66" s="557"/>
      <c r="ISR66" s="557"/>
      <c r="ISS66" s="557"/>
      <c r="IST66" s="557"/>
      <c r="ISU66" s="661"/>
      <c r="ISV66" s="556"/>
      <c r="ISW66" s="557"/>
      <c r="ISX66" s="557"/>
      <c r="ISY66" s="557"/>
      <c r="ISZ66" s="557"/>
      <c r="ITA66" s="557"/>
      <c r="ITB66" s="557"/>
      <c r="ITC66" s="557"/>
      <c r="ITD66" s="557"/>
      <c r="ITE66" s="557"/>
      <c r="ITF66" s="557"/>
      <c r="ITG66" s="557"/>
      <c r="ITH66" s="557"/>
      <c r="ITI66" s="557"/>
      <c r="ITJ66" s="557"/>
      <c r="ITK66" s="557"/>
      <c r="ITL66" s="557"/>
      <c r="ITM66" s="557"/>
      <c r="ITN66" s="557"/>
      <c r="ITO66" s="661"/>
      <c r="ITP66" s="556"/>
      <c r="ITQ66" s="557"/>
      <c r="ITR66" s="557"/>
      <c r="ITS66" s="557"/>
      <c r="ITT66" s="557"/>
      <c r="ITU66" s="557"/>
      <c r="ITV66" s="557"/>
      <c r="ITW66" s="557"/>
      <c r="ITX66" s="557"/>
      <c r="ITY66" s="557"/>
      <c r="ITZ66" s="557"/>
      <c r="IUA66" s="557"/>
      <c r="IUB66" s="557"/>
      <c r="IUC66" s="557"/>
      <c r="IUD66" s="557"/>
      <c r="IUE66" s="557"/>
      <c r="IUF66" s="557"/>
      <c r="IUG66" s="557"/>
      <c r="IUH66" s="557"/>
      <c r="IUI66" s="661"/>
      <c r="IUJ66" s="556"/>
      <c r="IUK66" s="557"/>
      <c r="IUL66" s="557"/>
      <c r="IUM66" s="557"/>
      <c r="IUN66" s="557"/>
      <c r="IUO66" s="557"/>
      <c r="IUP66" s="557"/>
      <c r="IUQ66" s="557"/>
      <c r="IUR66" s="557"/>
      <c r="IUS66" s="557"/>
      <c r="IUT66" s="557"/>
      <c r="IUU66" s="557"/>
      <c r="IUV66" s="557"/>
      <c r="IUW66" s="557"/>
      <c r="IUX66" s="557"/>
      <c r="IUY66" s="557"/>
      <c r="IUZ66" s="557"/>
      <c r="IVA66" s="557"/>
      <c r="IVB66" s="557"/>
      <c r="IVC66" s="661"/>
      <c r="IVD66" s="556"/>
      <c r="IVE66" s="557"/>
      <c r="IVF66" s="557"/>
      <c r="IVG66" s="557"/>
      <c r="IVH66" s="557"/>
      <c r="IVI66" s="557"/>
      <c r="IVJ66" s="557"/>
      <c r="IVK66" s="557"/>
      <c r="IVL66" s="557"/>
      <c r="IVM66" s="557"/>
      <c r="IVN66" s="557"/>
      <c r="IVO66" s="557"/>
      <c r="IVP66" s="557"/>
      <c r="IVQ66" s="557"/>
      <c r="IVR66" s="557"/>
      <c r="IVS66" s="557"/>
      <c r="IVT66" s="557"/>
      <c r="IVU66" s="557"/>
      <c r="IVV66" s="557"/>
      <c r="IVW66" s="661"/>
      <c r="IVX66" s="556"/>
      <c r="IVY66" s="557"/>
      <c r="IVZ66" s="557"/>
      <c r="IWA66" s="557"/>
      <c r="IWB66" s="557"/>
      <c r="IWC66" s="557"/>
      <c r="IWD66" s="557"/>
      <c r="IWE66" s="557"/>
      <c r="IWF66" s="557"/>
      <c r="IWG66" s="557"/>
      <c r="IWH66" s="557"/>
      <c r="IWI66" s="557"/>
      <c r="IWJ66" s="557"/>
      <c r="IWK66" s="557"/>
      <c r="IWL66" s="557"/>
      <c r="IWM66" s="557"/>
      <c r="IWN66" s="557"/>
      <c r="IWO66" s="557"/>
      <c r="IWP66" s="557"/>
      <c r="IWQ66" s="661"/>
      <c r="IWR66" s="556"/>
      <c r="IWS66" s="557"/>
      <c r="IWT66" s="557"/>
      <c r="IWU66" s="557"/>
      <c r="IWV66" s="557"/>
      <c r="IWW66" s="557"/>
      <c r="IWX66" s="557"/>
      <c r="IWY66" s="557"/>
      <c r="IWZ66" s="557"/>
      <c r="IXA66" s="557"/>
      <c r="IXB66" s="557"/>
      <c r="IXC66" s="557"/>
      <c r="IXD66" s="557"/>
      <c r="IXE66" s="557"/>
      <c r="IXF66" s="557"/>
      <c r="IXG66" s="557"/>
      <c r="IXH66" s="557"/>
      <c r="IXI66" s="557"/>
      <c r="IXJ66" s="557"/>
      <c r="IXK66" s="661"/>
      <c r="IXL66" s="556"/>
      <c r="IXM66" s="557"/>
      <c r="IXN66" s="557"/>
      <c r="IXO66" s="557"/>
      <c r="IXP66" s="557"/>
      <c r="IXQ66" s="557"/>
      <c r="IXR66" s="557"/>
      <c r="IXS66" s="557"/>
      <c r="IXT66" s="557"/>
      <c r="IXU66" s="557"/>
      <c r="IXV66" s="557"/>
      <c r="IXW66" s="557"/>
      <c r="IXX66" s="557"/>
      <c r="IXY66" s="557"/>
      <c r="IXZ66" s="557"/>
      <c r="IYA66" s="557"/>
      <c r="IYB66" s="557"/>
      <c r="IYC66" s="557"/>
      <c r="IYD66" s="557"/>
      <c r="IYE66" s="661"/>
      <c r="IYF66" s="556"/>
      <c r="IYG66" s="557"/>
      <c r="IYH66" s="557"/>
      <c r="IYI66" s="557"/>
      <c r="IYJ66" s="557"/>
      <c r="IYK66" s="557"/>
      <c r="IYL66" s="557"/>
      <c r="IYM66" s="557"/>
      <c r="IYN66" s="557"/>
      <c r="IYO66" s="557"/>
      <c r="IYP66" s="557"/>
      <c r="IYQ66" s="557"/>
      <c r="IYR66" s="557"/>
      <c r="IYS66" s="557"/>
      <c r="IYT66" s="557"/>
      <c r="IYU66" s="557"/>
      <c r="IYV66" s="557"/>
      <c r="IYW66" s="557"/>
      <c r="IYX66" s="557"/>
      <c r="IYY66" s="661"/>
      <c r="IYZ66" s="556"/>
      <c r="IZA66" s="557"/>
      <c r="IZB66" s="557"/>
      <c r="IZC66" s="557"/>
      <c r="IZD66" s="557"/>
      <c r="IZE66" s="557"/>
      <c r="IZF66" s="557"/>
      <c r="IZG66" s="557"/>
      <c r="IZH66" s="557"/>
      <c r="IZI66" s="557"/>
      <c r="IZJ66" s="557"/>
      <c r="IZK66" s="557"/>
      <c r="IZL66" s="557"/>
      <c r="IZM66" s="557"/>
      <c r="IZN66" s="557"/>
      <c r="IZO66" s="557"/>
      <c r="IZP66" s="557"/>
      <c r="IZQ66" s="557"/>
      <c r="IZR66" s="557"/>
      <c r="IZS66" s="661"/>
      <c r="IZT66" s="556"/>
      <c r="IZU66" s="557"/>
      <c r="IZV66" s="557"/>
      <c r="IZW66" s="557"/>
      <c r="IZX66" s="557"/>
      <c r="IZY66" s="557"/>
      <c r="IZZ66" s="557"/>
      <c r="JAA66" s="557"/>
      <c r="JAB66" s="557"/>
      <c r="JAC66" s="557"/>
      <c r="JAD66" s="557"/>
      <c r="JAE66" s="557"/>
      <c r="JAF66" s="557"/>
      <c r="JAG66" s="557"/>
      <c r="JAH66" s="557"/>
      <c r="JAI66" s="557"/>
      <c r="JAJ66" s="557"/>
      <c r="JAK66" s="557"/>
      <c r="JAL66" s="557"/>
      <c r="JAM66" s="661"/>
      <c r="JAN66" s="556"/>
      <c r="JAO66" s="557"/>
      <c r="JAP66" s="557"/>
      <c r="JAQ66" s="557"/>
      <c r="JAR66" s="557"/>
      <c r="JAS66" s="557"/>
      <c r="JAT66" s="557"/>
      <c r="JAU66" s="557"/>
      <c r="JAV66" s="557"/>
      <c r="JAW66" s="557"/>
      <c r="JAX66" s="557"/>
      <c r="JAY66" s="557"/>
      <c r="JAZ66" s="557"/>
      <c r="JBA66" s="557"/>
      <c r="JBB66" s="557"/>
      <c r="JBC66" s="557"/>
      <c r="JBD66" s="557"/>
      <c r="JBE66" s="557"/>
      <c r="JBF66" s="557"/>
      <c r="JBG66" s="661"/>
      <c r="JBH66" s="556"/>
      <c r="JBI66" s="557"/>
      <c r="JBJ66" s="557"/>
      <c r="JBK66" s="557"/>
      <c r="JBL66" s="557"/>
      <c r="JBM66" s="557"/>
      <c r="JBN66" s="557"/>
      <c r="JBO66" s="557"/>
      <c r="JBP66" s="557"/>
      <c r="JBQ66" s="557"/>
      <c r="JBR66" s="557"/>
      <c r="JBS66" s="557"/>
      <c r="JBT66" s="557"/>
      <c r="JBU66" s="557"/>
      <c r="JBV66" s="557"/>
      <c r="JBW66" s="557"/>
      <c r="JBX66" s="557"/>
      <c r="JBY66" s="557"/>
      <c r="JBZ66" s="557"/>
      <c r="JCA66" s="661"/>
      <c r="JCB66" s="556"/>
      <c r="JCC66" s="557"/>
      <c r="JCD66" s="557"/>
      <c r="JCE66" s="557"/>
      <c r="JCF66" s="557"/>
      <c r="JCG66" s="557"/>
      <c r="JCH66" s="557"/>
      <c r="JCI66" s="557"/>
      <c r="JCJ66" s="557"/>
      <c r="JCK66" s="557"/>
      <c r="JCL66" s="557"/>
      <c r="JCM66" s="557"/>
      <c r="JCN66" s="557"/>
      <c r="JCO66" s="557"/>
      <c r="JCP66" s="557"/>
      <c r="JCQ66" s="557"/>
      <c r="JCR66" s="557"/>
      <c r="JCS66" s="557"/>
      <c r="JCT66" s="557"/>
      <c r="JCU66" s="661"/>
      <c r="JCV66" s="556"/>
      <c r="JCW66" s="557"/>
      <c r="JCX66" s="557"/>
      <c r="JCY66" s="557"/>
      <c r="JCZ66" s="557"/>
      <c r="JDA66" s="557"/>
      <c r="JDB66" s="557"/>
      <c r="JDC66" s="557"/>
      <c r="JDD66" s="557"/>
      <c r="JDE66" s="557"/>
      <c r="JDF66" s="557"/>
      <c r="JDG66" s="557"/>
      <c r="JDH66" s="557"/>
      <c r="JDI66" s="557"/>
      <c r="JDJ66" s="557"/>
      <c r="JDK66" s="557"/>
      <c r="JDL66" s="557"/>
      <c r="JDM66" s="557"/>
      <c r="JDN66" s="557"/>
      <c r="JDO66" s="661"/>
      <c r="JDP66" s="556"/>
      <c r="JDQ66" s="557"/>
      <c r="JDR66" s="557"/>
      <c r="JDS66" s="557"/>
      <c r="JDT66" s="557"/>
      <c r="JDU66" s="557"/>
      <c r="JDV66" s="557"/>
      <c r="JDW66" s="557"/>
      <c r="JDX66" s="557"/>
      <c r="JDY66" s="557"/>
      <c r="JDZ66" s="557"/>
      <c r="JEA66" s="557"/>
      <c r="JEB66" s="557"/>
      <c r="JEC66" s="557"/>
      <c r="JED66" s="557"/>
      <c r="JEE66" s="557"/>
      <c r="JEF66" s="557"/>
      <c r="JEG66" s="557"/>
      <c r="JEH66" s="557"/>
      <c r="JEI66" s="661"/>
      <c r="JEJ66" s="556"/>
      <c r="JEK66" s="557"/>
      <c r="JEL66" s="557"/>
      <c r="JEM66" s="557"/>
      <c r="JEN66" s="557"/>
      <c r="JEO66" s="557"/>
      <c r="JEP66" s="557"/>
      <c r="JEQ66" s="557"/>
      <c r="JER66" s="557"/>
      <c r="JES66" s="557"/>
      <c r="JET66" s="557"/>
      <c r="JEU66" s="557"/>
      <c r="JEV66" s="557"/>
      <c r="JEW66" s="557"/>
      <c r="JEX66" s="557"/>
      <c r="JEY66" s="557"/>
      <c r="JEZ66" s="557"/>
      <c r="JFA66" s="557"/>
      <c r="JFB66" s="557"/>
      <c r="JFC66" s="661"/>
      <c r="JFD66" s="556"/>
      <c r="JFE66" s="557"/>
      <c r="JFF66" s="557"/>
      <c r="JFG66" s="557"/>
      <c r="JFH66" s="557"/>
      <c r="JFI66" s="557"/>
      <c r="JFJ66" s="557"/>
      <c r="JFK66" s="557"/>
      <c r="JFL66" s="557"/>
      <c r="JFM66" s="557"/>
      <c r="JFN66" s="557"/>
      <c r="JFO66" s="557"/>
      <c r="JFP66" s="557"/>
      <c r="JFQ66" s="557"/>
      <c r="JFR66" s="557"/>
      <c r="JFS66" s="557"/>
      <c r="JFT66" s="557"/>
      <c r="JFU66" s="557"/>
      <c r="JFV66" s="557"/>
      <c r="JFW66" s="661"/>
      <c r="JFX66" s="556"/>
      <c r="JFY66" s="557"/>
      <c r="JFZ66" s="557"/>
      <c r="JGA66" s="557"/>
      <c r="JGB66" s="557"/>
      <c r="JGC66" s="557"/>
      <c r="JGD66" s="557"/>
      <c r="JGE66" s="557"/>
      <c r="JGF66" s="557"/>
      <c r="JGG66" s="557"/>
      <c r="JGH66" s="557"/>
      <c r="JGI66" s="557"/>
      <c r="JGJ66" s="557"/>
      <c r="JGK66" s="557"/>
      <c r="JGL66" s="557"/>
      <c r="JGM66" s="557"/>
      <c r="JGN66" s="557"/>
      <c r="JGO66" s="557"/>
      <c r="JGP66" s="557"/>
      <c r="JGQ66" s="661"/>
      <c r="JGR66" s="556"/>
      <c r="JGS66" s="557"/>
      <c r="JGT66" s="557"/>
      <c r="JGU66" s="557"/>
      <c r="JGV66" s="557"/>
      <c r="JGW66" s="557"/>
      <c r="JGX66" s="557"/>
      <c r="JGY66" s="557"/>
      <c r="JGZ66" s="557"/>
      <c r="JHA66" s="557"/>
      <c r="JHB66" s="557"/>
      <c r="JHC66" s="557"/>
      <c r="JHD66" s="557"/>
      <c r="JHE66" s="557"/>
      <c r="JHF66" s="557"/>
      <c r="JHG66" s="557"/>
      <c r="JHH66" s="557"/>
      <c r="JHI66" s="557"/>
      <c r="JHJ66" s="557"/>
      <c r="JHK66" s="661"/>
      <c r="JHL66" s="556"/>
      <c r="JHM66" s="557"/>
      <c r="JHN66" s="557"/>
      <c r="JHO66" s="557"/>
      <c r="JHP66" s="557"/>
      <c r="JHQ66" s="557"/>
      <c r="JHR66" s="557"/>
      <c r="JHS66" s="557"/>
      <c r="JHT66" s="557"/>
      <c r="JHU66" s="557"/>
      <c r="JHV66" s="557"/>
      <c r="JHW66" s="557"/>
      <c r="JHX66" s="557"/>
      <c r="JHY66" s="557"/>
      <c r="JHZ66" s="557"/>
      <c r="JIA66" s="557"/>
      <c r="JIB66" s="557"/>
      <c r="JIC66" s="557"/>
      <c r="JID66" s="557"/>
      <c r="JIE66" s="661"/>
      <c r="JIF66" s="556"/>
      <c r="JIG66" s="557"/>
      <c r="JIH66" s="557"/>
      <c r="JII66" s="557"/>
      <c r="JIJ66" s="557"/>
      <c r="JIK66" s="557"/>
      <c r="JIL66" s="557"/>
      <c r="JIM66" s="557"/>
      <c r="JIN66" s="557"/>
      <c r="JIO66" s="557"/>
      <c r="JIP66" s="557"/>
      <c r="JIQ66" s="557"/>
      <c r="JIR66" s="557"/>
      <c r="JIS66" s="557"/>
      <c r="JIT66" s="557"/>
      <c r="JIU66" s="557"/>
      <c r="JIV66" s="557"/>
      <c r="JIW66" s="557"/>
      <c r="JIX66" s="557"/>
      <c r="JIY66" s="661"/>
      <c r="JIZ66" s="556"/>
      <c r="JJA66" s="557"/>
      <c r="JJB66" s="557"/>
      <c r="JJC66" s="557"/>
      <c r="JJD66" s="557"/>
      <c r="JJE66" s="557"/>
      <c r="JJF66" s="557"/>
      <c r="JJG66" s="557"/>
      <c r="JJH66" s="557"/>
      <c r="JJI66" s="557"/>
      <c r="JJJ66" s="557"/>
      <c r="JJK66" s="557"/>
      <c r="JJL66" s="557"/>
      <c r="JJM66" s="557"/>
      <c r="JJN66" s="557"/>
      <c r="JJO66" s="557"/>
      <c r="JJP66" s="557"/>
      <c r="JJQ66" s="557"/>
      <c r="JJR66" s="557"/>
      <c r="JJS66" s="661"/>
      <c r="JJT66" s="556"/>
      <c r="JJU66" s="557"/>
      <c r="JJV66" s="557"/>
      <c r="JJW66" s="557"/>
      <c r="JJX66" s="557"/>
      <c r="JJY66" s="557"/>
      <c r="JJZ66" s="557"/>
      <c r="JKA66" s="557"/>
      <c r="JKB66" s="557"/>
      <c r="JKC66" s="557"/>
      <c r="JKD66" s="557"/>
      <c r="JKE66" s="557"/>
      <c r="JKF66" s="557"/>
      <c r="JKG66" s="557"/>
      <c r="JKH66" s="557"/>
      <c r="JKI66" s="557"/>
      <c r="JKJ66" s="557"/>
      <c r="JKK66" s="557"/>
      <c r="JKL66" s="557"/>
      <c r="JKM66" s="661"/>
      <c r="JKN66" s="556"/>
      <c r="JKO66" s="557"/>
      <c r="JKP66" s="557"/>
      <c r="JKQ66" s="557"/>
      <c r="JKR66" s="557"/>
      <c r="JKS66" s="557"/>
      <c r="JKT66" s="557"/>
      <c r="JKU66" s="557"/>
      <c r="JKV66" s="557"/>
      <c r="JKW66" s="557"/>
      <c r="JKX66" s="557"/>
      <c r="JKY66" s="557"/>
      <c r="JKZ66" s="557"/>
      <c r="JLA66" s="557"/>
      <c r="JLB66" s="557"/>
      <c r="JLC66" s="557"/>
      <c r="JLD66" s="557"/>
      <c r="JLE66" s="557"/>
      <c r="JLF66" s="557"/>
      <c r="JLG66" s="661"/>
      <c r="JLH66" s="556"/>
      <c r="JLI66" s="557"/>
      <c r="JLJ66" s="557"/>
      <c r="JLK66" s="557"/>
      <c r="JLL66" s="557"/>
      <c r="JLM66" s="557"/>
      <c r="JLN66" s="557"/>
      <c r="JLO66" s="557"/>
      <c r="JLP66" s="557"/>
      <c r="JLQ66" s="557"/>
      <c r="JLR66" s="557"/>
      <c r="JLS66" s="557"/>
      <c r="JLT66" s="557"/>
      <c r="JLU66" s="557"/>
      <c r="JLV66" s="557"/>
      <c r="JLW66" s="557"/>
      <c r="JLX66" s="557"/>
      <c r="JLY66" s="557"/>
      <c r="JLZ66" s="557"/>
      <c r="JMA66" s="661"/>
      <c r="JMB66" s="556"/>
      <c r="JMC66" s="557"/>
      <c r="JMD66" s="557"/>
      <c r="JME66" s="557"/>
      <c r="JMF66" s="557"/>
      <c r="JMG66" s="557"/>
      <c r="JMH66" s="557"/>
      <c r="JMI66" s="557"/>
      <c r="JMJ66" s="557"/>
      <c r="JMK66" s="557"/>
      <c r="JML66" s="557"/>
      <c r="JMM66" s="557"/>
      <c r="JMN66" s="557"/>
      <c r="JMO66" s="557"/>
      <c r="JMP66" s="557"/>
      <c r="JMQ66" s="557"/>
      <c r="JMR66" s="557"/>
      <c r="JMS66" s="557"/>
      <c r="JMT66" s="557"/>
      <c r="JMU66" s="661"/>
      <c r="JMV66" s="556"/>
      <c r="JMW66" s="557"/>
      <c r="JMX66" s="557"/>
      <c r="JMY66" s="557"/>
      <c r="JMZ66" s="557"/>
      <c r="JNA66" s="557"/>
      <c r="JNB66" s="557"/>
      <c r="JNC66" s="557"/>
      <c r="JND66" s="557"/>
      <c r="JNE66" s="557"/>
      <c r="JNF66" s="557"/>
      <c r="JNG66" s="557"/>
      <c r="JNH66" s="557"/>
      <c r="JNI66" s="557"/>
      <c r="JNJ66" s="557"/>
      <c r="JNK66" s="557"/>
      <c r="JNL66" s="557"/>
      <c r="JNM66" s="557"/>
      <c r="JNN66" s="557"/>
      <c r="JNO66" s="661"/>
      <c r="JNP66" s="556"/>
      <c r="JNQ66" s="557"/>
      <c r="JNR66" s="557"/>
      <c r="JNS66" s="557"/>
      <c r="JNT66" s="557"/>
      <c r="JNU66" s="557"/>
      <c r="JNV66" s="557"/>
      <c r="JNW66" s="557"/>
      <c r="JNX66" s="557"/>
      <c r="JNY66" s="557"/>
      <c r="JNZ66" s="557"/>
      <c r="JOA66" s="557"/>
      <c r="JOB66" s="557"/>
      <c r="JOC66" s="557"/>
      <c r="JOD66" s="557"/>
      <c r="JOE66" s="557"/>
      <c r="JOF66" s="557"/>
      <c r="JOG66" s="557"/>
      <c r="JOH66" s="557"/>
      <c r="JOI66" s="661"/>
      <c r="JOJ66" s="556"/>
      <c r="JOK66" s="557"/>
      <c r="JOL66" s="557"/>
      <c r="JOM66" s="557"/>
      <c r="JON66" s="557"/>
      <c r="JOO66" s="557"/>
      <c r="JOP66" s="557"/>
      <c r="JOQ66" s="557"/>
      <c r="JOR66" s="557"/>
      <c r="JOS66" s="557"/>
      <c r="JOT66" s="557"/>
      <c r="JOU66" s="557"/>
      <c r="JOV66" s="557"/>
      <c r="JOW66" s="557"/>
      <c r="JOX66" s="557"/>
      <c r="JOY66" s="557"/>
      <c r="JOZ66" s="557"/>
      <c r="JPA66" s="557"/>
      <c r="JPB66" s="557"/>
      <c r="JPC66" s="661"/>
      <c r="JPD66" s="556"/>
      <c r="JPE66" s="557"/>
      <c r="JPF66" s="557"/>
      <c r="JPG66" s="557"/>
      <c r="JPH66" s="557"/>
      <c r="JPI66" s="557"/>
      <c r="JPJ66" s="557"/>
      <c r="JPK66" s="557"/>
      <c r="JPL66" s="557"/>
      <c r="JPM66" s="557"/>
      <c r="JPN66" s="557"/>
      <c r="JPO66" s="557"/>
      <c r="JPP66" s="557"/>
      <c r="JPQ66" s="557"/>
      <c r="JPR66" s="557"/>
      <c r="JPS66" s="557"/>
      <c r="JPT66" s="557"/>
      <c r="JPU66" s="557"/>
      <c r="JPV66" s="557"/>
      <c r="JPW66" s="661"/>
      <c r="JPX66" s="556"/>
      <c r="JPY66" s="557"/>
      <c r="JPZ66" s="557"/>
      <c r="JQA66" s="557"/>
      <c r="JQB66" s="557"/>
      <c r="JQC66" s="557"/>
      <c r="JQD66" s="557"/>
      <c r="JQE66" s="557"/>
      <c r="JQF66" s="557"/>
      <c r="JQG66" s="557"/>
      <c r="JQH66" s="557"/>
      <c r="JQI66" s="557"/>
      <c r="JQJ66" s="557"/>
      <c r="JQK66" s="557"/>
      <c r="JQL66" s="557"/>
      <c r="JQM66" s="557"/>
      <c r="JQN66" s="557"/>
      <c r="JQO66" s="557"/>
      <c r="JQP66" s="557"/>
      <c r="JQQ66" s="661"/>
      <c r="JQR66" s="556"/>
      <c r="JQS66" s="557"/>
      <c r="JQT66" s="557"/>
      <c r="JQU66" s="557"/>
      <c r="JQV66" s="557"/>
      <c r="JQW66" s="557"/>
      <c r="JQX66" s="557"/>
      <c r="JQY66" s="557"/>
      <c r="JQZ66" s="557"/>
      <c r="JRA66" s="557"/>
      <c r="JRB66" s="557"/>
      <c r="JRC66" s="557"/>
      <c r="JRD66" s="557"/>
      <c r="JRE66" s="557"/>
      <c r="JRF66" s="557"/>
      <c r="JRG66" s="557"/>
      <c r="JRH66" s="557"/>
      <c r="JRI66" s="557"/>
      <c r="JRJ66" s="557"/>
      <c r="JRK66" s="661"/>
      <c r="JRL66" s="556"/>
      <c r="JRM66" s="557"/>
      <c r="JRN66" s="557"/>
      <c r="JRO66" s="557"/>
      <c r="JRP66" s="557"/>
      <c r="JRQ66" s="557"/>
      <c r="JRR66" s="557"/>
      <c r="JRS66" s="557"/>
      <c r="JRT66" s="557"/>
      <c r="JRU66" s="557"/>
      <c r="JRV66" s="557"/>
      <c r="JRW66" s="557"/>
      <c r="JRX66" s="557"/>
      <c r="JRY66" s="557"/>
      <c r="JRZ66" s="557"/>
      <c r="JSA66" s="557"/>
      <c r="JSB66" s="557"/>
      <c r="JSC66" s="557"/>
      <c r="JSD66" s="557"/>
      <c r="JSE66" s="661"/>
      <c r="JSF66" s="556"/>
      <c r="JSG66" s="557"/>
      <c r="JSH66" s="557"/>
      <c r="JSI66" s="557"/>
      <c r="JSJ66" s="557"/>
      <c r="JSK66" s="557"/>
      <c r="JSL66" s="557"/>
      <c r="JSM66" s="557"/>
      <c r="JSN66" s="557"/>
      <c r="JSO66" s="557"/>
      <c r="JSP66" s="557"/>
      <c r="JSQ66" s="557"/>
      <c r="JSR66" s="557"/>
      <c r="JSS66" s="557"/>
      <c r="JST66" s="557"/>
      <c r="JSU66" s="557"/>
      <c r="JSV66" s="557"/>
      <c r="JSW66" s="557"/>
      <c r="JSX66" s="557"/>
      <c r="JSY66" s="661"/>
      <c r="JSZ66" s="556"/>
      <c r="JTA66" s="557"/>
      <c r="JTB66" s="557"/>
      <c r="JTC66" s="557"/>
      <c r="JTD66" s="557"/>
      <c r="JTE66" s="557"/>
      <c r="JTF66" s="557"/>
      <c r="JTG66" s="557"/>
      <c r="JTH66" s="557"/>
      <c r="JTI66" s="557"/>
      <c r="JTJ66" s="557"/>
      <c r="JTK66" s="557"/>
      <c r="JTL66" s="557"/>
      <c r="JTM66" s="557"/>
      <c r="JTN66" s="557"/>
      <c r="JTO66" s="557"/>
      <c r="JTP66" s="557"/>
      <c r="JTQ66" s="557"/>
      <c r="JTR66" s="557"/>
      <c r="JTS66" s="661"/>
      <c r="JTT66" s="556"/>
      <c r="JTU66" s="557"/>
      <c r="JTV66" s="557"/>
      <c r="JTW66" s="557"/>
      <c r="JTX66" s="557"/>
      <c r="JTY66" s="557"/>
      <c r="JTZ66" s="557"/>
      <c r="JUA66" s="557"/>
      <c r="JUB66" s="557"/>
      <c r="JUC66" s="557"/>
      <c r="JUD66" s="557"/>
      <c r="JUE66" s="557"/>
      <c r="JUF66" s="557"/>
      <c r="JUG66" s="557"/>
      <c r="JUH66" s="557"/>
      <c r="JUI66" s="557"/>
      <c r="JUJ66" s="557"/>
      <c r="JUK66" s="557"/>
      <c r="JUL66" s="557"/>
      <c r="JUM66" s="661"/>
      <c r="JUN66" s="556"/>
      <c r="JUO66" s="557"/>
      <c r="JUP66" s="557"/>
      <c r="JUQ66" s="557"/>
      <c r="JUR66" s="557"/>
      <c r="JUS66" s="557"/>
      <c r="JUT66" s="557"/>
      <c r="JUU66" s="557"/>
      <c r="JUV66" s="557"/>
      <c r="JUW66" s="557"/>
      <c r="JUX66" s="557"/>
      <c r="JUY66" s="557"/>
      <c r="JUZ66" s="557"/>
      <c r="JVA66" s="557"/>
      <c r="JVB66" s="557"/>
      <c r="JVC66" s="557"/>
      <c r="JVD66" s="557"/>
      <c r="JVE66" s="557"/>
      <c r="JVF66" s="557"/>
      <c r="JVG66" s="661"/>
      <c r="JVH66" s="556"/>
      <c r="JVI66" s="557"/>
      <c r="JVJ66" s="557"/>
      <c r="JVK66" s="557"/>
      <c r="JVL66" s="557"/>
      <c r="JVM66" s="557"/>
      <c r="JVN66" s="557"/>
      <c r="JVO66" s="557"/>
      <c r="JVP66" s="557"/>
      <c r="JVQ66" s="557"/>
      <c r="JVR66" s="557"/>
      <c r="JVS66" s="557"/>
      <c r="JVT66" s="557"/>
      <c r="JVU66" s="557"/>
      <c r="JVV66" s="557"/>
      <c r="JVW66" s="557"/>
      <c r="JVX66" s="557"/>
      <c r="JVY66" s="557"/>
      <c r="JVZ66" s="557"/>
      <c r="JWA66" s="661"/>
      <c r="JWB66" s="556"/>
      <c r="JWC66" s="557"/>
      <c r="JWD66" s="557"/>
      <c r="JWE66" s="557"/>
      <c r="JWF66" s="557"/>
      <c r="JWG66" s="557"/>
      <c r="JWH66" s="557"/>
      <c r="JWI66" s="557"/>
      <c r="JWJ66" s="557"/>
      <c r="JWK66" s="557"/>
      <c r="JWL66" s="557"/>
      <c r="JWM66" s="557"/>
      <c r="JWN66" s="557"/>
      <c r="JWO66" s="557"/>
      <c r="JWP66" s="557"/>
      <c r="JWQ66" s="557"/>
      <c r="JWR66" s="557"/>
      <c r="JWS66" s="557"/>
      <c r="JWT66" s="557"/>
      <c r="JWU66" s="661"/>
      <c r="JWV66" s="556"/>
      <c r="JWW66" s="557"/>
      <c r="JWX66" s="557"/>
      <c r="JWY66" s="557"/>
      <c r="JWZ66" s="557"/>
      <c r="JXA66" s="557"/>
      <c r="JXB66" s="557"/>
      <c r="JXC66" s="557"/>
      <c r="JXD66" s="557"/>
      <c r="JXE66" s="557"/>
      <c r="JXF66" s="557"/>
      <c r="JXG66" s="557"/>
      <c r="JXH66" s="557"/>
      <c r="JXI66" s="557"/>
      <c r="JXJ66" s="557"/>
      <c r="JXK66" s="557"/>
      <c r="JXL66" s="557"/>
      <c r="JXM66" s="557"/>
      <c r="JXN66" s="557"/>
      <c r="JXO66" s="661"/>
      <c r="JXP66" s="556"/>
      <c r="JXQ66" s="557"/>
      <c r="JXR66" s="557"/>
      <c r="JXS66" s="557"/>
      <c r="JXT66" s="557"/>
      <c r="JXU66" s="557"/>
      <c r="JXV66" s="557"/>
      <c r="JXW66" s="557"/>
      <c r="JXX66" s="557"/>
      <c r="JXY66" s="557"/>
      <c r="JXZ66" s="557"/>
      <c r="JYA66" s="557"/>
      <c r="JYB66" s="557"/>
      <c r="JYC66" s="557"/>
      <c r="JYD66" s="557"/>
      <c r="JYE66" s="557"/>
      <c r="JYF66" s="557"/>
      <c r="JYG66" s="557"/>
      <c r="JYH66" s="557"/>
      <c r="JYI66" s="661"/>
      <c r="JYJ66" s="556"/>
      <c r="JYK66" s="557"/>
      <c r="JYL66" s="557"/>
      <c r="JYM66" s="557"/>
      <c r="JYN66" s="557"/>
      <c r="JYO66" s="557"/>
      <c r="JYP66" s="557"/>
      <c r="JYQ66" s="557"/>
      <c r="JYR66" s="557"/>
      <c r="JYS66" s="557"/>
      <c r="JYT66" s="557"/>
      <c r="JYU66" s="557"/>
      <c r="JYV66" s="557"/>
      <c r="JYW66" s="557"/>
      <c r="JYX66" s="557"/>
      <c r="JYY66" s="557"/>
      <c r="JYZ66" s="557"/>
      <c r="JZA66" s="557"/>
      <c r="JZB66" s="557"/>
      <c r="JZC66" s="661"/>
      <c r="JZD66" s="556"/>
      <c r="JZE66" s="557"/>
      <c r="JZF66" s="557"/>
      <c r="JZG66" s="557"/>
      <c r="JZH66" s="557"/>
      <c r="JZI66" s="557"/>
      <c r="JZJ66" s="557"/>
      <c r="JZK66" s="557"/>
      <c r="JZL66" s="557"/>
      <c r="JZM66" s="557"/>
      <c r="JZN66" s="557"/>
      <c r="JZO66" s="557"/>
      <c r="JZP66" s="557"/>
      <c r="JZQ66" s="557"/>
      <c r="JZR66" s="557"/>
      <c r="JZS66" s="557"/>
      <c r="JZT66" s="557"/>
      <c r="JZU66" s="557"/>
      <c r="JZV66" s="557"/>
      <c r="JZW66" s="661"/>
      <c r="JZX66" s="556"/>
      <c r="JZY66" s="557"/>
      <c r="JZZ66" s="557"/>
      <c r="KAA66" s="557"/>
      <c r="KAB66" s="557"/>
      <c r="KAC66" s="557"/>
      <c r="KAD66" s="557"/>
      <c r="KAE66" s="557"/>
      <c r="KAF66" s="557"/>
      <c r="KAG66" s="557"/>
      <c r="KAH66" s="557"/>
      <c r="KAI66" s="557"/>
      <c r="KAJ66" s="557"/>
      <c r="KAK66" s="557"/>
      <c r="KAL66" s="557"/>
      <c r="KAM66" s="557"/>
      <c r="KAN66" s="557"/>
      <c r="KAO66" s="557"/>
      <c r="KAP66" s="557"/>
      <c r="KAQ66" s="661"/>
      <c r="KAR66" s="556"/>
      <c r="KAS66" s="557"/>
      <c r="KAT66" s="557"/>
      <c r="KAU66" s="557"/>
      <c r="KAV66" s="557"/>
      <c r="KAW66" s="557"/>
      <c r="KAX66" s="557"/>
      <c r="KAY66" s="557"/>
      <c r="KAZ66" s="557"/>
      <c r="KBA66" s="557"/>
      <c r="KBB66" s="557"/>
      <c r="KBC66" s="557"/>
      <c r="KBD66" s="557"/>
      <c r="KBE66" s="557"/>
      <c r="KBF66" s="557"/>
      <c r="KBG66" s="557"/>
      <c r="KBH66" s="557"/>
      <c r="KBI66" s="557"/>
      <c r="KBJ66" s="557"/>
      <c r="KBK66" s="661"/>
      <c r="KBL66" s="556"/>
      <c r="KBM66" s="557"/>
      <c r="KBN66" s="557"/>
      <c r="KBO66" s="557"/>
      <c r="KBP66" s="557"/>
      <c r="KBQ66" s="557"/>
      <c r="KBR66" s="557"/>
      <c r="KBS66" s="557"/>
      <c r="KBT66" s="557"/>
      <c r="KBU66" s="557"/>
      <c r="KBV66" s="557"/>
      <c r="KBW66" s="557"/>
      <c r="KBX66" s="557"/>
      <c r="KBY66" s="557"/>
      <c r="KBZ66" s="557"/>
      <c r="KCA66" s="557"/>
      <c r="KCB66" s="557"/>
      <c r="KCC66" s="557"/>
      <c r="KCD66" s="557"/>
      <c r="KCE66" s="661"/>
      <c r="KCF66" s="556"/>
      <c r="KCG66" s="557"/>
      <c r="KCH66" s="557"/>
      <c r="KCI66" s="557"/>
      <c r="KCJ66" s="557"/>
      <c r="KCK66" s="557"/>
      <c r="KCL66" s="557"/>
      <c r="KCM66" s="557"/>
      <c r="KCN66" s="557"/>
      <c r="KCO66" s="557"/>
      <c r="KCP66" s="557"/>
      <c r="KCQ66" s="557"/>
      <c r="KCR66" s="557"/>
      <c r="KCS66" s="557"/>
      <c r="KCT66" s="557"/>
      <c r="KCU66" s="557"/>
      <c r="KCV66" s="557"/>
      <c r="KCW66" s="557"/>
      <c r="KCX66" s="557"/>
      <c r="KCY66" s="661"/>
      <c r="KCZ66" s="556"/>
      <c r="KDA66" s="557"/>
      <c r="KDB66" s="557"/>
      <c r="KDC66" s="557"/>
      <c r="KDD66" s="557"/>
      <c r="KDE66" s="557"/>
      <c r="KDF66" s="557"/>
      <c r="KDG66" s="557"/>
      <c r="KDH66" s="557"/>
      <c r="KDI66" s="557"/>
      <c r="KDJ66" s="557"/>
      <c r="KDK66" s="557"/>
      <c r="KDL66" s="557"/>
      <c r="KDM66" s="557"/>
      <c r="KDN66" s="557"/>
      <c r="KDO66" s="557"/>
      <c r="KDP66" s="557"/>
      <c r="KDQ66" s="557"/>
      <c r="KDR66" s="557"/>
      <c r="KDS66" s="661"/>
      <c r="KDT66" s="556"/>
      <c r="KDU66" s="557"/>
      <c r="KDV66" s="557"/>
      <c r="KDW66" s="557"/>
      <c r="KDX66" s="557"/>
      <c r="KDY66" s="557"/>
      <c r="KDZ66" s="557"/>
      <c r="KEA66" s="557"/>
      <c r="KEB66" s="557"/>
      <c r="KEC66" s="557"/>
      <c r="KED66" s="557"/>
      <c r="KEE66" s="557"/>
      <c r="KEF66" s="557"/>
      <c r="KEG66" s="557"/>
      <c r="KEH66" s="557"/>
      <c r="KEI66" s="557"/>
      <c r="KEJ66" s="557"/>
      <c r="KEK66" s="557"/>
      <c r="KEL66" s="557"/>
      <c r="KEM66" s="661"/>
      <c r="KEN66" s="556"/>
      <c r="KEO66" s="557"/>
      <c r="KEP66" s="557"/>
      <c r="KEQ66" s="557"/>
      <c r="KER66" s="557"/>
      <c r="KES66" s="557"/>
      <c r="KET66" s="557"/>
      <c r="KEU66" s="557"/>
      <c r="KEV66" s="557"/>
      <c r="KEW66" s="557"/>
      <c r="KEX66" s="557"/>
      <c r="KEY66" s="557"/>
      <c r="KEZ66" s="557"/>
      <c r="KFA66" s="557"/>
      <c r="KFB66" s="557"/>
      <c r="KFC66" s="557"/>
      <c r="KFD66" s="557"/>
      <c r="KFE66" s="557"/>
      <c r="KFF66" s="557"/>
      <c r="KFG66" s="661"/>
      <c r="KFH66" s="556"/>
      <c r="KFI66" s="557"/>
      <c r="KFJ66" s="557"/>
      <c r="KFK66" s="557"/>
      <c r="KFL66" s="557"/>
      <c r="KFM66" s="557"/>
      <c r="KFN66" s="557"/>
      <c r="KFO66" s="557"/>
      <c r="KFP66" s="557"/>
      <c r="KFQ66" s="557"/>
      <c r="KFR66" s="557"/>
      <c r="KFS66" s="557"/>
      <c r="KFT66" s="557"/>
      <c r="KFU66" s="557"/>
      <c r="KFV66" s="557"/>
      <c r="KFW66" s="557"/>
      <c r="KFX66" s="557"/>
      <c r="KFY66" s="557"/>
      <c r="KFZ66" s="557"/>
      <c r="KGA66" s="661"/>
      <c r="KGB66" s="556"/>
      <c r="KGC66" s="557"/>
      <c r="KGD66" s="557"/>
      <c r="KGE66" s="557"/>
      <c r="KGF66" s="557"/>
      <c r="KGG66" s="557"/>
      <c r="KGH66" s="557"/>
      <c r="KGI66" s="557"/>
      <c r="KGJ66" s="557"/>
      <c r="KGK66" s="557"/>
      <c r="KGL66" s="557"/>
      <c r="KGM66" s="557"/>
      <c r="KGN66" s="557"/>
      <c r="KGO66" s="557"/>
      <c r="KGP66" s="557"/>
      <c r="KGQ66" s="557"/>
      <c r="KGR66" s="557"/>
      <c r="KGS66" s="557"/>
      <c r="KGT66" s="557"/>
      <c r="KGU66" s="661"/>
      <c r="KGV66" s="556"/>
      <c r="KGW66" s="557"/>
      <c r="KGX66" s="557"/>
      <c r="KGY66" s="557"/>
      <c r="KGZ66" s="557"/>
      <c r="KHA66" s="557"/>
      <c r="KHB66" s="557"/>
      <c r="KHC66" s="557"/>
      <c r="KHD66" s="557"/>
      <c r="KHE66" s="557"/>
      <c r="KHF66" s="557"/>
      <c r="KHG66" s="557"/>
      <c r="KHH66" s="557"/>
      <c r="KHI66" s="557"/>
      <c r="KHJ66" s="557"/>
      <c r="KHK66" s="557"/>
      <c r="KHL66" s="557"/>
      <c r="KHM66" s="557"/>
      <c r="KHN66" s="557"/>
      <c r="KHO66" s="661"/>
      <c r="KHP66" s="556"/>
      <c r="KHQ66" s="557"/>
      <c r="KHR66" s="557"/>
      <c r="KHS66" s="557"/>
      <c r="KHT66" s="557"/>
      <c r="KHU66" s="557"/>
      <c r="KHV66" s="557"/>
      <c r="KHW66" s="557"/>
      <c r="KHX66" s="557"/>
      <c r="KHY66" s="557"/>
      <c r="KHZ66" s="557"/>
      <c r="KIA66" s="557"/>
      <c r="KIB66" s="557"/>
      <c r="KIC66" s="557"/>
      <c r="KID66" s="557"/>
      <c r="KIE66" s="557"/>
      <c r="KIF66" s="557"/>
      <c r="KIG66" s="557"/>
      <c r="KIH66" s="557"/>
      <c r="KII66" s="661"/>
      <c r="KIJ66" s="556"/>
      <c r="KIK66" s="557"/>
      <c r="KIL66" s="557"/>
      <c r="KIM66" s="557"/>
      <c r="KIN66" s="557"/>
      <c r="KIO66" s="557"/>
      <c r="KIP66" s="557"/>
      <c r="KIQ66" s="557"/>
      <c r="KIR66" s="557"/>
      <c r="KIS66" s="557"/>
      <c r="KIT66" s="557"/>
      <c r="KIU66" s="557"/>
      <c r="KIV66" s="557"/>
      <c r="KIW66" s="557"/>
      <c r="KIX66" s="557"/>
      <c r="KIY66" s="557"/>
      <c r="KIZ66" s="557"/>
      <c r="KJA66" s="557"/>
      <c r="KJB66" s="557"/>
      <c r="KJC66" s="661"/>
      <c r="KJD66" s="556"/>
      <c r="KJE66" s="557"/>
      <c r="KJF66" s="557"/>
      <c r="KJG66" s="557"/>
      <c r="KJH66" s="557"/>
      <c r="KJI66" s="557"/>
      <c r="KJJ66" s="557"/>
      <c r="KJK66" s="557"/>
      <c r="KJL66" s="557"/>
      <c r="KJM66" s="557"/>
      <c r="KJN66" s="557"/>
      <c r="KJO66" s="557"/>
      <c r="KJP66" s="557"/>
      <c r="KJQ66" s="557"/>
      <c r="KJR66" s="557"/>
      <c r="KJS66" s="557"/>
      <c r="KJT66" s="557"/>
      <c r="KJU66" s="557"/>
      <c r="KJV66" s="557"/>
      <c r="KJW66" s="661"/>
      <c r="KJX66" s="556"/>
      <c r="KJY66" s="557"/>
      <c r="KJZ66" s="557"/>
      <c r="KKA66" s="557"/>
      <c r="KKB66" s="557"/>
      <c r="KKC66" s="557"/>
      <c r="KKD66" s="557"/>
      <c r="KKE66" s="557"/>
      <c r="KKF66" s="557"/>
      <c r="KKG66" s="557"/>
      <c r="KKH66" s="557"/>
      <c r="KKI66" s="557"/>
      <c r="KKJ66" s="557"/>
      <c r="KKK66" s="557"/>
      <c r="KKL66" s="557"/>
      <c r="KKM66" s="557"/>
      <c r="KKN66" s="557"/>
      <c r="KKO66" s="557"/>
      <c r="KKP66" s="557"/>
      <c r="KKQ66" s="661"/>
      <c r="KKR66" s="556"/>
      <c r="KKS66" s="557"/>
      <c r="KKT66" s="557"/>
      <c r="KKU66" s="557"/>
      <c r="KKV66" s="557"/>
      <c r="KKW66" s="557"/>
      <c r="KKX66" s="557"/>
      <c r="KKY66" s="557"/>
      <c r="KKZ66" s="557"/>
      <c r="KLA66" s="557"/>
      <c r="KLB66" s="557"/>
      <c r="KLC66" s="557"/>
      <c r="KLD66" s="557"/>
      <c r="KLE66" s="557"/>
      <c r="KLF66" s="557"/>
      <c r="KLG66" s="557"/>
      <c r="KLH66" s="557"/>
      <c r="KLI66" s="557"/>
      <c r="KLJ66" s="557"/>
      <c r="KLK66" s="661"/>
      <c r="KLL66" s="556"/>
      <c r="KLM66" s="557"/>
      <c r="KLN66" s="557"/>
      <c r="KLO66" s="557"/>
      <c r="KLP66" s="557"/>
      <c r="KLQ66" s="557"/>
      <c r="KLR66" s="557"/>
      <c r="KLS66" s="557"/>
      <c r="KLT66" s="557"/>
      <c r="KLU66" s="557"/>
      <c r="KLV66" s="557"/>
      <c r="KLW66" s="557"/>
      <c r="KLX66" s="557"/>
      <c r="KLY66" s="557"/>
      <c r="KLZ66" s="557"/>
      <c r="KMA66" s="557"/>
      <c r="KMB66" s="557"/>
      <c r="KMC66" s="557"/>
      <c r="KMD66" s="557"/>
      <c r="KME66" s="661"/>
      <c r="KMF66" s="556"/>
      <c r="KMG66" s="557"/>
      <c r="KMH66" s="557"/>
      <c r="KMI66" s="557"/>
      <c r="KMJ66" s="557"/>
      <c r="KMK66" s="557"/>
      <c r="KML66" s="557"/>
      <c r="KMM66" s="557"/>
      <c r="KMN66" s="557"/>
      <c r="KMO66" s="557"/>
      <c r="KMP66" s="557"/>
      <c r="KMQ66" s="557"/>
      <c r="KMR66" s="557"/>
      <c r="KMS66" s="557"/>
      <c r="KMT66" s="557"/>
      <c r="KMU66" s="557"/>
      <c r="KMV66" s="557"/>
      <c r="KMW66" s="557"/>
      <c r="KMX66" s="557"/>
      <c r="KMY66" s="661"/>
      <c r="KMZ66" s="556"/>
      <c r="KNA66" s="557"/>
      <c r="KNB66" s="557"/>
      <c r="KNC66" s="557"/>
      <c r="KND66" s="557"/>
      <c r="KNE66" s="557"/>
      <c r="KNF66" s="557"/>
      <c r="KNG66" s="557"/>
      <c r="KNH66" s="557"/>
      <c r="KNI66" s="557"/>
      <c r="KNJ66" s="557"/>
      <c r="KNK66" s="557"/>
      <c r="KNL66" s="557"/>
      <c r="KNM66" s="557"/>
      <c r="KNN66" s="557"/>
      <c r="KNO66" s="557"/>
      <c r="KNP66" s="557"/>
      <c r="KNQ66" s="557"/>
      <c r="KNR66" s="557"/>
      <c r="KNS66" s="661"/>
      <c r="KNT66" s="556"/>
      <c r="KNU66" s="557"/>
      <c r="KNV66" s="557"/>
      <c r="KNW66" s="557"/>
      <c r="KNX66" s="557"/>
      <c r="KNY66" s="557"/>
      <c r="KNZ66" s="557"/>
      <c r="KOA66" s="557"/>
      <c r="KOB66" s="557"/>
      <c r="KOC66" s="557"/>
      <c r="KOD66" s="557"/>
      <c r="KOE66" s="557"/>
      <c r="KOF66" s="557"/>
      <c r="KOG66" s="557"/>
      <c r="KOH66" s="557"/>
      <c r="KOI66" s="557"/>
      <c r="KOJ66" s="557"/>
      <c r="KOK66" s="557"/>
      <c r="KOL66" s="557"/>
      <c r="KOM66" s="661"/>
      <c r="KON66" s="556"/>
      <c r="KOO66" s="557"/>
      <c r="KOP66" s="557"/>
      <c r="KOQ66" s="557"/>
      <c r="KOR66" s="557"/>
      <c r="KOS66" s="557"/>
      <c r="KOT66" s="557"/>
      <c r="KOU66" s="557"/>
      <c r="KOV66" s="557"/>
      <c r="KOW66" s="557"/>
      <c r="KOX66" s="557"/>
      <c r="KOY66" s="557"/>
      <c r="KOZ66" s="557"/>
      <c r="KPA66" s="557"/>
      <c r="KPB66" s="557"/>
      <c r="KPC66" s="557"/>
      <c r="KPD66" s="557"/>
      <c r="KPE66" s="557"/>
      <c r="KPF66" s="557"/>
      <c r="KPG66" s="661"/>
      <c r="KPH66" s="556"/>
      <c r="KPI66" s="557"/>
      <c r="KPJ66" s="557"/>
      <c r="KPK66" s="557"/>
      <c r="KPL66" s="557"/>
      <c r="KPM66" s="557"/>
      <c r="KPN66" s="557"/>
      <c r="KPO66" s="557"/>
      <c r="KPP66" s="557"/>
      <c r="KPQ66" s="557"/>
      <c r="KPR66" s="557"/>
      <c r="KPS66" s="557"/>
      <c r="KPT66" s="557"/>
      <c r="KPU66" s="557"/>
      <c r="KPV66" s="557"/>
      <c r="KPW66" s="557"/>
      <c r="KPX66" s="557"/>
      <c r="KPY66" s="557"/>
      <c r="KPZ66" s="557"/>
      <c r="KQA66" s="661"/>
      <c r="KQB66" s="556"/>
      <c r="KQC66" s="557"/>
      <c r="KQD66" s="557"/>
      <c r="KQE66" s="557"/>
      <c r="KQF66" s="557"/>
      <c r="KQG66" s="557"/>
      <c r="KQH66" s="557"/>
      <c r="KQI66" s="557"/>
      <c r="KQJ66" s="557"/>
      <c r="KQK66" s="557"/>
      <c r="KQL66" s="557"/>
      <c r="KQM66" s="557"/>
      <c r="KQN66" s="557"/>
      <c r="KQO66" s="557"/>
      <c r="KQP66" s="557"/>
      <c r="KQQ66" s="557"/>
      <c r="KQR66" s="557"/>
      <c r="KQS66" s="557"/>
      <c r="KQT66" s="557"/>
      <c r="KQU66" s="661"/>
      <c r="KQV66" s="556"/>
      <c r="KQW66" s="557"/>
      <c r="KQX66" s="557"/>
      <c r="KQY66" s="557"/>
      <c r="KQZ66" s="557"/>
      <c r="KRA66" s="557"/>
      <c r="KRB66" s="557"/>
      <c r="KRC66" s="557"/>
      <c r="KRD66" s="557"/>
      <c r="KRE66" s="557"/>
      <c r="KRF66" s="557"/>
      <c r="KRG66" s="557"/>
      <c r="KRH66" s="557"/>
      <c r="KRI66" s="557"/>
      <c r="KRJ66" s="557"/>
      <c r="KRK66" s="557"/>
      <c r="KRL66" s="557"/>
      <c r="KRM66" s="557"/>
      <c r="KRN66" s="557"/>
      <c r="KRO66" s="661"/>
      <c r="KRP66" s="556"/>
      <c r="KRQ66" s="557"/>
      <c r="KRR66" s="557"/>
      <c r="KRS66" s="557"/>
      <c r="KRT66" s="557"/>
      <c r="KRU66" s="557"/>
      <c r="KRV66" s="557"/>
      <c r="KRW66" s="557"/>
      <c r="KRX66" s="557"/>
      <c r="KRY66" s="557"/>
      <c r="KRZ66" s="557"/>
      <c r="KSA66" s="557"/>
      <c r="KSB66" s="557"/>
      <c r="KSC66" s="557"/>
      <c r="KSD66" s="557"/>
      <c r="KSE66" s="557"/>
      <c r="KSF66" s="557"/>
      <c r="KSG66" s="557"/>
      <c r="KSH66" s="557"/>
      <c r="KSI66" s="661"/>
      <c r="KSJ66" s="556"/>
      <c r="KSK66" s="557"/>
      <c r="KSL66" s="557"/>
      <c r="KSM66" s="557"/>
      <c r="KSN66" s="557"/>
      <c r="KSO66" s="557"/>
      <c r="KSP66" s="557"/>
      <c r="KSQ66" s="557"/>
      <c r="KSR66" s="557"/>
      <c r="KSS66" s="557"/>
      <c r="KST66" s="557"/>
      <c r="KSU66" s="557"/>
      <c r="KSV66" s="557"/>
      <c r="KSW66" s="557"/>
      <c r="KSX66" s="557"/>
      <c r="KSY66" s="557"/>
      <c r="KSZ66" s="557"/>
      <c r="KTA66" s="557"/>
      <c r="KTB66" s="557"/>
      <c r="KTC66" s="661"/>
      <c r="KTD66" s="556"/>
      <c r="KTE66" s="557"/>
      <c r="KTF66" s="557"/>
      <c r="KTG66" s="557"/>
      <c r="KTH66" s="557"/>
      <c r="KTI66" s="557"/>
      <c r="KTJ66" s="557"/>
      <c r="KTK66" s="557"/>
      <c r="KTL66" s="557"/>
      <c r="KTM66" s="557"/>
      <c r="KTN66" s="557"/>
      <c r="KTO66" s="557"/>
      <c r="KTP66" s="557"/>
      <c r="KTQ66" s="557"/>
      <c r="KTR66" s="557"/>
      <c r="KTS66" s="557"/>
      <c r="KTT66" s="557"/>
      <c r="KTU66" s="557"/>
      <c r="KTV66" s="557"/>
      <c r="KTW66" s="661"/>
      <c r="KTX66" s="556"/>
      <c r="KTY66" s="557"/>
      <c r="KTZ66" s="557"/>
      <c r="KUA66" s="557"/>
      <c r="KUB66" s="557"/>
      <c r="KUC66" s="557"/>
      <c r="KUD66" s="557"/>
      <c r="KUE66" s="557"/>
      <c r="KUF66" s="557"/>
      <c r="KUG66" s="557"/>
      <c r="KUH66" s="557"/>
      <c r="KUI66" s="557"/>
      <c r="KUJ66" s="557"/>
      <c r="KUK66" s="557"/>
      <c r="KUL66" s="557"/>
      <c r="KUM66" s="557"/>
      <c r="KUN66" s="557"/>
      <c r="KUO66" s="557"/>
      <c r="KUP66" s="557"/>
      <c r="KUQ66" s="661"/>
      <c r="KUR66" s="556"/>
      <c r="KUS66" s="557"/>
      <c r="KUT66" s="557"/>
      <c r="KUU66" s="557"/>
      <c r="KUV66" s="557"/>
      <c r="KUW66" s="557"/>
      <c r="KUX66" s="557"/>
      <c r="KUY66" s="557"/>
      <c r="KUZ66" s="557"/>
      <c r="KVA66" s="557"/>
      <c r="KVB66" s="557"/>
      <c r="KVC66" s="557"/>
      <c r="KVD66" s="557"/>
      <c r="KVE66" s="557"/>
      <c r="KVF66" s="557"/>
      <c r="KVG66" s="557"/>
      <c r="KVH66" s="557"/>
      <c r="KVI66" s="557"/>
      <c r="KVJ66" s="557"/>
      <c r="KVK66" s="661"/>
      <c r="KVL66" s="556"/>
      <c r="KVM66" s="557"/>
      <c r="KVN66" s="557"/>
      <c r="KVO66" s="557"/>
      <c r="KVP66" s="557"/>
      <c r="KVQ66" s="557"/>
      <c r="KVR66" s="557"/>
      <c r="KVS66" s="557"/>
      <c r="KVT66" s="557"/>
      <c r="KVU66" s="557"/>
      <c r="KVV66" s="557"/>
      <c r="KVW66" s="557"/>
      <c r="KVX66" s="557"/>
      <c r="KVY66" s="557"/>
      <c r="KVZ66" s="557"/>
      <c r="KWA66" s="557"/>
      <c r="KWB66" s="557"/>
      <c r="KWC66" s="557"/>
      <c r="KWD66" s="557"/>
      <c r="KWE66" s="661"/>
      <c r="KWF66" s="556"/>
      <c r="KWG66" s="557"/>
      <c r="KWH66" s="557"/>
      <c r="KWI66" s="557"/>
      <c r="KWJ66" s="557"/>
      <c r="KWK66" s="557"/>
      <c r="KWL66" s="557"/>
      <c r="KWM66" s="557"/>
      <c r="KWN66" s="557"/>
      <c r="KWO66" s="557"/>
      <c r="KWP66" s="557"/>
      <c r="KWQ66" s="557"/>
      <c r="KWR66" s="557"/>
      <c r="KWS66" s="557"/>
      <c r="KWT66" s="557"/>
      <c r="KWU66" s="557"/>
      <c r="KWV66" s="557"/>
      <c r="KWW66" s="557"/>
      <c r="KWX66" s="557"/>
      <c r="KWY66" s="661"/>
      <c r="KWZ66" s="556"/>
      <c r="KXA66" s="557"/>
      <c r="KXB66" s="557"/>
      <c r="KXC66" s="557"/>
      <c r="KXD66" s="557"/>
      <c r="KXE66" s="557"/>
      <c r="KXF66" s="557"/>
      <c r="KXG66" s="557"/>
      <c r="KXH66" s="557"/>
      <c r="KXI66" s="557"/>
      <c r="KXJ66" s="557"/>
      <c r="KXK66" s="557"/>
      <c r="KXL66" s="557"/>
      <c r="KXM66" s="557"/>
      <c r="KXN66" s="557"/>
      <c r="KXO66" s="557"/>
      <c r="KXP66" s="557"/>
      <c r="KXQ66" s="557"/>
      <c r="KXR66" s="557"/>
      <c r="KXS66" s="661"/>
      <c r="KXT66" s="556"/>
      <c r="KXU66" s="557"/>
      <c r="KXV66" s="557"/>
      <c r="KXW66" s="557"/>
      <c r="KXX66" s="557"/>
      <c r="KXY66" s="557"/>
      <c r="KXZ66" s="557"/>
      <c r="KYA66" s="557"/>
      <c r="KYB66" s="557"/>
      <c r="KYC66" s="557"/>
      <c r="KYD66" s="557"/>
      <c r="KYE66" s="557"/>
      <c r="KYF66" s="557"/>
      <c r="KYG66" s="557"/>
      <c r="KYH66" s="557"/>
      <c r="KYI66" s="557"/>
      <c r="KYJ66" s="557"/>
      <c r="KYK66" s="557"/>
      <c r="KYL66" s="557"/>
      <c r="KYM66" s="661"/>
      <c r="KYN66" s="556"/>
      <c r="KYO66" s="557"/>
      <c r="KYP66" s="557"/>
      <c r="KYQ66" s="557"/>
      <c r="KYR66" s="557"/>
      <c r="KYS66" s="557"/>
      <c r="KYT66" s="557"/>
      <c r="KYU66" s="557"/>
      <c r="KYV66" s="557"/>
      <c r="KYW66" s="557"/>
      <c r="KYX66" s="557"/>
      <c r="KYY66" s="557"/>
      <c r="KYZ66" s="557"/>
      <c r="KZA66" s="557"/>
      <c r="KZB66" s="557"/>
      <c r="KZC66" s="557"/>
      <c r="KZD66" s="557"/>
      <c r="KZE66" s="557"/>
      <c r="KZF66" s="557"/>
      <c r="KZG66" s="661"/>
      <c r="KZH66" s="556"/>
      <c r="KZI66" s="557"/>
      <c r="KZJ66" s="557"/>
      <c r="KZK66" s="557"/>
      <c r="KZL66" s="557"/>
      <c r="KZM66" s="557"/>
      <c r="KZN66" s="557"/>
      <c r="KZO66" s="557"/>
      <c r="KZP66" s="557"/>
      <c r="KZQ66" s="557"/>
      <c r="KZR66" s="557"/>
      <c r="KZS66" s="557"/>
      <c r="KZT66" s="557"/>
      <c r="KZU66" s="557"/>
      <c r="KZV66" s="557"/>
      <c r="KZW66" s="557"/>
      <c r="KZX66" s="557"/>
      <c r="KZY66" s="557"/>
      <c r="KZZ66" s="557"/>
      <c r="LAA66" s="661"/>
      <c r="LAB66" s="556"/>
      <c r="LAC66" s="557"/>
      <c r="LAD66" s="557"/>
      <c r="LAE66" s="557"/>
      <c r="LAF66" s="557"/>
      <c r="LAG66" s="557"/>
      <c r="LAH66" s="557"/>
      <c r="LAI66" s="557"/>
      <c r="LAJ66" s="557"/>
      <c r="LAK66" s="557"/>
      <c r="LAL66" s="557"/>
      <c r="LAM66" s="557"/>
      <c r="LAN66" s="557"/>
      <c r="LAO66" s="557"/>
      <c r="LAP66" s="557"/>
      <c r="LAQ66" s="557"/>
      <c r="LAR66" s="557"/>
      <c r="LAS66" s="557"/>
      <c r="LAT66" s="557"/>
      <c r="LAU66" s="661"/>
      <c r="LAV66" s="556"/>
      <c r="LAW66" s="557"/>
      <c r="LAX66" s="557"/>
      <c r="LAY66" s="557"/>
      <c r="LAZ66" s="557"/>
      <c r="LBA66" s="557"/>
      <c r="LBB66" s="557"/>
      <c r="LBC66" s="557"/>
      <c r="LBD66" s="557"/>
      <c r="LBE66" s="557"/>
      <c r="LBF66" s="557"/>
      <c r="LBG66" s="557"/>
      <c r="LBH66" s="557"/>
      <c r="LBI66" s="557"/>
      <c r="LBJ66" s="557"/>
      <c r="LBK66" s="557"/>
      <c r="LBL66" s="557"/>
      <c r="LBM66" s="557"/>
      <c r="LBN66" s="557"/>
      <c r="LBO66" s="661"/>
      <c r="LBP66" s="556"/>
      <c r="LBQ66" s="557"/>
      <c r="LBR66" s="557"/>
      <c r="LBS66" s="557"/>
      <c r="LBT66" s="557"/>
      <c r="LBU66" s="557"/>
      <c r="LBV66" s="557"/>
      <c r="LBW66" s="557"/>
      <c r="LBX66" s="557"/>
      <c r="LBY66" s="557"/>
      <c r="LBZ66" s="557"/>
      <c r="LCA66" s="557"/>
      <c r="LCB66" s="557"/>
      <c r="LCC66" s="557"/>
      <c r="LCD66" s="557"/>
      <c r="LCE66" s="557"/>
      <c r="LCF66" s="557"/>
      <c r="LCG66" s="557"/>
      <c r="LCH66" s="557"/>
      <c r="LCI66" s="661"/>
      <c r="LCJ66" s="556"/>
      <c r="LCK66" s="557"/>
      <c r="LCL66" s="557"/>
      <c r="LCM66" s="557"/>
      <c r="LCN66" s="557"/>
      <c r="LCO66" s="557"/>
      <c r="LCP66" s="557"/>
      <c r="LCQ66" s="557"/>
      <c r="LCR66" s="557"/>
      <c r="LCS66" s="557"/>
      <c r="LCT66" s="557"/>
      <c r="LCU66" s="557"/>
      <c r="LCV66" s="557"/>
      <c r="LCW66" s="557"/>
      <c r="LCX66" s="557"/>
      <c r="LCY66" s="557"/>
      <c r="LCZ66" s="557"/>
      <c r="LDA66" s="557"/>
      <c r="LDB66" s="557"/>
      <c r="LDC66" s="661"/>
      <c r="LDD66" s="556"/>
      <c r="LDE66" s="557"/>
      <c r="LDF66" s="557"/>
      <c r="LDG66" s="557"/>
      <c r="LDH66" s="557"/>
      <c r="LDI66" s="557"/>
      <c r="LDJ66" s="557"/>
      <c r="LDK66" s="557"/>
      <c r="LDL66" s="557"/>
      <c r="LDM66" s="557"/>
      <c r="LDN66" s="557"/>
      <c r="LDO66" s="557"/>
      <c r="LDP66" s="557"/>
      <c r="LDQ66" s="557"/>
      <c r="LDR66" s="557"/>
      <c r="LDS66" s="557"/>
      <c r="LDT66" s="557"/>
      <c r="LDU66" s="557"/>
      <c r="LDV66" s="557"/>
      <c r="LDW66" s="661"/>
      <c r="LDX66" s="556"/>
      <c r="LDY66" s="557"/>
      <c r="LDZ66" s="557"/>
      <c r="LEA66" s="557"/>
      <c r="LEB66" s="557"/>
      <c r="LEC66" s="557"/>
      <c r="LED66" s="557"/>
      <c r="LEE66" s="557"/>
      <c r="LEF66" s="557"/>
      <c r="LEG66" s="557"/>
      <c r="LEH66" s="557"/>
      <c r="LEI66" s="557"/>
      <c r="LEJ66" s="557"/>
      <c r="LEK66" s="557"/>
      <c r="LEL66" s="557"/>
      <c r="LEM66" s="557"/>
      <c r="LEN66" s="557"/>
      <c r="LEO66" s="557"/>
      <c r="LEP66" s="557"/>
      <c r="LEQ66" s="661"/>
      <c r="LER66" s="556"/>
      <c r="LES66" s="557"/>
      <c r="LET66" s="557"/>
      <c r="LEU66" s="557"/>
      <c r="LEV66" s="557"/>
      <c r="LEW66" s="557"/>
      <c r="LEX66" s="557"/>
      <c r="LEY66" s="557"/>
      <c r="LEZ66" s="557"/>
      <c r="LFA66" s="557"/>
      <c r="LFB66" s="557"/>
      <c r="LFC66" s="557"/>
      <c r="LFD66" s="557"/>
      <c r="LFE66" s="557"/>
      <c r="LFF66" s="557"/>
      <c r="LFG66" s="557"/>
      <c r="LFH66" s="557"/>
      <c r="LFI66" s="557"/>
      <c r="LFJ66" s="557"/>
      <c r="LFK66" s="661"/>
      <c r="LFL66" s="556"/>
      <c r="LFM66" s="557"/>
      <c r="LFN66" s="557"/>
      <c r="LFO66" s="557"/>
      <c r="LFP66" s="557"/>
      <c r="LFQ66" s="557"/>
      <c r="LFR66" s="557"/>
      <c r="LFS66" s="557"/>
      <c r="LFT66" s="557"/>
      <c r="LFU66" s="557"/>
      <c r="LFV66" s="557"/>
      <c r="LFW66" s="557"/>
      <c r="LFX66" s="557"/>
      <c r="LFY66" s="557"/>
      <c r="LFZ66" s="557"/>
      <c r="LGA66" s="557"/>
      <c r="LGB66" s="557"/>
      <c r="LGC66" s="557"/>
      <c r="LGD66" s="557"/>
      <c r="LGE66" s="661"/>
      <c r="LGF66" s="556"/>
      <c r="LGG66" s="557"/>
      <c r="LGH66" s="557"/>
      <c r="LGI66" s="557"/>
      <c r="LGJ66" s="557"/>
      <c r="LGK66" s="557"/>
      <c r="LGL66" s="557"/>
      <c r="LGM66" s="557"/>
      <c r="LGN66" s="557"/>
      <c r="LGO66" s="557"/>
      <c r="LGP66" s="557"/>
      <c r="LGQ66" s="557"/>
      <c r="LGR66" s="557"/>
      <c r="LGS66" s="557"/>
      <c r="LGT66" s="557"/>
      <c r="LGU66" s="557"/>
      <c r="LGV66" s="557"/>
      <c r="LGW66" s="557"/>
      <c r="LGX66" s="557"/>
      <c r="LGY66" s="661"/>
      <c r="LGZ66" s="556"/>
      <c r="LHA66" s="557"/>
      <c r="LHB66" s="557"/>
      <c r="LHC66" s="557"/>
      <c r="LHD66" s="557"/>
      <c r="LHE66" s="557"/>
      <c r="LHF66" s="557"/>
      <c r="LHG66" s="557"/>
      <c r="LHH66" s="557"/>
      <c r="LHI66" s="557"/>
      <c r="LHJ66" s="557"/>
      <c r="LHK66" s="557"/>
      <c r="LHL66" s="557"/>
      <c r="LHM66" s="557"/>
      <c r="LHN66" s="557"/>
      <c r="LHO66" s="557"/>
      <c r="LHP66" s="557"/>
      <c r="LHQ66" s="557"/>
      <c r="LHR66" s="557"/>
      <c r="LHS66" s="661"/>
      <c r="LHT66" s="556"/>
      <c r="LHU66" s="557"/>
      <c r="LHV66" s="557"/>
      <c r="LHW66" s="557"/>
      <c r="LHX66" s="557"/>
      <c r="LHY66" s="557"/>
      <c r="LHZ66" s="557"/>
      <c r="LIA66" s="557"/>
      <c r="LIB66" s="557"/>
      <c r="LIC66" s="557"/>
      <c r="LID66" s="557"/>
      <c r="LIE66" s="557"/>
      <c r="LIF66" s="557"/>
      <c r="LIG66" s="557"/>
      <c r="LIH66" s="557"/>
      <c r="LII66" s="557"/>
      <c r="LIJ66" s="557"/>
      <c r="LIK66" s="557"/>
      <c r="LIL66" s="557"/>
      <c r="LIM66" s="661"/>
      <c r="LIN66" s="556"/>
      <c r="LIO66" s="557"/>
      <c r="LIP66" s="557"/>
      <c r="LIQ66" s="557"/>
      <c r="LIR66" s="557"/>
      <c r="LIS66" s="557"/>
      <c r="LIT66" s="557"/>
      <c r="LIU66" s="557"/>
      <c r="LIV66" s="557"/>
      <c r="LIW66" s="557"/>
      <c r="LIX66" s="557"/>
      <c r="LIY66" s="557"/>
      <c r="LIZ66" s="557"/>
      <c r="LJA66" s="557"/>
      <c r="LJB66" s="557"/>
      <c r="LJC66" s="557"/>
      <c r="LJD66" s="557"/>
      <c r="LJE66" s="557"/>
      <c r="LJF66" s="557"/>
      <c r="LJG66" s="661"/>
      <c r="LJH66" s="556"/>
      <c r="LJI66" s="557"/>
      <c r="LJJ66" s="557"/>
      <c r="LJK66" s="557"/>
      <c r="LJL66" s="557"/>
      <c r="LJM66" s="557"/>
      <c r="LJN66" s="557"/>
      <c r="LJO66" s="557"/>
      <c r="LJP66" s="557"/>
      <c r="LJQ66" s="557"/>
      <c r="LJR66" s="557"/>
      <c r="LJS66" s="557"/>
      <c r="LJT66" s="557"/>
      <c r="LJU66" s="557"/>
      <c r="LJV66" s="557"/>
      <c r="LJW66" s="557"/>
      <c r="LJX66" s="557"/>
      <c r="LJY66" s="557"/>
      <c r="LJZ66" s="557"/>
      <c r="LKA66" s="661"/>
      <c r="LKB66" s="556"/>
      <c r="LKC66" s="557"/>
      <c r="LKD66" s="557"/>
      <c r="LKE66" s="557"/>
      <c r="LKF66" s="557"/>
      <c r="LKG66" s="557"/>
      <c r="LKH66" s="557"/>
      <c r="LKI66" s="557"/>
      <c r="LKJ66" s="557"/>
      <c r="LKK66" s="557"/>
      <c r="LKL66" s="557"/>
      <c r="LKM66" s="557"/>
      <c r="LKN66" s="557"/>
      <c r="LKO66" s="557"/>
      <c r="LKP66" s="557"/>
      <c r="LKQ66" s="557"/>
      <c r="LKR66" s="557"/>
      <c r="LKS66" s="557"/>
      <c r="LKT66" s="557"/>
      <c r="LKU66" s="661"/>
      <c r="LKV66" s="556"/>
      <c r="LKW66" s="557"/>
      <c r="LKX66" s="557"/>
      <c r="LKY66" s="557"/>
      <c r="LKZ66" s="557"/>
      <c r="LLA66" s="557"/>
      <c r="LLB66" s="557"/>
      <c r="LLC66" s="557"/>
      <c r="LLD66" s="557"/>
      <c r="LLE66" s="557"/>
      <c r="LLF66" s="557"/>
      <c r="LLG66" s="557"/>
      <c r="LLH66" s="557"/>
      <c r="LLI66" s="557"/>
      <c r="LLJ66" s="557"/>
      <c r="LLK66" s="557"/>
      <c r="LLL66" s="557"/>
      <c r="LLM66" s="557"/>
      <c r="LLN66" s="557"/>
      <c r="LLO66" s="661"/>
      <c r="LLP66" s="556"/>
      <c r="LLQ66" s="557"/>
      <c r="LLR66" s="557"/>
      <c r="LLS66" s="557"/>
      <c r="LLT66" s="557"/>
      <c r="LLU66" s="557"/>
      <c r="LLV66" s="557"/>
      <c r="LLW66" s="557"/>
      <c r="LLX66" s="557"/>
      <c r="LLY66" s="557"/>
      <c r="LLZ66" s="557"/>
      <c r="LMA66" s="557"/>
      <c r="LMB66" s="557"/>
      <c r="LMC66" s="557"/>
      <c r="LMD66" s="557"/>
      <c r="LME66" s="557"/>
      <c r="LMF66" s="557"/>
      <c r="LMG66" s="557"/>
      <c r="LMH66" s="557"/>
      <c r="LMI66" s="661"/>
      <c r="LMJ66" s="556"/>
      <c r="LMK66" s="557"/>
      <c r="LML66" s="557"/>
      <c r="LMM66" s="557"/>
      <c r="LMN66" s="557"/>
      <c r="LMO66" s="557"/>
      <c r="LMP66" s="557"/>
      <c r="LMQ66" s="557"/>
      <c r="LMR66" s="557"/>
      <c r="LMS66" s="557"/>
      <c r="LMT66" s="557"/>
      <c r="LMU66" s="557"/>
      <c r="LMV66" s="557"/>
      <c r="LMW66" s="557"/>
      <c r="LMX66" s="557"/>
      <c r="LMY66" s="557"/>
      <c r="LMZ66" s="557"/>
      <c r="LNA66" s="557"/>
      <c r="LNB66" s="557"/>
      <c r="LNC66" s="661"/>
      <c r="LND66" s="556"/>
      <c r="LNE66" s="557"/>
      <c r="LNF66" s="557"/>
      <c r="LNG66" s="557"/>
      <c r="LNH66" s="557"/>
      <c r="LNI66" s="557"/>
      <c r="LNJ66" s="557"/>
      <c r="LNK66" s="557"/>
      <c r="LNL66" s="557"/>
      <c r="LNM66" s="557"/>
      <c r="LNN66" s="557"/>
      <c r="LNO66" s="557"/>
      <c r="LNP66" s="557"/>
      <c r="LNQ66" s="557"/>
      <c r="LNR66" s="557"/>
      <c r="LNS66" s="557"/>
      <c r="LNT66" s="557"/>
      <c r="LNU66" s="557"/>
      <c r="LNV66" s="557"/>
      <c r="LNW66" s="661"/>
      <c r="LNX66" s="556"/>
      <c r="LNY66" s="557"/>
      <c r="LNZ66" s="557"/>
      <c r="LOA66" s="557"/>
      <c r="LOB66" s="557"/>
      <c r="LOC66" s="557"/>
      <c r="LOD66" s="557"/>
      <c r="LOE66" s="557"/>
      <c r="LOF66" s="557"/>
      <c r="LOG66" s="557"/>
      <c r="LOH66" s="557"/>
      <c r="LOI66" s="557"/>
      <c r="LOJ66" s="557"/>
      <c r="LOK66" s="557"/>
      <c r="LOL66" s="557"/>
      <c r="LOM66" s="557"/>
      <c r="LON66" s="557"/>
      <c r="LOO66" s="557"/>
      <c r="LOP66" s="557"/>
      <c r="LOQ66" s="661"/>
      <c r="LOR66" s="556"/>
      <c r="LOS66" s="557"/>
      <c r="LOT66" s="557"/>
      <c r="LOU66" s="557"/>
      <c r="LOV66" s="557"/>
      <c r="LOW66" s="557"/>
      <c r="LOX66" s="557"/>
      <c r="LOY66" s="557"/>
      <c r="LOZ66" s="557"/>
      <c r="LPA66" s="557"/>
      <c r="LPB66" s="557"/>
      <c r="LPC66" s="557"/>
      <c r="LPD66" s="557"/>
      <c r="LPE66" s="557"/>
      <c r="LPF66" s="557"/>
      <c r="LPG66" s="557"/>
      <c r="LPH66" s="557"/>
      <c r="LPI66" s="557"/>
      <c r="LPJ66" s="557"/>
      <c r="LPK66" s="661"/>
      <c r="LPL66" s="556"/>
      <c r="LPM66" s="557"/>
      <c r="LPN66" s="557"/>
      <c r="LPO66" s="557"/>
      <c r="LPP66" s="557"/>
      <c r="LPQ66" s="557"/>
      <c r="LPR66" s="557"/>
      <c r="LPS66" s="557"/>
      <c r="LPT66" s="557"/>
      <c r="LPU66" s="557"/>
      <c r="LPV66" s="557"/>
      <c r="LPW66" s="557"/>
      <c r="LPX66" s="557"/>
      <c r="LPY66" s="557"/>
      <c r="LPZ66" s="557"/>
      <c r="LQA66" s="557"/>
      <c r="LQB66" s="557"/>
      <c r="LQC66" s="557"/>
      <c r="LQD66" s="557"/>
      <c r="LQE66" s="661"/>
      <c r="LQF66" s="556"/>
      <c r="LQG66" s="557"/>
      <c r="LQH66" s="557"/>
      <c r="LQI66" s="557"/>
      <c r="LQJ66" s="557"/>
      <c r="LQK66" s="557"/>
      <c r="LQL66" s="557"/>
      <c r="LQM66" s="557"/>
      <c r="LQN66" s="557"/>
      <c r="LQO66" s="557"/>
      <c r="LQP66" s="557"/>
      <c r="LQQ66" s="557"/>
      <c r="LQR66" s="557"/>
      <c r="LQS66" s="557"/>
      <c r="LQT66" s="557"/>
      <c r="LQU66" s="557"/>
      <c r="LQV66" s="557"/>
      <c r="LQW66" s="557"/>
      <c r="LQX66" s="557"/>
      <c r="LQY66" s="661"/>
      <c r="LQZ66" s="556"/>
      <c r="LRA66" s="557"/>
      <c r="LRB66" s="557"/>
      <c r="LRC66" s="557"/>
      <c r="LRD66" s="557"/>
      <c r="LRE66" s="557"/>
      <c r="LRF66" s="557"/>
      <c r="LRG66" s="557"/>
      <c r="LRH66" s="557"/>
      <c r="LRI66" s="557"/>
      <c r="LRJ66" s="557"/>
      <c r="LRK66" s="557"/>
      <c r="LRL66" s="557"/>
      <c r="LRM66" s="557"/>
      <c r="LRN66" s="557"/>
      <c r="LRO66" s="557"/>
      <c r="LRP66" s="557"/>
      <c r="LRQ66" s="557"/>
      <c r="LRR66" s="557"/>
      <c r="LRS66" s="661"/>
      <c r="LRT66" s="556"/>
      <c r="LRU66" s="557"/>
      <c r="LRV66" s="557"/>
      <c r="LRW66" s="557"/>
      <c r="LRX66" s="557"/>
      <c r="LRY66" s="557"/>
      <c r="LRZ66" s="557"/>
      <c r="LSA66" s="557"/>
      <c r="LSB66" s="557"/>
      <c r="LSC66" s="557"/>
      <c r="LSD66" s="557"/>
      <c r="LSE66" s="557"/>
      <c r="LSF66" s="557"/>
      <c r="LSG66" s="557"/>
      <c r="LSH66" s="557"/>
      <c r="LSI66" s="557"/>
      <c r="LSJ66" s="557"/>
      <c r="LSK66" s="557"/>
      <c r="LSL66" s="557"/>
      <c r="LSM66" s="661"/>
      <c r="LSN66" s="556"/>
      <c r="LSO66" s="557"/>
      <c r="LSP66" s="557"/>
      <c r="LSQ66" s="557"/>
      <c r="LSR66" s="557"/>
      <c r="LSS66" s="557"/>
      <c r="LST66" s="557"/>
      <c r="LSU66" s="557"/>
      <c r="LSV66" s="557"/>
      <c r="LSW66" s="557"/>
      <c r="LSX66" s="557"/>
      <c r="LSY66" s="557"/>
      <c r="LSZ66" s="557"/>
      <c r="LTA66" s="557"/>
      <c r="LTB66" s="557"/>
      <c r="LTC66" s="557"/>
      <c r="LTD66" s="557"/>
      <c r="LTE66" s="557"/>
      <c r="LTF66" s="557"/>
      <c r="LTG66" s="661"/>
      <c r="LTH66" s="556"/>
      <c r="LTI66" s="557"/>
      <c r="LTJ66" s="557"/>
      <c r="LTK66" s="557"/>
      <c r="LTL66" s="557"/>
      <c r="LTM66" s="557"/>
      <c r="LTN66" s="557"/>
      <c r="LTO66" s="557"/>
      <c r="LTP66" s="557"/>
      <c r="LTQ66" s="557"/>
      <c r="LTR66" s="557"/>
      <c r="LTS66" s="557"/>
      <c r="LTT66" s="557"/>
      <c r="LTU66" s="557"/>
      <c r="LTV66" s="557"/>
      <c r="LTW66" s="557"/>
      <c r="LTX66" s="557"/>
      <c r="LTY66" s="557"/>
      <c r="LTZ66" s="557"/>
      <c r="LUA66" s="661"/>
      <c r="LUB66" s="556"/>
      <c r="LUC66" s="557"/>
      <c r="LUD66" s="557"/>
      <c r="LUE66" s="557"/>
      <c r="LUF66" s="557"/>
      <c r="LUG66" s="557"/>
      <c r="LUH66" s="557"/>
      <c r="LUI66" s="557"/>
      <c r="LUJ66" s="557"/>
      <c r="LUK66" s="557"/>
      <c r="LUL66" s="557"/>
      <c r="LUM66" s="557"/>
      <c r="LUN66" s="557"/>
      <c r="LUO66" s="557"/>
      <c r="LUP66" s="557"/>
      <c r="LUQ66" s="557"/>
      <c r="LUR66" s="557"/>
      <c r="LUS66" s="557"/>
      <c r="LUT66" s="557"/>
      <c r="LUU66" s="661"/>
      <c r="LUV66" s="556"/>
      <c r="LUW66" s="557"/>
      <c r="LUX66" s="557"/>
      <c r="LUY66" s="557"/>
      <c r="LUZ66" s="557"/>
      <c r="LVA66" s="557"/>
      <c r="LVB66" s="557"/>
      <c r="LVC66" s="557"/>
      <c r="LVD66" s="557"/>
      <c r="LVE66" s="557"/>
      <c r="LVF66" s="557"/>
      <c r="LVG66" s="557"/>
      <c r="LVH66" s="557"/>
      <c r="LVI66" s="557"/>
      <c r="LVJ66" s="557"/>
      <c r="LVK66" s="557"/>
      <c r="LVL66" s="557"/>
      <c r="LVM66" s="557"/>
      <c r="LVN66" s="557"/>
      <c r="LVO66" s="661"/>
      <c r="LVP66" s="556"/>
      <c r="LVQ66" s="557"/>
      <c r="LVR66" s="557"/>
      <c r="LVS66" s="557"/>
      <c r="LVT66" s="557"/>
      <c r="LVU66" s="557"/>
      <c r="LVV66" s="557"/>
      <c r="LVW66" s="557"/>
      <c r="LVX66" s="557"/>
      <c r="LVY66" s="557"/>
      <c r="LVZ66" s="557"/>
      <c r="LWA66" s="557"/>
      <c r="LWB66" s="557"/>
      <c r="LWC66" s="557"/>
      <c r="LWD66" s="557"/>
      <c r="LWE66" s="557"/>
      <c r="LWF66" s="557"/>
      <c r="LWG66" s="557"/>
      <c r="LWH66" s="557"/>
      <c r="LWI66" s="661"/>
      <c r="LWJ66" s="556"/>
      <c r="LWK66" s="557"/>
      <c r="LWL66" s="557"/>
      <c r="LWM66" s="557"/>
      <c r="LWN66" s="557"/>
      <c r="LWO66" s="557"/>
      <c r="LWP66" s="557"/>
      <c r="LWQ66" s="557"/>
      <c r="LWR66" s="557"/>
      <c r="LWS66" s="557"/>
      <c r="LWT66" s="557"/>
      <c r="LWU66" s="557"/>
      <c r="LWV66" s="557"/>
      <c r="LWW66" s="557"/>
      <c r="LWX66" s="557"/>
      <c r="LWY66" s="557"/>
      <c r="LWZ66" s="557"/>
      <c r="LXA66" s="557"/>
      <c r="LXB66" s="557"/>
      <c r="LXC66" s="661"/>
      <c r="LXD66" s="556"/>
      <c r="LXE66" s="557"/>
      <c r="LXF66" s="557"/>
      <c r="LXG66" s="557"/>
      <c r="LXH66" s="557"/>
      <c r="LXI66" s="557"/>
      <c r="LXJ66" s="557"/>
      <c r="LXK66" s="557"/>
      <c r="LXL66" s="557"/>
      <c r="LXM66" s="557"/>
      <c r="LXN66" s="557"/>
      <c r="LXO66" s="557"/>
      <c r="LXP66" s="557"/>
      <c r="LXQ66" s="557"/>
      <c r="LXR66" s="557"/>
      <c r="LXS66" s="557"/>
      <c r="LXT66" s="557"/>
      <c r="LXU66" s="557"/>
      <c r="LXV66" s="557"/>
      <c r="LXW66" s="661"/>
      <c r="LXX66" s="556"/>
      <c r="LXY66" s="557"/>
      <c r="LXZ66" s="557"/>
      <c r="LYA66" s="557"/>
      <c r="LYB66" s="557"/>
      <c r="LYC66" s="557"/>
      <c r="LYD66" s="557"/>
      <c r="LYE66" s="557"/>
      <c r="LYF66" s="557"/>
      <c r="LYG66" s="557"/>
      <c r="LYH66" s="557"/>
      <c r="LYI66" s="557"/>
      <c r="LYJ66" s="557"/>
      <c r="LYK66" s="557"/>
      <c r="LYL66" s="557"/>
      <c r="LYM66" s="557"/>
      <c r="LYN66" s="557"/>
      <c r="LYO66" s="557"/>
      <c r="LYP66" s="557"/>
      <c r="LYQ66" s="661"/>
      <c r="LYR66" s="556"/>
      <c r="LYS66" s="557"/>
      <c r="LYT66" s="557"/>
      <c r="LYU66" s="557"/>
      <c r="LYV66" s="557"/>
      <c r="LYW66" s="557"/>
      <c r="LYX66" s="557"/>
      <c r="LYY66" s="557"/>
      <c r="LYZ66" s="557"/>
      <c r="LZA66" s="557"/>
      <c r="LZB66" s="557"/>
      <c r="LZC66" s="557"/>
      <c r="LZD66" s="557"/>
      <c r="LZE66" s="557"/>
      <c r="LZF66" s="557"/>
      <c r="LZG66" s="557"/>
      <c r="LZH66" s="557"/>
      <c r="LZI66" s="557"/>
      <c r="LZJ66" s="557"/>
      <c r="LZK66" s="661"/>
      <c r="LZL66" s="556"/>
      <c r="LZM66" s="557"/>
      <c r="LZN66" s="557"/>
      <c r="LZO66" s="557"/>
      <c r="LZP66" s="557"/>
      <c r="LZQ66" s="557"/>
      <c r="LZR66" s="557"/>
      <c r="LZS66" s="557"/>
      <c r="LZT66" s="557"/>
      <c r="LZU66" s="557"/>
      <c r="LZV66" s="557"/>
      <c r="LZW66" s="557"/>
      <c r="LZX66" s="557"/>
      <c r="LZY66" s="557"/>
      <c r="LZZ66" s="557"/>
      <c r="MAA66" s="557"/>
      <c r="MAB66" s="557"/>
      <c r="MAC66" s="557"/>
      <c r="MAD66" s="557"/>
      <c r="MAE66" s="661"/>
      <c r="MAF66" s="556"/>
      <c r="MAG66" s="557"/>
      <c r="MAH66" s="557"/>
      <c r="MAI66" s="557"/>
      <c r="MAJ66" s="557"/>
      <c r="MAK66" s="557"/>
      <c r="MAL66" s="557"/>
      <c r="MAM66" s="557"/>
      <c r="MAN66" s="557"/>
      <c r="MAO66" s="557"/>
      <c r="MAP66" s="557"/>
      <c r="MAQ66" s="557"/>
      <c r="MAR66" s="557"/>
      <c r="MAS66" s="557"/>
      <c r="MAT66" s="557"/>
      <c r="MAU66" s="557"/>
      <c r="MAV66" s="557"/>
      <c r="MAW66" s="557"/>
      <c r="MAX66" s="557"/>
      <c r="MAY66" s="661"/>
      <c r="MAZ66" s="556"/>
      <c r="MBA66" s="557"/>
      <c r="MBB66" s="557"/>
      <c r="MBC66" s="557"/>
      <c r="MBD66" s="557"/>
      <c r="MBE66" s="557"/>
      <c r="MBF66" s="557"/>
      <c r="MBG66" s="557"/>
      <c r="MBH66" s="557"/>
      <c r="MBI66" s="557"/>
      <c r="MBJ66" s="557"/>
      <c r="MBK66" s="557"/>
      <c r="MBL66" s="557"/>
      <c r="MBM66" s="557"/>
      <c r="MBN66" s="557"/>
      <c r="MBO66" s="557"/>
      <c r="MBP66" s="557"/>
      <c r="MBQ66" s="557"/>
      <c r="MBR66" s="557"/>
      <c r="MBS66" s="661"/>
      <c r="MBT66" s="556"/>
      <c r="MBU66" s="557"/>
      <c r="MBV66" s="557"/>
      <c r="MBW66" s="557"/>
      <c r="MBX66" s="557"/>
      <c r="MBY66" s="557"/>
      <c r="MBZ66" s="557"/>
      <c r="MCA66" s="557"/>
      <c r="MCB66" s="557"/>
      <c r="MCC66" s="557"/>
      <c r="MCD66" s="557"/>
      <c r="MCE66" s="557"/>
      <c r="MCF66" s="557"/>
      <c r="MCG66" s="557"/>
      <c r="MCH66" s="557"/>
      <c r="MCI66" s="557"/>
      <c r="MCJ66" s="557"/>
      <c r="MCK66" s="557"/>
      <c r="MCL66" s="557"/>
      <c r="MCM66" s="661"/>
      <c r="MCN66" s="556"/>
      <c r="MCO66" s="557"/>
      <c r="MCP66" s="557"/>
      <c r="MCQ66" s="557"/>
      <c r="MCR66" s="557"/>
      <c r="MCS66" s="557"/>
      <c r="MCT66" s="557"/>
      <c r="MCU66" s="557"/>
      <c r="MCV66" s="557"/>
      <c r="MCW66" s="557"/>
      <c r="MCX66" s="557"/>
      <c r="MCY66" s="557"/>
      <c r="MCZ66" s="557"/>
      <c r="MDA66" s="557"/>
      <c r="MDB66" s="557"/>
      <c r="MDC66" s="557"/>
      <c r="MDD66" s="557"/>
      <c r="MDE66" s="557"/>
      <c r="MDF66" s="557"/>
      <c r="MDG66" s="661"/>
      <c r="MDH66" s="556"/>
      <c r="MDI66" s="557"/>
      <c r="MDJ66" s="557"/>
      <c r="MDK66" s="557"/>
      <c r="MDL66" s="557"/>
      <c r="MDM66" s="557"/>
      <c r="MDN66" s="557"/>
      <c r="MDO66" s="557"/>
      <c r="MDP66" s="557"/>
      <c r="MDQ66" s="557"/>
      <c r="MDR66" s="557"/>
      <c r="MDS66" s="557"/>
      <c r="MDT66" s="557"/>
      <c r="MDU66" s="557"/>
      <c r="MDV66" s="557"/>
      <c r="MDW66" s="557"/>
      <c r="MDX66" s="557"/>
      <c r="MDY66" s="557"/>
      <c r="MDZ66" s="557"/>
      <c r="MEA66" s="661"/>
      <c r="MEB66" s="556"/>
      <c r="MEC66" s="557"/>
      <c r="MED66" s="557"/>
      <c r="MEE66" s="557"/>
      <c r="MEF66" s="557"/>
      <c r="MEG66" s="557"/>
      <c r="MEH66" s="557"/>
      <c r="MEI66" s="557"/>
      <c r="MEJ66" s="557"/>
      <c r="MEK66" s="557"/>
      <c r="MEL66" s="557"/>
      <c r="MEM66" s="557"/>
      <c r="MEN66" s="557"/>
      <c r="MEO66" s="557"/>
      <c r="MEP66" s="557"/>
      <c r="MEQ66" s="557"/>
      <c r="MER66" s="557"/>
      <c r="MES66" s="557"/>
      <c r="MET66" s="557"/>
      <c r="MEU66" s="661"/>
      <c r="MEV66" s="556"/>
      <c r="MEW66" s="557"/>
      <c r="MEX66" s="557"/>
      <c r="MEY66" s="557"/>
      <c r="MEZ66" s="557"/>
      <c r="MFA66" s="557"/>
      <c r="MFB66" s="557"/>
      <c r="MFC66" s="557"/>
      <c r="MFD66" s="557"/>
      <c r="MFE66" s="557"/>
      <c r="MFF66" s="557"/>
      <c r="MFG66" s="557"/>
      <c r="MFH66" s="557"/>
      <c r="MFI66" s="557"/>
      <c r="MFJ66" s="557"/>
      <c r="MFK66" s="557"/>
      <c r="MFL66" s="557"/>
      <c r="MFM66" s="557"/>
      <c r="MFN66" s="557"/>
      <c r="MFO66" s="661"/>
      <c r="MFP66" s="556"/>
      <c r="MFQ66" s="557"/>
      <c r="MFR66" s="557"/>
      <c r="MFS66" s="557"/>
      <c r="MFT66" s="557"/>
      <c r="MFU66" s="557"/>
      <c r="MFV66" s="557"/>
      <c r="MFW66" s="557"/>
      <c r="MFX66" s="557"/>
      <c r="MFY66" s="557"/>
      <c r="MFZ66" s="557"/>
      <c r="MGA66" s="557"/>
      <c r="MGB66" s="557"/>
      <c r="MGC66" s="557"/>
      <c r="MGD66" s="557"/>
      <c r="MGE66" s="557"/>
      <c r="MGF66" s="557"/>
      <c r="MGG66" s="557"/>
      <c r="MGH66" s="557"/>
      <c r="MGI66" s="661"/>
      <c r="MGJ66" s="556"/>
      <c r="MGK66" s="557"/>
      <c r="MGL66" s="557"/>
      <c r="MGM66" s="557"/>
      <c r="MGN66" s="557"/>
      <c r="MGO66" s="557"/>
      <c r="MGP66" s="557"/>
      <c r="MGQ66" s="557"/>
      <c r="MGR66" s="557"/>
      <c r="MGS66" s="557"/>
      <c r="MGT66" s="557"/>
      <c r="MGU66" s="557"/>
      <c r="MGV66" s="557"/>
      <c r="MGW66" s="557"/>
      <c r="MGX66" s="557"/>
      <c r="MGY66" s="557"/>
      <c r="MGZ66" s="557"/>
      <c r="MHA66" s="557"/>
      <c r="MHB66" s="557"/>
      <c r="MHC66" s="661"/>
      <c r="MHD66" s="556"/>
      <c r="MHE66" s="557"/>
      <c r="MHF66" s="557"/>
      <c r="MHG66" s="557"/>
      <c r="MHH66" s="557"/>
      <c r="MHI66" s="557"/>
      <c r="MHJ66" s="557"/>
      <c r="MHK66" s="557"/>
      <c r="MHL66" s="557"/>
      <c r="MHM66" s="557"/>
      <c r="MHN66" s="557"/>
      <c r="MHO66" s="557"/>
      <c r="MHP66" s="557"/>
      <c r="MHQ66" s="557"/>
      <c r="MHR66" s="557"/>
      <c r="MHS66" s="557"/>
      <c r="MHT66" s="557"/>
      <c r="MHU66" s="557"/>
      <c r="MHV66" s="557"/>
      <c r="MHW66" s="661"/>
      <c r="MHX66" s="556"/>
      <c r="MHY66" s="557"/>
      <c r="MHZ66" s="557"/>
      <c r="MIA66" s="557"/>
      <c r="MIB66" s="557"/>
      <c r="MIC66" s="557"/>
      <c r="MID66" s="557"/>
      <c r="MIE66" s="557"/>
      <c r="MIF66" s="557"/>
      <c r="MIG66" s="557"/>
      <c r="MIH66" s="557"/>
      <c r="MII66" s="557"/>
      <c r="MIJ66" s="557"/>
      <c r="MIK66" s="557"/>
      <c r="MIL66" s="557"/>
      <c r="MIM66" s="557"/>
      <c r="MIN66" s="557"/>
      <c r="MIO66" s="557"/>
      <c r="MIP66" s="557"/>
      <c r="MIQ66" s="661"/>
      <c r="MIR66" s="556"/>
      <c r="MIS66" s="557"/>
      <c r="MIT66" s="557"/>
      <c r="MIU66" s="557"/>
      <c r="MIV66" s="557"/>
      <c r="MIW66" s="557"/>
      <c r="MIX66" s="557"/>
      <c r="MIY66" s="557"/>
      <c r="MIZ66" s="557"/>
      <c r="MJA66" s="557"/>
      <c r="MJB66" s="557"/>
      <c r="MJC66" s="557"/>
      <c r="MJD66" s="557"/>
      <c r="MJE66" s="557"/>
      <c r="MJF66" s="557"/>
      <c r="MJG66" s="557"/>
      <c r="MJH66" s="557"/>
      <c r="MJI66" s="557"/>
      <c r="MJJ66" s="557"/>
      <c r="MJK66" s="661"/>
      <c r="MJL66" s="556"/>
      <c r="MJM66" s="557"/>
      <c r="MJN66" s="557"/>
      <c r="MJO66" s="557"/>
      <c r="MJP66" s="557"/>
      <c r="MJQ66" s="557"/>
      <c r="MJR66" s="557"/>
      <c r="MJS66" s="557"/>
      <c r="MJT66" s="557"/>
      <c r="MJU66" s="557"/>
      <c r="MJV66" s="557"/>
      <c r="MJW66" s="557"/>
      <c r="MJX66" s="557"/>
      <c r="MJY66" s="557"/>
      <c r="MJZ66" s="557"/>
      <c r="MKA66" s="557"/>
      <c r="MKB66" s="557"/>
      <c r="MKC66" s="557"/>
      <c r="MKD66" s="557"/>
      <c r="MKE66" s="661"/>
      <c r="MKF66" s="556"/>
      <c r="MKG66" s="557"/>
      <c r="MKH66" s="557"/>
      <c r="MKI66" s="557"/>
      <c r="MKJ66" s="557"/>
      <c r="MKK66" s="557"/>
      <c r="MKL66" s="557"/>
      <c r="MKM66" s="557"/>
      <c r="MKN66" s="557"/>
      <c r="MKO66" s="557"/>
      <c r="MKP66" s="557"/>
      <c r="MKQ66" s="557"/>
      <c r="MKR66" s="557"/>
      <c r="MKS66" s="557"/>
      <c r="MKT66" s="557"/>
      <c r="MKU66" s="557"/>
      <c r="MKV66" s="557"/>
      <c r="MKW66" s="557"/>
      <c r="MKX66" s="557"/>
      <c r="MKY66" s="661"/>
      <c r="MKZ66" s="556"/>
      <c r="MLA66" s="557"/>
      <c r="MLB66" s="557"/>
      <c r="MLC66" s="557"/>
      <c r="MLD66" s="557"/>
      <c r="MLE66" s="557"/>
      <c r="MLF66" s="557"/>
      <c r="MLG66" s="557"/>
      <c r="MLH66" s="557"/>
      <c r="MLI66" s="557"/>
      <c r="MLJ66" s="557"/>
      <c r="MLK66" s="557"/>
      <c r="MLL66" s="557"/>
      <c r="MLM66" s="557"/>
      <c r="MLN66" s="557"/>
      <c r="MLO66" s="557"/>
      <c r="MLP66" s="557"/>
      <c r="MLQ66" s="557"/>
      <c r="MLR66" s="557"/>
      <c r="MLS66" s="661"/>
      <c r="MLT66" s="556"/>
      <c r="MLU66" s="557"/>
      <c r="MLV66" s="557"/>
      <c r="MLW66" s="557"/>
      <c r="MLX66" s="557"/>
      <c r="MLY66" s="557"/>
      <c r="MLZ66" s="557"/>
      <c r="MMA66" s="557"/>
      <c r="MMB66" s="557"/>
      <c r="MMC66" s="557"/>
      <c r="MMD66" s="557"/>
      <c r="MME66" s="557"/>
      <c r="MMF66" s="557"/>
      <c r="MMG66" s="557"/>
      <c r="MMH66" s="557"/>
      <c r="MMI66" s="557"/>
      <c r="MMJ66" s="557"/>
      <c r="MMK66" s="557"/>
      <c r="MML66" s="557"/>
      <c r="MMM66" s="661"/>
      <c r="MMN66" s="556"/>
      <c r="MMO66" s="557"/>
      <c r="MMP66" s="557"/>
      <c r="MMQ66" s="557"/>
      <c r="MMR66" s="557"/>
      <c r="MMS66" s="557"/>
      <c r="MMT66" s="557"/>
      <c r="MMU66" s="557"/>
      <c r="MMV66" s="557"/>
      <c r="MMW66" s="557"/>
      <c r="MMX66" s="557"/>
      <c r="MMY66" s="557"/>
      <c r="MMZ66" s="557"/>
      <c r="MNA66" s="557"/>
      <c r="MNB66" s="557"/>
      <c r="MNC66" s="557"/>
      <c r="MND66" s="557"/>
      <c r="MNE66" s="557"/>
      <c r="MNF66" s="557"/>
      <c r="MNG66" s="661"/>
      <c r="MNH66" s="556"/>
      <c r="MNI66" s="557"/>
      <c r="MNJ66" s="557"/>
      <c r="MNK66" s="557"/>
      <c r="MNL66" s="557"/>
      <c r="MNM66" s="557"/>
      <c r="MNN66" s="557"/>
      <c r="MNO66" s="557"/>
      <c r="MNP66" s="557"/>
      <c r="MNQ66" s="557"/>
      <c r="MNR66" s="557"/>
      <c r="MNS66" s="557"/>
      <c r="MNT66" s="557"/>
      <c r="MNU66" s="557"/>
      <c r="MNV66" s="557"/>
      <c r="MNW66" s="557"/>
      <c r="MNX66" s="557"/>
      <c r="MNY66" s="557"/>
      <c r="MNZ66" s="557"/>
      <c r="MOA66" s="661"/>
      <c r="MOB66" s="556"/>
      <c r="MOC66" s="557"/>
      <c r="MOD66" s="557"/>
      <c r="MOE66" s="557"/>
      <c r="MOF66" s="557"/>
      <c r="MOG66" s="557"/>
      <c r="MOH66" s="557"/>
      <c r="MOI66" s="557"/>
      <c r="MOJ66" s="557"/>
      <c r="MOK66" s="557"/>
      <c r="MOL66" s="557"/>
      <c r="MOM66" s="557"/>
      <c r="MON66" s="557"/>
      <c r="MOO66" s="557"/>
      <c r="MOP66" s="557"/>
      <c r="MOQ66" s="557"/>
      <c r="MOR66" s="557"/>
      <c r="MOS66" s="557"/>
      <c r="MOT66" s="557"/>
      <c r="MOU66" s="661"/>
      <c r="MOV66" s="556"/>
      <c r="MOW66" s="557"/>
      <c r="MOX66" s="557"/>
      <c r="MOY66" s="557"/>
      <c r="MOZ66" s="557"/>
      <c r="MPA66" s="557"/>
      <c r="MPB66" s="557"/>
      <c r="MPC66" s="557"/>
      <c r="MPD66" s="557"/>
      <c r="MPE66" s="557"/>
      <c r="MPF66" s="557"/>
      <c r="MPG66" s="557"/>
      <c r="MPH66" s="557"/>
      <c r="MPI66" s="557"/>
      <c r="MPJ66" s="557"/>
      <c r="MPK66" s="557"/>
      <c r="MPL66" s="557"/>
      <c r="MPM66" s="557"/>
      <c r="MPN66" s="557"/>
      <c r="MPO66" s="661"/>
      <c r="MPP66" s="556"/>
      <c r="MPQ66" s="557"/>
      <c r="MPR66" s="557"/>
      <c r="MPS66" s="557"/>
      <c r="MPT66" s="557"/>
      <c r="MPU66" s="557"/>
      <c r="MPV66" s="557"/>
      <c r="MPW66" s="557"/>
      <c r="MPX66" s="557"/>
      <c r="MPY66" s="557"/>
      <c r="MPZ66" s="557"/>
      <c r="MQA66" s="557"/>
      <c r="MQB66" s="557"/>
      <c r="MQC66" s="557"/>
      <c r="MQD66" s="557"/>
      <c r="MQE66" s="557"/>
      <c r="MQF66" s="557"/>
      <c r="MQG66" s="557"/>
      <c r="MQH66" s="557"/>
      <c r="MQI66" s="661"/>
      <c r="MQJ66" s="556"/>
      <c r="MQK66" s="557"/>
      <c r="MQL66" s="557"/>
      <c r="MQM66" s="557"/>
      <c r="MQN66" s="557"/>
      <c r="MQO66" s="557"/>
      <c r="MQP66" s="557"/>
      <c r="MQQ66" s="557"/>
      <c r="MQR66" s="557"/>
      <c r="MQS66" s="557"/>
      <c r="MQT66" s="557"/>
      <c r="MQU66" s="557"/>
      <c r="MQV66" s="557"/>
      <c r="MQW66" s="557"/>
      <c r="MQX66" s="557"/>
      <c r="MQY66" s="557"/>
      <c r="MQZ66" s="557"/>
      <c r="MRA66" s="557"/>
      <c r="MRB66" s="557"/>
      <c r="MRC66" s="661"/>
      <c r="MRD66" s="556"/>
      <c r="MRE66" s="557"/>
      <c r="MRF66" s="557"/>
      <c r="MRG66" s="557"/>
      <c r="MRH66" s="557"/>
      <c r="MRI66" s="557"/>
      <c r="MRJ66" s="557"/>
      <c r="MRK66" s="557"/>
      <c r="MRL66" s="557"/>
      <c r="MRM66" s="557"/>
      <c r="MRN66" s="557"/>
      <c r="MRO66" s="557"/>
      <c r="MRP66" s="557"/>
      <c r="MRQ66" s="557"/>
      <c r="MRR66" s="557"/>
      <c r="MRS66" s="557"/>
      <c r="MRT66" s="557"/>
      <c r="MRU66" s="557"/>
      <c r="MRV66" s="557"/>
      <c r="MRW66" s="661"/>
      <c r="MRX66" s="556"/>
      <c r="MRY66" s="557"/>
      <c r="MRZ66" s="557"/>
      <c r="MSA66" s="557"/>
      <c r="MSB66" s="557"/>
      <c r="MSC66" s="557"/>
      <c r="MSD66" s="557"/>
      <c r="MSE66" s="557"/>
      <c r="MSF66" s="557"/>
      <c r="MSG66" s="557"/>
      <c r="MSH66" s="557"/>
      <c r="MSI66" s="557"/>
      <c r="MSJ66" s="557"/>
      <c r="MSK66" s="557"/>
      <c r="MSL66" s="557"/>
      <c r="MSM66" s="557"/>
      <c r="MSN66" s="557"/>
      <c r="MSO66" s="557"/>
      <c r="MSP66" s="557"/>
      <c r="MSQ66" s="661"/>
      <c r="MSR66" s="556"/>
      <c r="MSS66" s="557"/>
      <c r="MST66" s="557"/>
      <c r="MSU66" s="557"/>
      <c r="MSV66" s="557"/>
      <c r="MSW66" s="557"/>
      <c r="MSX66" s="557"/>
      <c r="MSY66" s="557"/>
      <c r="MSZ66" s="557"/>
      <c r="MTA66" s="557"/>
      <c r="MTB66" s="557"/>
      <c r="MTC66" s="557"/>
      <c r="MTD66" s="557"/>
      <c r="MTE66" s="557"/>
      <c r="MTF66" s="557"/>
      <c r="MTG66" s="557"/>
      <c r="MTH66" s="557"/>
      <c r="MTI66" s="557"/>
      <c r="MTJ66" s="557"/>
      <c r="MTK66" s="661"/>
      <c r="MTL66" s="556"/>
      <c r="MTM66" s="557"/>
      <c r="MTN66" s="557"/>
      <c r="MTO66" s="557"/>
      <c r="MTP66" s="557"/>
      <c r="MTQ66" s="557"/>
      <c r="MTR66" s="557"/>
      <c r="MTS66" s="557"/>
      <c r="MTT66" s="557"/>
      <c r="MTU66" s="557"/>
      <c r="MTV66" s="557"/>
      <c r="MTW66" s="557"/>
      <c r="MTX66" s="557"/>
      <c r="MTY66" s="557"/>
      <c r="MTZ66" s="557"/>
      <c r="MUA66" s="557"/>
      <c r="MUB66" s="557"/>
      <c r="MUC66" s="557"/>
      <c r="MUD66" s="557"/>
      <c r="MUE66" s="661"/>
      <c r="MUF66" s="556"/>
      <c r="MUG66" s="557"/>
      <c r="MUH66" s="557"/>
      <c r="MUI66" s="557"/>
      <c r="MUJ66" s="557"/>
      <c r="MUK66" s="557"/>
      <c r="MUL66" s="557"/>
      <c r="MUM66" s="557"/>
      <c r="MUN66" s="557"/>
      <c r="MUO66" s="557"/>
      <c r="MUP66" s="557"/>
      <c r="MUQ66" s="557"/>
      <c r="MUR66" s="557"/>
      <c r="MUS66" s="557"/>
      <c r="MUT66" s="557"/>
      <c r="MUU66" s="557"/>
      <c r="MUV66" s="557"/>
      <c r="MUW66" s="557"/>
      <c r="MUX66" s="557"/>
      <c r="MUY66" s="661"/>
      <c r="MUZ66" s="556"/>
      <c r="MVA66" s="557"/>
      <c r="MVB66" s="557"/>
      <c r="MVC66" s="557"/>
      <c r="MVD66" s="557"/>
      <c r="MVE66" s="557"/>
      <c r="MVF66" s="557"/>
      <c r="MVG66" s="557"/>
      <c r="MVH66" s="557"/>
      <c r="MVI66" s="557"/>
      <c r="MVJ66" s="557"/>
      <c r="MVK66" s="557"/>
      <c r="MVL66" s="557"/>
      <c r="MVM66" s="557"/>
      <c r="MVN66" s="557"/>
      <c r="MVO66" s="557"/>
      <c r="MVP66" s="557"/>
      <c r="MVQ66" s="557"/>
      <c r="MVR66" s="557"/>
      <c r="MVS66" s="661"/>
      <c r="MVT66" s="556"/>
      <c r="MVU66" s="557"/>
      <c r="MVV66" s="557"/>
      <c r="MVW66" s="557"/>
      <c r="MVX66" s="557"/>
      <c r="MVY66" s="557"/>
      <c r="MVZ66" s="557"/>
      <c r="MWA66" s="557"/>
      <c r="MWB66" s="557"/>
      <c r="MWC66" s="557"/>
      <c r="MWD66" s="557"/>
      <c r="MWE66" s="557"/>
      <c r="MWF66" s="557"/>
      <c r="MWG66" s="557"/>
      <c r="MWH66" s="557"/>
      <c r="MWI66" s="557"/>
      <c r="MWJ66" s="557"/>
      <c r="MWK66" s="557"/>
      <c r="MWL66" s="557"/>
      <c r="MWM66" s="661"/>
      <c r="MWN66" s="556"/>
      <c r="MWO66" s="557"/>
      <c r="MWP66" s="557"/>
      <c r="MWQ66" s="557"/>
      <c r="MWR66" s="557"/>
      <c r="MWS66" s="557"/>
      <c r="MWT66" s="557"/>
      <c r="MWU66" s="557"/>
      <c r="MWV66" s="557"/>
      <c r="MWW66" s="557"/>
      <c r="MWX66" s="557"/>
      <c r="MWY66" s="557"/>
      <c r="MWZ66" s="557"/>
      <c r="MXA66" s="557"/>
      <c r="MXB66" s="557"/>
      <c r="MXC66" s="557"/>
      <c r="MXD66" s="557"/>
      <c r="MXE66" s="557"/>
      <c r="MXF66" s="557"/>
      <c r="MXG66" s="661"/>
      <c r="MXH66" s="556"/>
      <c r="MXI66" s="557"/>
      <c r="MXJ66" s="557"/>
      <c r="MXK66" s="557"/>
      <c r="MXL66" s="557"/>
      <c r="MXM66" s="557"/>
      <c r="MXN66" s="557"/>
      <c r="MXO66" s="557"/>
      <c r="MXP66" s="557"/>
      <c r="MXQ66" s="557"/>
      <c r="MXR66" s="557"/>
      <c r="MXS66" s="557"/>
      <c r="MXT66" s="557"/>
      <c r="MXU66" s="557"/>
      <c r="MXV66" s="557"/>
      <c r="MXW66" s="557"/>
      <c r="MXX66" s="557"/>
      <c r="MXY66" s="557"/>
      <c r="MXZ66" s="557"/>
      <c r="MYA66" s="661"/>
      <c r="MYB66" s="556"/>
      <c r="MYC66" s="557"/>
      <c r="MYD66" s="557"/>
      <c r="MYE66" s="557"/>
      <c r="MYF66" s="557"/>
      <c r="MYG66" s="557"/>
      <c r="MYH66" s="557"/>
      <c r="MYI66" s="557"/>
      <c r="MYJ66" s="557"/>
      <c r="MYK66" s="557"/>
      <c r="MYL66" s="557"/>
      <c r="MYM66" s="557"/>
      <c r="MYN66" s="557"/>
      <c r="MYO66" s="557"/>
      <c r="MYP66" s="557"/>
      <c r="MYQ66" s="557"/>
      <c r="MYR66" s="557"/>
      <c r="MYS66" s="557"/>
      <c r="MYT66" s="557"/>
      <c r="MYU66" s="661"/>
      <c r="MYV66" s="556"/>
      <c r="MYW66" s="557"/>
      <c r="MYX66" s="557"/>
      <c r="MYY66" s="557"/>
      <c r="MYZ66" s="557"/>
      <c r="MZA66" s="557"/>
      <c r="MZB66" s="557"/>
      <c r="MZC66" s="557"/>
      <c r="MZD66" s="557"/>
      <c r="MZE66" s="557"/>
      <c r="MZF66" s="557"/>
      <c r="MZG66" s="557"/>
      <c r="MZH66" s="557"/>
      <c r="MZI66" s="557"/>
      <c r="MZJ66" s="557"/>
      <c r="MZK66" s="557"/>
      <c r="MZL66" s="557"/>
      <c r="MZM66" s="557"/>
      <c r="MZN66" s="557"/>
      <c r="MZO66" s="661"/>
      <c r="MZP66" s="556"/>
      <c r="MZQ66" s="557"/>
      <c r="MZR66" s="557"/>
      <c r="MZS66" s="557"/>
      <c r="MZT66" s="557"/>
      <c r="MZU66" s="557"/>
      <c r="MZV66" s="557"/>
      <c r="MZW66" s="557"/>
      <c r="MZX66" s="557"/>
      <c r="MZY66" s="557"/>
      <c r="MZZ66" s="557"/>
      <c r="NAA66" s="557"/>
      <c r="NAB66" s="557"/>
      <c r="NAC66" s="557"/>
      <c r="NAD66" s="557"/>
      <c r="NAE66" s="557"/>
      <c r="NAF66" s="557"/>
      <c r="NAG66" s="557"/>
      <c r="NAH66" s="557"/>
      <c r="NAI66" s="661"/>
      <c r="NAJ66" s="556"/>
      <c r="NAK66" s="557"/>
      <c r="NAL66" s="557"/>
      <c r="NAM66" s="557"/>
      <c r="NAN66" s="557"/>
      <c r="NAO66" s="557"/>
      <c r="NAP66" s="557"/>
      <c r="NAQ66" s="557"/>
      <c r="NAR66" s="557"/>
      <c r="NAS66" s="557"/>
      <c r="NAT66" s="557"/>
      <c r="NAU66" s="557"/>
      <c r="NAV66" s="557"/>
      <c r="NAW66" s="557"/>
      <c r="NAX66" s="557"/>
      <c r="NAY66" s="557"/>
      <c r="NAZ66" s="557"/>
      <c r="NBA66" s="557"/>
      <c r="NBB66" s="557"/>
      <c r="NBC66" s="661"/>
      <c r="NBD66" s="556"/>
      <c r="NBE66" s="557"/>
      <c r="NBF66" s="557"/>
      <c r="NBG66" s="557"/>
      <c r="NBH66" s="557"/>
      <c r="NBI66" s="557"/>
      <c r="NBJ66" s="557"/>
      <c r="NBK66" s="557"/>
      <c r="NBL66" s="557"/>
      <c r="NBM66" s="557"/>
      <c r="NBN66" s="557"/>
      <c r="NBO66" s="557"/>
      <c r="NBP66" s="557"/>
      <c r="NBQ66" s="557"/>
      <c r="NBR66" s="557"/>
      <c r="NBS66" s="557"/>
      <c r="NBT66" s="557"/>
      <c r="NBU66" s="557"/>
      <c r="NBV66" s="557"/>
      <c r="NBW66" s="661"/>
      <c r="NBX66" s="556"/>
      <c r="NBY66" s="557"/>
      <c r="NBZ66" s="557"/>
      <c r="NCA66" s="557"/>
      <c r="NCB66" s="557"/>
      <c r="NCC66" s="557"/>
      <c r="NCD66" s="557"/>
      <c r="NCE66" s="557"/>
      <c r="NCF66" s="557"/>
      <c r="NCG66" s="557"/>
      <c r="NCH66" s="557"/>
      <c r="NCI66" s="557"/>
      <c r="NCJ66" s="557"/>
      <c r="NCK66" s="557"/>
      <c r="NCL66" s="557"/>
      <c r="NCM66" s="557"/>
      <c r="NCN66" s="557"/>
      <c r="NCO66" s="557"/>
      <c r="NCP66" s="557"/>
      <c r="NCQ66" s="661"/>
      <c r="NCR66" s="556"/>
      <c r="NCS66" s="557"/>
      <c r="NCT66" s="557"/>
      <c r="NCU66" s="557"/>
      <c r="NCV66" s="557"/>
      <c r="NCW66" s="557"/>
      <c r="NCX66" s="557"/>
      <c r="NCY66" s="557"/>
      <c r="NCZ66" s="557"/>
      <c r="NDA66" s="557"/>
      <c r="NDB66" s="557"/>
      <c r="NDC66" s="557"/>
      <c r="NDD66" s="557"/>
      <c r="NDE66" s="557"/>
      <c r="NDF66" s="557"/>
      <c r="NDG66" s="557"/>
      <c r="NDH66" s="557"/>
      <c r="NDI66" s="557"/>
      <c r="NDJ66" s="557"/>
      <c r="NDK66" s="661"/>
      <c r="NDL66" s="556"/>
      <c r="NDM66" s="557"/>
      <c r="NDN66" s="557"/>
      <c r="NDO66" s="557"/>
      <c r="NDP66" s="557"/>
      <c r="NDQ66" s="557"/>
      <c r="NDR66" s="557"/>
      <c r="NDS66" s="557"/>
      <c r="NDT66" s="557"/>
      <c r="NDU66" s="557"/>
      <c r="NDV66" s="557"/>
      <c r="NDW66" s="557"/>
      <c r="NDX66" s="557"/>
      <c r="NDY66" s="557"/>
      <c r="NDZ66" s="557"/>
      <c r="NEA66" s="557"/>
      <c r="NEB66" s="557"/>
      <c r="NEC66" s="557"/>
      <c r="NED66" s="557"/>
      <c r="NEE66" s="661"/>
      <c r="NEF66" s="556"/>
      <c r="NEG66" s="557"/>
      <c r="NEH66" s="557"/>
      <c r="NEI66" s="557"/>
      <c r="NEJ66" s="557"/>
      <c r="NEK66" s="557"/>
      <c r="NEL66" s="557"/>
      <c r="NEM66" s="557"/>
      <c r="NEN66" s="557"/>
      <c r="NEO66" s="557"/>
      <c r="NEP66" s="557"/>
      <c r="NEQ66" s="557"/>
      <c r="NER66" s="557"/>
      <c r="NES66" s="557"/>
      <c r="NET66" s="557"/>
      <c r="NEU66" s="557"/>
      <c r="NEV66" s="557"/>
      <c r="NEW66" s="557"/>
      <c r="NEX66" s="557"/>
      <c r="NEY66" s="661"/>
      <c r="NEZ66" s="556"/>
      <c r="NFA66" s="557"/>
      <c r="NFB66" s="557"/>
      <c r="NFC66" s="557"/>
      <c r="NFD66" s="557"/>
      <c r="NFE66" s="557"/>
      <c r="NFF66" s="557"/>
      <c r="NFG66" s="557"/>
      <c r="NFH66" s="557"/>
      <c r="NFI66" s="557"/>
      <c r="NFJ66" s="557"/>
      <c r="NFK66" s="557"/>
      <c r="NFL66" s="557"/>
      <c r="NFM66" s="557"/>
      <c r="NFN66" s="557"/>
      <c r="NFO66" s="557"/>
      <c r="NFP66" s="557"/>
      <c r="NFQ66" s="557"/>
      <c r="NFR66" s="557"/>
      <c r="NFS66" s="661"/>
      <c r="NFT66" s="556"/>
      <c r="NFU66" s="557"/>
      <c r="NFV66" s="557"/>
      <c r="NFW66" s="557"/>
      <c r="NFX66" s="557"/>
      <c r="NFY66" s="557"/>
      <c r="NFZ66" s="557"/>
      <c r="NGA66" s="557"/>
      <c r="NGB66" s="557"/>
      <c r="NGC66" s="557"/>
      <c r="NGD66" s="557"/>
      <c r="NGE66" s="557"/>
      <c r="NGF66" s="557"/>
      <c r="NGG66" s="557"/>
      <c r="NGH66" s="557"/>
      <c r="NGI66" s="557"/>
      <c r="NGJ66" s="557"/>
      <c r="NGK66" s="557"/>
      <c r="NGL66" s="557"/>
      <c r="NGM66" s="661"/>
      <c r="NGN66" s="556"/>
      <c r="NGO66" s="557"/>
      <c r="NGP66" s="557"/>
      <c r="NGQ66" s="557"/>
      <c r="NGR66" s="557"/>
      <c r="NGS66" s="557"/>
      <c r="NGT66" s="557"/>
      <c r="NGU66" s="557"/>
      <c r="NGV66" s="557"/>
      <c r="NGW66" s="557"/>
      <c r="NGX66" s="557"/>
      <c r="NGY66" s="557"/>
      <c r="NGZ66" s="557"/>
      <c r="NHA66" s="557"/>
      <c r="NHB66" s="557"/>
      <c r="NHC66" s="557"/>
      <c r="NHD66" s="557"/>
      <c r="NHE66" s="557"/>
      <c r="NHF66" s="557"/>
      <c r="NHG66" s="661"/>
      <c r="NHH66" s="556"/>
      <c r="NHI66" s="557"/>
      <c r="NHJ66" s="557"/>
      <c r="NHK66" s="557"/>
      <c r="NHL66" s="557"/>
      <c r="NHM66" s="557"/>
      <c r="NHN66" s="557"/>
      <c r="NHO66" s="557"/>
      <c r="NHP66" s="557"/>
      <c r="NHQ66" s="557"/>
      <c r="NHR66" s="557"/>
      <c r="NHS66" s="557"/>
      <c r="NHT66" s="557"/>
      <c r="NHU66" s="557"/>
      <c r="NHV66" s="557"/>
      <c r="NHW66" s="557"/>
      <c r="NHX66" s="557"/>
      <c r="NHY66" s="557"/>
      <c r="NHZ66" s="557"/>
      <c r="NIA66" s="661"/>
      <c r="NIB66" s="556"/>
      <c r="NIC66" s="557"/>
      <c r="NID66" s="557"/>
      <c r="NIE66" s="557"/>
      <c r="NIF66" s="557"/>
      <c r="NIG66" s="557"/>
      <c r="NIH66" s="557"/>
      <c r="NII66" s="557"/>
      <c r="NIJ66" s="557"/>
      <c r="NIK66" s="557"/>
      <c r="NIL66" s="557"/>
      <c r="NIM66" s="557"/>
      <c r="NIN66" s="557"/>
      <c r="NIO66" s="557"/>
      <c r="NIP66" s="557"/>
      <c r="NIQ66" s="557"/>
      <c r="NIR66" s="557"/>
      <c r="NIS66" s="557"/>
      <c r="NIT66" s="557"/>
      <c r="NIU66" s="661"/>
      <c r="NIV66" s="556"/>
      <c r="NIW66" s="557"/>
      <c r="NIX66" s="557"/>
      <c r="NIY66" s="557"/>
      <c r="NIZ66" s="557"/>
      <c r="NJA66" s="557"/>
      <c r="NJB66" s="557"/>
      <c r="NJC66" s="557"/>
      <c r="NJD66" s="557"/>
      <c r="NJE66" s="557"/>
      <c r="NJF66" s="557"/>
      <c r="NJG66" s="557"/>
      <c r="NJH66" s="557"/>
      <c r="NJI66" s="557"/>
      <c r="NJJ66" s="557"/>
      <c r="NJK66" s="557"/>
      <c r="NJL66" s="557"/>
      <c r="NJM66" s="557"/>
      <c r="NJN66" s="557"/>
      <c r="NJO66" s="661"/>
      <c r="NJP66" s="556"/>
      <c r="NJQ66" s="557"/>
      <c r="NJR66" s="557"/>
      <c r="NJS66" s="557"/>
      <c r="NJT66" s="557"/>
      <c r="NJU66" s="557"/>
      <c r="NJV66" s="557"/>
      <c r="NJW66" s="557"/>
      <c r="NJX66" s="557"/>
      <c r="NJY66" s="557"/>
      <c r="NJZ66" s="557"/>
      <c r="NKA66" s="557"/>
      <c r="NKB66" s="557"/>
      <c r="NKC66" s="557"/>
      <c r="NKD66" s="557"/>
      <c r="NKE66" s="557"/>
      <c r="NKF66" s="557"/>
      <c r="NKG66" s="557"/>
      <c r="NKH66" s="557"/>
      <c r="NKI66" s="661"/>
      <c r="NKJ66" s="556"/>
      <c r="NKK66" s="557"/>
      <c r="NKL66" s="557"/>
      <c r="NKM66" s="557"/>
      <c r="NKN66" s="557"/>
      <c r="NKO66" s="557"/>
      <c r="NKP66" s="557"/>
      <c r="NKQ66" s="557"/>
      <c r="NKR66" s="557"/>
      <c r="NKS66" s="557"/>
      <c r="NKT66" s="557"/>
      <c r="NKU66" s="557"/>
      <c r="NKV66" s="557"/>
      <c r="NKW66" s="557"/>
      <c r="NKX66" s="557"/>
      <c r="NKY66" s="557"/>
      <c r="NKZ66" s="557"/>
      <c r="NLA66" s="557"/>
      <c r="NLB66" s="557"/>
      <c r="NLC66" s="661"/>
      <c r="NLD66" s="556"/>
      <c r="NLE66" s="557"/>
      <c r="NLF66" s="557"/>
      <c r="NLG66" s="557"/>
      <c r="NLH66" s="557"/>
      <c r="NLI66" s="557"/>
      <c r="NLJ66" s="557"/>
      <c r="NLK66" s="557"/>
      <c r="NLL66" s="557"/>
      <c r="NLM66" s="557"/>
      <c r="NLN66" s="557"/>
      <c r="NLO66" s="557"/>
      <c r="NLP66" s="557"/>
      <c r="NLQ66" s="557"/>
      <c r="NLR66" s="557"/>
      <c r="NLS66" s="557"/>
      <c r="NLT66" s="557"/>
      <c r="NLU66" s="557"/>
      <c r="NLV66" s="557"/>
      <c r="NLW66" s="661"/>
      <c r="NLX66" s="556"/>
      <c r="NLY66" s="557"/>
      <c r="NLZ66" s="557"/>
      <c r="NMA66" s="557"/>
      <c r="NMB66" s="557"/>
      <c r="NMC66" s="557"/>
      <c r="NMD66" s="557"/>
      <c r="NME66" s="557"/>
      <c r="NMF66" s="557"/>
      <c r="NMG66" s="557"/>
      <c r="NMH66" s="557"/>
      <c r="NMI66" s="557"/>
      <c r="NMJ66" s="557"/>
      <c r="NMK66" s="557"/>
      <c r="NML66" s="557"/>
      <c r="NMM66" s="557"/>
      <c r="NMN66" s="557"/>
      <c r="NMO66" s="557"/>
      <c r="NMP66" s="557"/>
      <c r="NMQ66" s="661"/>
      <c r="NMR66" s="556"/>
      <c r="NMS66" s="557"/>
      <c r="NMT66" s="557"/>
      <c r="NMU66" s="557"/>
      <c r="NMV66" s="557"/>
      <c r="NMW66" s="557"/>
      <c r="NMX66" s="557"/>
      <c r="NMY66" s="557"/>
      <c r="NMZ66" s="557"/>
      <c r="NNA66" s="557"/>
      <c r="NNB66" s="557"/>
      <c r="NNC66" s="557"/>
      <c r="NND66" s="557"/>
      <c r="NNE66" s="557"/>
      <c r="NNF66" s="557"/>
      <c r="NNG66" s="557"/>
      <c r="NNH66" s="557"/>
      <c r="NNI66" s="557"/>
      <c r="NNJ66" s="557"/>
      <c r="NNK66" s="661"/>
      <c r="NNL66" s="556"/>
      <c r="NNM66" s="557"/>
      <c r="NNN66" s="557"/>
      <c r="NNO66" s="557"/>
      <c r="NNP66" s="557"/>
      <c r="NNQ66" s="557"/>
      <c r="NNR66" s="557"/>
      <c r="NNS66" s="557"/>
      <c r="NNT66" s="557"/>
      <c r="NNU66" s="557"/>
      <c r="NNV66" s="557"/>
      <c r="NNW66" s="557"/>
      <c r="NNX66" s="557"/>
      <c r="NNY66" s="557"/>
      <c r="NNZ66" s="557"/>
      <c r="NOA66" s="557"/>
      <c r="NOB66" s="557"/>
      <c r="NOC66" s="557"/>
      <c r="NOD66" s="557"/>
      <c r="NOE66" s="661"/>
      <c r="NOF66" s="556"/>
      <c r="NOG66" s="557"/>
      <c r="NOH66" s="557"/>
      <c r="NOI66" s="557"/>
      <c r="NOJ66" s="557"/>
      <c r="NOK66" s="557"/>
      <c r="NOL66" s="557"/>
      <c r="NOM66" s="557"/>
      <c r="NON66" s="557"/>
      <c r="NOO66" s="557"/>
      <c r="NOP66" s="557"/>
      <c r="NOQ66" s="557"/>
      <c r="NOR66" s="557"/>
      <c r="NOS66" s="557"/>
      <c r="NOT66" s="557"/>
      <c r="NOU66" s="557"/>
      <c r="NOV66" s="557"/>
      <c r="NOW66" s="557"/>
      <c r="NOX66" s="557"/>
      <c r="NOY66" s="661"/>
      <c r="NOZ66" s="556"/>
      <c r="NPA66" s="557"/>
      <c r="NPB66" s="557"/>
      <c r="NPC66" s="557"/>
      <c r="NPD66" s="557"/>
      <c r="NPE66" s="557"/>
      <c r="NPF66" s="557"/>
      <c r="NPG66" s="557"/>
      <c r="NPH66" s="557"/>
      <c r="NPI66" s="557"/>
      <c r="NPJ66" s="557"/>
      <c r="NPK66" s="557"/>
      <c r="NPL66" s="557"/>
      <c r="NPM66" s="557"/>
      <c r="NPN66" s="557"/>
      <c r="NPO66" s="557"/>
      <c r="NPP66" s="557"/>
      <c r="NPQ66" s="557"/>
      <c r="NPR66" s="557"/>
      <c r="NPS66" s="661"/>
      <c r="NPT66" s="556"/>
      <c r="NPU66" s="557"/>
      <c r="NPV66" s="557"/>
      <c r="NPW66" s="557"/>
      <c r="NPX66" s="557"/>
      <c r="NPY66" s="557"/>
      <c r="NPZ66" s="557"/>
      <c r="NQA66" s="557"/>
      <c r="NQB66" s="557"/>
      <c r="NQC66" s="557"/>
      <c r="NQD66" s="557"/>
      <c r="NQE66" s="557"/>
      <c r="NQF66" s="557"/>
      <c r="NQG66" s="557"/>
      <c r="NQH66" s="557"/>
      <c r="NQI66" s="557"/>
      <c r="NQJ66" s="557"/>
      <c r="NQK66" s="557"/>
      <c r="NQL66" s="557"/>
      <c r="NQM66" s="661"/>
      <c r="NQN66" s="556"/>
      <c r="NQO66" s="557"/>
      <c r="NQP66" s="557"/>
      <c r="NQQ66" s="557"/>
      <c r="NQR66" s="557"/>
      <c r="NQS66" s="557"/>
      <c r="NQT66" s="557"/>
      <c r="NQU66" s="557"/>
      <c r="NQV66" s="557"/>
      <c r="NQW66" s="557"/>
      <c r="NQX66" s="557"/>
      <c r="NQY66" s="557"/>
      <c r="NQZ66" s="557"/>
      <c r="NRA66" s="557"/>
      <c r="NRB66" s="557"/>
      <c r="NRC66" s="557"/>
      <c r="NRD66" s="557"/>
      <c r="NRE66" s="557"/>
      <c r="NRF66" s="557"/>
      <c r="NRG66" s="661"/>
      <c r="NRH66" s="556"/>
      <c r="NRI66" s="557"/>
      <c r="NRJ66" s="557"/>
      <c r="NRK66" s="557"/>
      <c r="NRL66" s="557"/>
      <c r="NRM66" s="557"/>
      <c r="NRN66" s="557"/>
      <c r="NRO66" s="557"/>
      <c r="NRP66" s="557"/>
      <c r="NRQ66" s="557"/>
      <c r="NRR66" s="557"/>
      <c r="NRS66" s="557"/>
      <c r="NRT66" s="557"/>
      <c r="NRU66" s="557"/>
      <c r="NRV66" s="557"/>
      <c r="NRW66" s="557"/>
      <c r="NRX66" s="557"/>
      <c r="NRY66" s="557"/>
      <c r="NRZ66" s="557"/>
      <c r="NSA66" s="661"/>
      <c r="NSB66" s="556"/>
      <c r="NSC66" s="557"/>
      <c r="NSD66" s="557"/>
      <c r="NSE66" s="557"/>
      <c r="NSF66" s="557"/>
      <c r="NSG66" s="557"/>
      <c r="NSH66" s="557"/>
      <c r="NSI66" s="557"/>
      <c r="NSJ66" s="557"/>
      <c r="NSK66" s="557"/>
      <c r="NSL66" s="557"/>
      <c r="NSM66" s="557"/>
      <c r="NSN66" s="557"/>
      <c r="NSO66" s="557"/>
      <c r="NSP66" s="557"/>
      <c r="NSQ66" s="557"/>
      <c r="NSR66" s="557"/>
      <c r="NSS66" s="557"/>
      <c r="NST66" s="557"/>
      <c r="NSU66" s="661"/>
      <c r="NSV66" s="556"/>
      <c r="NSW66" s="557"/>
      <c r="NSX66" s="557"/>
      <c r="NSY66" s="557"/>
      <c r="NSZ66" s="557"/>
      <c r="NTA66" s="557"/>
      <c r="NTB66" s="557"/>
      <c r="NTC66" s="557"/>
      <c r="NTD66" s="557"/>
      <c r="NTE66" s="557"/>
      <c r="NTF66" s="557"/>
      <c r="NTG66" s="557"/>
      <c r="NTH66" s="557"/>
      <c r="NTI66" s="557"/>
      <c r="NTJ66" s="557"/>
      <c r="NTK66" s="557"/>
      <c r="NTL66" s="557"/>
      <c r="NTM66" s="557"/>
      <c r="NTN66" s="557"/>
      <c r="NTO66" s="661"/>
      <c r="NTP66" s="556"/>
      <c r="NTQ66" s="557"/>
      <c r="NTR66" s="557"/>
      <c r="NTS66" s="557"/>
      <c r="NTT66" s="557"/>
      <c r="NTU66" s="557"/>
      <c r="NTV66" s="557"/>
      <c r="NTW66" s="557"/>
      <c r="NTX66" s="557"/>
      <c r="NTY66" s="557"/>
      <c r="NTZ66" s="557"/>
      <c r="NUA66" s="557"/>
      <c r="NUB66" s="557"/>
      <c r="NUC66" s="557"/>
      <c r="NUD66" s="557"/>
      <c r="NUE66" s="557"/>
      <c r="NUF66" s="557"/>
      <c r="NUG66" s="557"/>
      <c r="NUH66" s="557"/>
      <c r="NUI66" s="661"/>
      <c r="NUJ66" s="556"/>
      <c r="NUK66" s="557"/>
      <c r="NUL66" s="557"/>
      <c r="NUM66" s="557"/>
      <c r="NUN66" s="557"/>
      <c r="NUO66" s="557"/>
      <c r="NUP66" s="557"/>
      <c r="NUQ66" s="557"/>
      <c r="NUR66" s="557"/>
      <c r="NUS66" s="557"/>
      <c r="NUT66" s="557"/>
      <c r="NUU66" s="557"/>
      <c r="NUV66" s="557"/>
      <c r="NUW66" s="557"/>
      <c r="NUX66" s="557"/>
      <c r="NUY66" s="557"/>
      <c r="NUZ66" s="557"/>
      <c r="NVA66" s="557"/>
      <c r="NVB66" s="557"/>
      <c r="NVC66" s="661"/>
      <c r="NVD66" s="556"/>
      <c r="NVE66" s="557"/>
      <c r="NVF66" s="557"/>
      <c r="NVG66" s="557"/>
      <c r="NVH66" s="557"/>
      <c r="NVI66" s="557"/>
      <c r="NVJ66" s="557"/>
      <c r="NVK66" s="557"/>
      <c r="NVL66" s="557"/>
      <c r="NVM66" s="557"/>
      <c r="NVN66" s="557"/>
      <c r="NVO66" s="557"/>
      <c r="NVP66" s="557"/>
      <c r="NVQ66" s="557"/>
      <c r="NVR66" s="557"/>
      <c r="NVS66" s="557"/>
      <c r="NVT66" s="557"/>
      <c r="NVU66" s="557"/>
      <c r="NVV66" s="557"/>
      <c r="NVW66" s="661"/>
      <c r="NVX66" s="556"/>
      <c r="NVY66" s="557"/>
      <c r="NVZ66" s="557"/>
      <c r="NWA66" s="557"/>
      <c r="NWB66" s="557"/>
      <c r="NWC66" s="557"/>
      <c r="NWD66" s="557"/>
      <c r="NWE66" s="557"/>
      <c r="NWF66" s="557"/>
      <c r="NWG66" s="557"/>
      <c r="NWH66" s="557"/>
      <c r="NWI66" s="557"/>
      <c r="NWJ66" s="557"/>
      <c r="NWK66" s="557"/>
      <c r="NWL66" s="557"/>
      <c r="NWM66" s="557"/>
      <c r="NWN66" s="557"/>
      <c r="NWO66" s="557"/>
      <c r="NWP66" s="557"/>
      <c r="NWQ66" s="661"/>
      <c r="NWR66" s="556"/>
      <c r="NWS66" s="557"/>
      <c r="NWT66" s="557"/>
      <c r="NWU66" s="557"/>
      <c r="NWV66" s="557"/>
      <c r="NWW66" s="557"/>
      <c r="NWX66" s="557"/>
      <c r="NWY66" s="557"/>
      <c r="NWZ66" s="557"/>
      <c r="NXA66" s="557"/>
      <c r="NXB66" s="557"/>
      <c r="NXC66" s="557"/>
      <c r="NXD66" s="557"/>
      <c r="NXE66" s="557"/>
      <c r="NXF66" s="557"/>
      <c r="NXG66" s="557"/>
      <c r="NXH66" s="557"/>
      <c r="NXI66" s="557"/>
      <c r="NXJ66" s="557"/>
      <c r="NXK66" s="661"/>
      <c r="NXL66" s="556"/>
      <c r="NXM66" s="557"/>
      <c r="NXN66" s="557"/>
      <c r="NXO66" s="557"/>
      <c r="NXP66" s="557"/>
      <c r="NXQ66" s="557"/>
      <c r="NXR66" s="557"/>
      <c r="NXS66" s="557"/>
      <c r="NXT66" s="557"/>
      <c r="NXU66" s="557"/>
      <c r="NXV66" s="557"/>
      <c r="NXW66" s="557"/>
      <c r="NXX66" s="557"/>
      <c r="NXY66" s="557"/>
      <c r="NXZ66" s="557"/>
      <c r="NYA66" s="557"/>
      <c r="NYB66" s="557"/>
      <c r="NYC66" s="557"/>
      <c r="NYD66" s="557"/>
      <c r="NYE66" s="661"/>
      <c r="NYF66" s="556"/>
      <c r="NYG66" s="557"/>
      <c r="NYH66" s="557"/>
      <c r="NYI66" s="557"/>
      <c r="NYJ66" s="557"/>
      <c r="NYK66" s="557"/>
      <c r="NYL66" s="557"/>
      <c r="NYM66" s="557"/>
      <c r="NYN66" s="557"/>
      <c r="NYO66" s="557"/>
      <c r="NYP66" s="557"/>
      <c r="NYQ66" s="557"/>
      <c r="NYR66" s="557"/>
      <c r="NYS66" s="557"/>
      <c r="NYT66" s="557"/>
      <c r="NYU66" s="557"/>
      <c r="NYV66" s="557"/>
      <c r="NYW66" s="557"/>
      <c r="NYX66" s="557"/>
      <c r="NYY66" s="661"/>
      <c r="NYZ66" s="556"/>
      <c r="NZA66" s="557"/>
      <c r="NZB66" s="557"/>
      <c r="NZC66" s="557"/>
      <c r="NZD66" s="557"/>
      <c r="NZE66" s="557"/>
      <c r="NZF66" s="557"/>
      <c r="NZG66" s="557"/>
      <c r="NZH66" s="557"/>
      <c r="NZI66" s="557"/>
      <c r="NZJ66" s="557"/>
      <c r="NZK66" s="557"/>
      <c r="NZL66" s="557"/>
      <c r="NZM66" s="557"/>
      <c r="NZN66" s="557"/>
      <c r="NZO66" s="557"/>
      <c r="NZP66" s="557"/>
      <c r="NZQ66" s="557"/>
      <c r="NZR66" s="557"/>
      <c r="NZS66" s="661"/>
      <c r="NZT66" s="556"/>
      <c r="NZU66" s="557"/>
      <c r="NZV66" s="557"/>
      <c r="NZW66" s="557"/>
      <c r="NZX66" s="557"/>
      <c r="NZY66" s="557"/>
      <c r="NZZ66" s="557"/>
      <c r="OAA66" s="557"/>
      <c r="OAB66" s="557"/>
      <c r="OAC66" s="557"/>
      <c r="OAD66" s="557"/>
      <c r="OAE66" s="557"/>
      <c r="OAF66" s="557"/>
      <c r="OAG66" s="557"/>
      <c r="OAH66" s="557"/>
      <c r="OAI66" s="557"/>
      <c r="OAJ66" s="557"/>
      <c r="OAK66" s="557"/>
      <c r="OAL66" s="557"/>
      <c r="OAM66" s="661"/>
      <c r="OAN66" s="556"/>
      <c r="OAO66" s="557"/>
      <c r="OAP66" s="557"/>
      <c r="OAQ66" s="557"/>
      <c r="OAR66" s="557"/>
      <c r="OAS66" s="557"/>
      <c r="OAT66" s="557"/>
      <c r="OAU66" s="557"/>
      <c r="OAV66" s="557"/>
      <c r="OAW66" s="557"/>
      <c r="OAX66" s="557"/>
      <c r="OAY66" s="557"/>
      <c r="OAZ66" s="557"/>
      <c r="OBA66" s="557"/>
      <c r="OBB66" s="557"/>
      <c r="OBC66" s="557"/>
      <c r="OBD66" s="557"/>
      <c r="OBE66" s="557"/>
      <c r="OBF66" s="557"/>
      <c r="OBG66" s="661"/>
      <c r="OBH66" s="556"/>
      <c r="OBI66" s="557"/>
      <c r="OBJ66" s="557"/>
      <c r="OBK66" s="557"/>
      <c r="OBL66" s="557"/>
      <c r="OBM66" s="557"/>
      <c r="OBN66" s="557"/>
      <c r="OBO66" s="557"/>
      <c r="OBP66" s="557"/>
      <c r="OBQ66" s="557"/>
      <c r="OBR66" s="557"/>
      <c r="OBS66" s="557"/>
      <c r="OBT66" s="557"/>
      <c r="OBU66" s="557"/>
      <c r="OBV66" s="557"/>
      <c r="OBW66" s="557"/>
      <c r="OBX66" s="557"/>
      <c r="OBY66" s="557"/>
      <c r="OBZ66" s="557"/>
      <c r="OCA66" s="661"/>
      <c r="OCB66" s="556"/>
      <c r="OCC66" s="557"/>
      <c r="OCD66" s="557"/>
      <c r="OCE66" s="557"/>
      <c r="OCF66" s="557"/>
      <c r="OCG66" s="557"/>
      <c r="OCH66" s="557"/>
      <c r="OCI66" s="557"/>
      <c r="OCJ66" s="557"/>
      <c r="OCK66" s="557"/>
      <c r="OCL66" s="557"/>
      <c r="OCM66" s="557"/>
      <c r="OCN66" s="557"/>
      <c r="OCO66" s="557"/>
      <c r="OCP66" s="557"/>
      <c r="OCQ66" s="557"/>
      <c r="OCR66" s="557"/>
      <c r="OCS66" s="557"/>
      <c r="OCT66" s="557"/>
      <c r="OCU66" s="661"/>
      <c r="OCV66" s="556"/>
      <c r="OCW66" s="557"/>
      <c r="OCX66" s="557"/>
      <c r="OCY66" s="557"/>
      <c r="OCZ66" s="557"/>
      <c r="ODA66" s="557"/>
      <c r="ODB66" s="557"/>
      <c r="ODC66" s="557"/>
      <c r="ODD66" s="557"/>
      <c r="ODE66" s="557"/>
      <c r="ODF66" s="557"/>
      <c r="ODG66" s="557"/>
      <c r="ODH66" s="557"/>
      <c r="ODI66" s="557"/>
      <c r="ODJ66" s="557"/>
      <c r="ODK66" s="557"/>
      <c r="ODL66" s="557"/>
      <c r="ODM66" s="557"/>
      <c r="ODN66" s="557"/>
      <c r="ODO66" s="661"/>
      <c r="ODP66" s="556"/>
      <c r="ODQ66" s="557"/>
      <c r="ODR66" s="557"/>
      <c r="ODS66" s="557"/>
      <c r="ODT66" s="557"/>
      <c r="ODU66" s="557"/>
      <c r="ODV66" s="557"/>
      <c r="ODW66" s="557"/>
      <c r="ODX66" s="557"/>
      <c r="ODY66" s="557"/>
      <c r="ODZ66" s="557"/>
      <c r="OEA66" s="557"/>
      <c r="OEB66" s="557"/>
      <c r="OEC66" s="557"/>
      <c r="OED66" s="557"/>
      <c r="OEE66" s="557"/>
      <c r="OEF66" s="557"/>
      <c r="OEG66" s="557"/>
      <c r="OEH66" s="557"/>
      <c r="OEI66" s="661"/>
      <c r="OEJ66" s="556"/>
      <c r="OEK66" s="557"/>
      <c r="OEL66" s="557"/>
      <c r="OEM66" s="557"/>
      <c r="OEN66" s="557"/>
      <c r="OEO66" s="557"/>
      <c r="OEP66" s="557"/>
      <c r="OEQ66" s="557"/>
      <c r="OER66" s="557"/>
      <c r="OES66" s="557"/>
      <c r="OET66" s="557"/>
      <c r="OEU66" s="557"/>
      <c r="OEV66" s="557"/>
      <c r="OEW66" s="557"/>
      <c r="OEX66" s="557"/>
      <c r="OEY66" s="557"/>
      <c r="OEZ66" s="557"/>
      <c r="OFA66" s="557"/>
      <c r="OFB66" s="557"/>
      <c r="OFC66" s="661"/>
      <c r="OFD66" s="556"/>
      <c r="OFE66" s="557"/>
      <c r="OFF66" s="557"/>
      <c r="OFG66" s="557"/>
      <c r="OFH66" s="557"/>
      <c r="OFI66" s="557"/>
      <c r="OFJ66" s="557"/>
      <c r="OFK66" s="557"/>
      <c r="OFL66" s="557"/>
      <c r="OFM66" s="557"/>
      <c r="OFN66" s="557"/>
      <c r="OFO66" s="557"/>
      <c r="OFP66" s="557"/>
      <c r="OFQ66" s="557"/>
      <c r="OFR66" s="557"/>
      <c r="OFS66" s="557"/>
      <c r="OFT66" s="557"/>
      <c r="OFU66" s="557"/>
      <c r="OFV66" s="557"/>
      <c r="OFW66" s="661"/>
      <c r="OFX66" s="556"/>
      <c r="OFY66" s="557"/>
      <c r="OFZ66" s="557"/>
      <c r="OGA66" s="557"/>
      <c r="OGB66" s="557"/>
      <c r="OGC66" s="557"/>
      <c r="OGD66" s="557"/>
      <c r="OGE66" s="557"/>
      <c r="OGF66" s="557"/>
      <c r="OGG66" s="557"/>
      <c r="OGH66" s="557"/>
      <c r="OGI66" s="557"/>
      <c r="OGJ66" s="557"/>
      <c r="OGK66" s="557"/>
      <c r="OGL66" s="557"/>
      <c r="OGM66" s="557"/>
      <c r="OGN66" s="557"/>
      <c r="OGO66" s="557"/>
      <c r="OGP66" s="557"/>
      <c r="OGQ66" s="661"/>
      <c r="OGR66" s="556"/>
      <c r="OGS66" s="557"/>
      <c r="OGT66" s="557"/>
      <c r="OGU66" s="557"/>
      <c r="OGV66" s="557"/>
      <c r="OGW66" s="557"/>
      <c r="OGX66" s="557"/>
      <c r="OGY66" s="557"/>
      <c r="OGZ66" s="557"/>
      <c r="OHA66" s="557"/>
      <c r="OHB66" s="557"/>
      <c r="OHC66" s="557"/>
      <c r="OHD66" s="557"/>
      <c r="OHE66" s="557"/>
      <c r="OHF66" s="557"/>
      <c r="OHG66" s="557"/>
      <c r="OHH66" s="557"/>
      <c r="OHI66" s="557"/>
      <c r="OHJ66" s="557"/>
      <c r="OHK66" s="661"/>
      <c r="OHL66" s="556"/>
      <c r="OHM66" s="557"/>
      <c r="OHN66" s="557"/>
      <c r="OHO66" s="557"/>
      <c r="OHP66" s="557"/>
      <c r="OHQ66" s="557"/>
      <c r="OHR66" s="557"/>
      <c r="OHS66" s="557"/>
      <c r="OHT66" s="557"/>
      <c r="OHU66" s="557"/>
      <c r="OHV66" s="557"/>
      <c r="OHW66" s="557"/>
      <c r="OHX66" s="557"/>
      <c r="OHY66" s="557"/>
      <c r="OHZ66" s="557"/>
      <c r="OIA66" s="557"/>
      <c r="OIB66" s="557"/>
      <c r="OIC66" s="557"/>
      <c r="OID66" s="557"/>
      <c r="OIE66" s="661"/>
      <c r="OIF66" s="556"/>
      <c r="OIG66" s="557"/>
      <c r="OIH66" s="557"/>
      <c r="OII66" s="557"/>
      <c r="OIJ66" s="557"/>
      <c r="OIK66" s="557"/>
      <c r="OIL66" s="557"/>
      <c r="OIM66" s="557"/>
      <c r="OIN66" s="557"/>
      <c r="OIO66" s="557"/>
      <c r="OIP66" s="557"/>
      <c r="OIQ66" s="557"/>
      <c r="OIR66" s="557"/>
      <c r="OIS66" s="557"/>
      <c r="OIT66" s="557"/>
      <c r="OIU66" s="557"/>
      <c r="OIV66" s="557"/>
      <c r="OIW66" s="557"/>
      <c r="OIX66" s="557"/>
      <c r="OIY66" s="661"/>
      <c r="OIZ66" s="556"/>
      <c r="OJA66" s="557"/>
      <c r="OJB66" s="557"/>
      <c r="OJC66" s="557"/>
      <c r="OJD66" s="557"/>
      <c r="OJE66" s="557"/>
      <c r="OJF66" s="557"/>
      <c r="OJG66" s="557"/>
      <c r="OJH66" s="557"/>
      <c r="OJI66" s="557"/>
      <c r="OJJ66" s="557"/>
      <c r="OJK66" s="557"/>
      <c r="OJL66" s="557"/>
      <c r="OJM66" s="557"/>
      <c r="OJN66" s="557"/>
      <c r="OJO66" s="557"/>
      <c r="OJP66" s="557"/>
      <c r="OJQ66" s="557"/>
      <c r="OJR66" s="557"/>
      <c r="OJS66" s="661"/>
      <c r="OJT66" s="556"/>
      <c r="OJU66" s="557"/>
      <c r="OJV66" s="557"/>
      <c r="OJW66" s="557"/>
      <c r="OJX66" s="557"/>
      <c r="OJY66" s="557"/>
      <c r="OJZ66" s="557"/>
      <c r="OKA66" s="557"/>
      <c r="OKB66" s="557"/>
      <c r="OKC66" s="557"/>
      <c r="OKD66" s="557"/>
      <c r="OKE66" s="557"/>
      <c r="OKF66" s="557"/>
      <c r="OKG66" s="557"/>
      <c r="OKH66" s="557"/>
      <c r="OKI66" s="557"/>
      <c r="OKJ66" s="557"/>
      <c r="OKK66" s="557"/>
      <c r="OKL66" s="557"/>
      <c r="OKM66" s="661"/>
      <c r="OKN66" s="556"/>
      <c r="OKO66" s="557"/>
      <c r="OKP66" s="557"/>
      <c r="OKQ66" s="557"/>
      <c r="OKR66" s="557"/>
      <c r="OKS66" s="557"/>
      <c r="OKT66" s="557"/>
      <c r="OKU66" s="557"/>
      <c r="OKV66" s="557"/>
      <c r="OKW66" s="557"/>
      <c r="OKX66" s="557"/>
      <c r="OKY66" s="557"/>
      <c r="OKZ66" s="557"/>
      <c r="OLA66" s="557"/>
      <c r="OLB66" s="557"/>
      <c r="OLC66" s="557"/>
      <c r="OLD66" s="557"/>
      <c r="OLE66" s="557"/>
      <c r="OLF66" s="557"/>
      <c r="OLG66" s="661"/>
      <c r="OLH66" s="556"/>
      <c r="OLI66" s="557"/>
      <c r="OLJ66" s="557"/>
      <c r="OLK66" s="557"/>
      <c r="OLL66" s="557"/>
      <c r="OLM66" s="557"/>
      <c r="OLN66" s="557"/>
      <c r="OLO66" s="557"/>
      <c r="OLP66" s="557"/>
      <c r="OLQ66" s="557"/>
      <c r="OLR66" s="557"/>
      <c r="OLS66" s="557"/>
      <c r="OLT66" s="557"/>
      <c r="OLU66" s="557"/>
      <c r="OLV66" s="557"/>
      <c r="OLW66" s="557"/>
      <c r="OLX66" s="557"/>
      <c r="OLY66" s="557"/>
      <c r="OLZ66" s="557"/>
      <c r="OMA66" s="661"/>
      <c r="OMB66" s="556"/>
      <c r="OMC66" s="557"/>
      <c r="OMD66" s="557"/>
      <c r="OME66" s="557"/>
      <c r="OMF66" s="557"/>
      <c r="OMG66" s="557"/>
      <c r="OMH66" s="557"/>
      <c r="OMI66" s="557"/>
      <c r="OMJ66" s="557"/>
      <c r="OMK66" s="557"/>
      <c r="OML66" s="557"/>
      <c r="OMM66" s="557"/>
      <c r="OMN66" s="557"/>
      <c r="OMO66" s="557"/>
      <c r="OMP66" s="557"/>
      <c r="OMQ66" s="557"/>
      <c r="OMR66" s="557"/>
      <c r="OMS66" s="557"/>
      <c r="OMT66" s="557"/>
      <c r="OMU66" s="661"/>
      <c r="OMV66" s="556"/>
      <c r="OMW66" s="557"/>
      <c r="OMX66" s="557"/>
      <c r="OMY66" s="557"/>
      <c r="OMZ66" s="557"/>
      <c r="ONA66" s="557"/>
      <c r="ONB66" s="557"/>
      <c r="ONC66" s="557"/>
      <c r="OND66" s="557"/>
      <c r="ONE66" s="557"/>
      <c r="ONF66" s="557"/>
      <c r="ONG66" s="557"/>
      <c r="ONH66" s="557"/>
      <c r="ONI66" s="557"/>
      <c r="ONJ66" s="557"/>
      <c r="ONK66" s="557"/>
      <c r="ONL66" s="557"/>
      <c r="ONM66" s="557"/>
      <c r="ONN66" s="557"/>
      <c r="ONO66" s="661"/>
      <c r="ONP66" s="556"/>
      <c r="ONQ66" s="557"/>
      <c r="ONR66" s="557"/>
      <c r="ONS66" s="557"/>
      <c r="ONT66" s="557"/>
      <c r="ONU66" s="557"/>
      <c r="ONV66" s="557"/>
      <c r="ONW66" s="557"/>
      <c r="ONX66" s="557"/>
      <c r="ONY66" s="557"/>
      <c r="ONZ66" s="557"/>
      <c r="OOA66" s="557"/>
      <c r="OOB66" s="557"/>
      <c r="OOC66" s="557"/>
      <c r="OOD66" s="557"/>
      <c r="OOE66" s="557"/>
      <c r="OOF66" s="557"/>
      <c r="OOG66" s="557"/>
      <c r="OOH66" s="557"/>
      <c r="OOI66" s="661"/>
      <c r="OOJ66" s="556"/>
      <c r="OOK66" s="557"/>
      <c r="OOL66" s="557"/>
      <c r="OOM66" s="557"/>
      <c r="OON66" s="557"/>
      <c r="OOO66" s="557"/>
      <c r="OOP66" s="557"/>
      <c r="OOQ66" s="557"/>
      <c r="OOR66" s="557"/>
      <c r="OOS66" s="557"/>
      <c r="OOT66" s="557"/>
      <c r="OOU66" s="557"/>
      <c r="OOV66" s="557"/>
      <c r="OOW66" s="557"/>
      <c r="OOX66" s="557"/>
      <c r="OOY66" s="557"/>
      <c r="OOZ66" s="557"/>
      <c r="OPA66" s="557"/>
      <c r="OPB66" s="557"/>
      <c r="OPC66" s="661"/>
      <c r="OPD66" s="556"/>
      <c r="OPE66" s="557"/>
      <c r="OPF66" s="557"/>
      <c r="OPG66" s="557"/>
      <c r="OPH66" s="557"/>
      <c r="OPI66" s="557"/>
      <c r="OPJ66" s="557"/>
      <c r="OPK66" s="557"/>
      <c r="OPL66" s="557"/>
      <c r="OPM66" s="557"/>
      <c r="OPN66" s="557"/>
      <c r="OPO66" s="557"/>
      <c r="OPP66" s="557"/>
      <c r="OPQ66" s="557"/>
      <c r="OPR66" s="557"/>
      <c r="OPS66" s="557"/>
      <c r="OPT66" s="557"/>
      <c r="OPU66" s="557"/>
      <c r="OPV66" s="557"/>
      <c r="OPW66" s="661"/>
      <c r="OPX66" s="556"/>
      <c r="OPY66" s="557"/>
      <c r="OPZ66" s="557"/>
      <c r="OQA66" s="557"/>
      <c r="OQB66" s="557"/>
      <c r="OQC66" s="557"/>
      <c r="OQD66" s="557"/>
      <c r="OQE66" s="557"/>
      <c r="OQF66" s="557"/>
      <c r="OQG66" s="557"/>
      <c r="OQH66" s="557"/>
      <c r="OQI66" s="557"/>
      <c r="OQJ66" s="557"/>
      <c r="OQK66" s="557"/>
      <c r="OQL66" s="557"/>
      <c r="OQM66" s="557"/>
      <c r="OQN66" s="557"/>
      <c r="OQO66" s="557"/>
      <c r="OQP66" s="557"/>
      <c r="OQQ66" s="661"/>
      <c r="OQR66" s="556"/>
      <c r="OQS66" s="557"/>
      <c r="OQT66" s="557"/>
      <c r="OQU66" s="557"/>
      <c r="OQV66" s="557"/>
      <c r="OQW66" s="557"/>
      <c r="OQX66" s="557"/>
      <c r="OQY66" s="557"/>
      <c r="OQZ66" s="557"/>
      <c r="ORA66" s="557"/>
      <c r="ORB66" s="557"/>
      <c r="ORC66" s="557"/>
      <c r="ORD66" s="557"/>
      <c r="ORE66" s="557"/>
      <c r="ORF66" s="557"/>
      <c r="ORG66" s="557"/>
      <c r="ORH66" s="557"/>
      <c r="ORI66" s="557"/>
      <c r="ORJ66" s="557"/>
      <c r="ORK66" s="661"/>
      <c r="ORL66" s="556"/>
      <c r="ORM66" s="557"/>
      <c r="ORN66" s="557"/>
      <c r="ORO66" s="557"/>
      <c r="ORP66" s="557"/>
      <c r="ORQ66" s="557"/>
      <c r="ORR66" s="557"/>
      <c r="ORS66" s="557"/>
      <c r="ORT66" s="557"/>
      <c r="ORU66" s="557"/>
      <c r="ORV66" s="557"/>
      <c r="ORW66" s="557"/>
      <c r="ORX66" s="557"/>
      <c r="ORY66" s="557"/>
      <c r="ORZ66" s="557"/>
      <c r="OSA66" s="557"/>
      <c r="OSB66" s="557"/>
      <c r="OSC66" s="557"/>
      <c r="OSD66" s="557"/>
      <c r="OSE66" s="661"/>
      <c r="OSF66" s="556"/>
      <c r="OSG66" s="557"/>
      <c r="OSH66" s="557"/>
      <c r="OSI66" s="557"/>
      <c r="OSJ66" s="557"/>
      <c r="OSK66" s="557"/>
      <c r="OSL66" s="557"/>
      <c r="OSM66" s="557"/>
      <c r="OSN66" s="557"/>
      <c r="OSO66" s="557"/>
      <c r="OSP66" s="557"/>
      <c r="OSQ66" s="557"/>
      <c r="OSR66" s="557"/>
      <c r="OSS66" s="557"/>
      <c r="OST66" s="557"/>
      <c r="OSU66" s="557"/>
      <c r="OSV66" s="557"/>
      <c r="OSW66" s="557"/>
      <c r="OSX66" s="557"/>
      <c r="OSY66" s="661"/>
      <c r="OSZ66" s="556"/>
      <c r="OTA66" s="557"/>
      <c r="OTB66" s="557"/>
      <c r="OTC66" s="557"/>
      <c r="OTD66" s="557"/>
      <c r="OTE66" s="557"/>
      <c r="OTF66" s="557"/>
      <c r="OTG66" s="557"/>
      <c r="OTH66" s="557"/>
      <c r="OTI66" s="557"/>
      <c r="OTJ66" s="557"/>
      <c r="OTK66" s="557"/>
      <c r="OTL66" s="557"/>
      <c r="OTM66" s="557"/>
      <c r="OTN66" s="557"/>
      <c r="OTO66" s="557"/>
      <c r="OTP66" s="557"/>
      <c r="OTQ66" s="557"/>
      <c r="OTR66" s="557"/>
      <c r="OTS66" s="661"/>
      <c r="OTT66" s="556"/>
      <c r="OTU66" s="557"/>
      <c r="OTV66" s="557"/>
      <c r="OTW66" s="557"/>
      <c r="OTX66" s="557"/>
      <c r="OTY66" s="557"/>
      <c r="OTZ66" s="557"/>
      <c r="OUA66" s="557"/>
      <c r="OUB66" s="557"/>
      <c r="OUC66" s="557"/>
      <c r="OUD66" s="557"/>
      <c r="OUE66" s="557"/>
      <c r="OUF66" s="557"/>
      <c r="OUG66" s="557"/>
      <c r="OUH66" s="557"/>
      <c r="OUI66" s="557"/>
      <c r="OUJ66" s="557"/>
      <c r="OUK66" s="557"/>
      <c r="OUL66" s="557"/>
      <c r="OUM66" s="661"/>
      <c r="OUN66" s="556"/>
      <c r="OUO66" s="557"/>
      <c r="OUP66" s="557"/>
      <c r="OUQ66" s="557"/>
      <c r="OUR66" s="557"/>
      <c r="OUS66" s="557"/>
      <c r="OUT66" s="557"/>
      <c r="OUU66" s="557"/>
      <c r="OUV66" s="557"/>
      <c r="OUW66" s="557"/>
      <c r="OUX66" s="557"/>
      <c r="OUY66" s="557"/>
      <c r="OUZ66" s="557"/>
      <c r="OVA66" s="557"/>
      <c r="OVB66" s="557"/>
      <c r="OVC66" s="557"/>
      <c r="OVD66" s="557"/>
      <c r="OVE66" s="557"/>
      <c r="OVF66" s="557"/>
      <c r="OVG66" s="661"/>
      <c r="OVH66" s="556"/>
      <c r="OVI66" s="557"/>
      <c r="OVJ66" s="557"/>
      <c r="OVK66" s="557"/>
      <c r="OVL66" s="557"/>
      <c r="OVM66" s="557"/>
      <c r="OVN66" s="557"/>
      <c r="OVO66" s="557"/>
      <c r="OVP66" s="557"/>
      <c r="OVQ66" s="557"/>
      <c r="OVR66" s="557"/>
      <c r="OVS66" s="557"/>
      <c r="OVT66" s="557"/>
      <c r="OVU66" s="557"/>
      <c r="OVV66" s="557"/>
      <c r="OVW66" s="557"/>
      <c r="OVX66" s="557"/>
      <c r="OVY66" s="557"/>
      <c r="OVZ66" s="557"/>
      <c r="OWA66" s="661"/>
      <c r="OWB66" s="556"/>
      <c r="OWC66" s="557"/>
      <c r="OWD66" s="557"/>
      <c r="OWE66" s="557"/>
      <c r="OWF66" s="557"/>
      <c r="OWG66" s="557"/>
      <c r="OWH66" s="557"/>
      <c r="OWI66" s="557"/>
      <c r="OWJ66" s="557"/>
      <c r="OWK66" s="557"/>
      <c r="OWL66" s="557"/>
      <c r="OWM66" s="557"/>
      <c r="OWN66" s="557"/>
      <c r="OWO66" s="557"/>
      <c r="OWP66" s="557"/>
      <c r="OWQ66" s="557"/>
      <c r="OWR66" s="557"/>
      <c r="OWS66" s="557"/>
      <c r="OWT66" s="557"/>
      <c r="OWU66" s="661"/>
      <c r="OWV66" s="556"/>
      <c r="OWW66" s="557"/>
      <c r="OWX66" s="557"/>
      <c r="OWY66" s="557"/>
      <c r="OWZ66" s="557"/>
      <c r="OXA66" s="557"/>
      <c r="OXB66" s="557"/>
      <c r="OXC66" s="557"/>
      <c r="OXD66" s="557"/>
      <c r="OXE66" s="557"/>
      <c r="OXF66" s="557"/>
      <c r="OXG66" s="557"/>
      <c r="OXH66" s="557"/>
      <c r="OXI66" s="557"/>
      <c r="OXJ66" s="557"/>
      <c r="OXK66" s="557"/>
      <c r="OXL66" s="557"/>
      <c r="OXM66" s="557"/>
      <c r="OXN66" s="557"/>
      <c r="OXO66" s="661"/>
      <c r="OXP66" s="556"/>
      <c r="OXQ66" s="557"/>
      <c r="OXR66" s="557"/>
      <c r="OXS66" s="557"/>
      <c r="OXT66" s="557"/>
      <c r="OXU66" s="557"/>
      <c r="OXV66" s="557"/>
      <c r="OXW66" s="557"/>
      <c r="OXX66" s="557"/>
      <c r="OXY66" s="557"/>
      <c r="OXZ66" s="557"/>
      <c r="OYA66" s="557"/>
      <c r="OYB66" s="557"/>
      <c r="OYC66" s="557"/>
      <c r="OYD66" s="557"/>
      <c r="OYE66" s="557"/>
      <c r="OYF66" s="557"/>
      <c r="OYG66" s="557"/>
      <c r="OYH66" s="557"/>
      <c r="OYI66" s="661"/>
      <c r="OYJ66" s="556"/>
      <c r="OYK66" s="557"/>
      <c r="OYL66" s="557"/>
      <c r="OYM66" s="557"/>
      <c r="OYN66" s="557"/>
      <c r="OYO66" s="557"/>
      <c r="OYP66" s="557"/>
      <c r="OYQ66" s="557"/>
      <c r="OYR66" s="557"/>
      <c r="OYS66" s="557"/>
      <c r="OYT66" s="557"/>
      <c r="OYU66" s="557"/>
      <c r="OYV66" s="557"/>
      <c r="OYW66" s="557"/>
      <c r="OYX66" s="557"/>
      <c r="OYY66" s="557"/>
      <c r="OYZ66" s="557"/>
      <c r="OZA66" s="557"/>
      <c r="OZB66" s="557"/>
      <c r="OZC66" s="661"/>
      <c r="OZD66" s="556"/>
      <c r="OZE66" s="557"/>
      <c r="OZF66" s="557"/>
      <c r="OZG66" s="557"/>
      <c r="OZH66" s="557"/>
      <c r="OZI66" s="557"/>
      <c r="OZJ66" s="557"/>
      <c r="OZK66" s="557"/>
      <c r="OZL66" s="557"/>
      <c r="OZM66" s="557"/>
      <c r="OZN66" s="557"/>
      <c r="OZO66" s="557"/>
      <c r="OZP66" s="557"/>
      <c r="OZQ66" s="557"/>
      <c r="OZR66" s="557"/>
      <c r="OZS66" s="557"/>
      <c r="OZT66" s="557"/>
      <c r="OZU66" s="557"/>
      <c r="OZV66" s="557"/>
      <c r="OZW66" s="661"/>
      <c r="OZX66" s="556"/>
      <c r="OZY66" s="557"/>
      <c r="OZZ66" s="557"/>
      <c r="PAA66" s="557"/>
      <c r="PAB66" s="557"/>
      <c r="PAC66" s="557"/>
      <c r="PAD66" s="557"/>
      <c r="PAE66" s="557"/>
      <c r="PAF66" s="557"/>
      <c r="PAG66" s="557"/>
      <c r="PAH66" s="557"/>
      <c r="PAI66" s="557"/>
      <c r="PAJ66" s="557"/>
      <c r="PAK66" s="557"/>
      <c r="PAL66" s="557"/>
      <c r="PAM66" s="557"/>
      <c r="PAN66" s="557"/>
      <c r="PAO66" s="557"/>
      <c r="PAP66" s="557"/>
      <c r="PAQ66" s="661"/>
      <c r="PAR66" s="556"/>
      <c r="PAS66" s="557"/>
      <c r="PAT66" s="557"/>
      <c r="PAU66" s="557"/>
      <c r="PAV66" s="557"/>
      <c r="PAW66" s="557"/>
      <c r="PAX66" s="557"/>
      <c r="PAY66" s="557"/>
      <c r="PAZ66" s="557"/>
      <c r="PBA66" s="557"/>
      <c r="PBB66" s="557"/>
      <c r="PBC66" s="557"/>
      <c r="PBD66" s="557"/>
      <c r="PBE66" s="557"/>
      <c r="PBF66" s="557"/>
      <c r="PBG66" s="557"/>
      <c r="PBH66" s="557"/>
      <c r="PBI66" s="557"/>
      <c r="PBJ66" s="557"/>
      <c r="PBK66" s="661"/>
      <c r="PBL66" s="556"/>
      <c r="PBM66" s="557"/>
      <c r="PBN66" s="557"/>
      <c r="PBO66" s="557"/>
      <c r="PBP66" s="557"/>
      <c r="PBQ66" s="557"/>
      <c r="PBR66" s="557"/>
      <c r="PBS66" s="557"/>
      <c r="PBT66" s="557"/>
      <c r="PBU66" s="557"/>
      <c r="PBV66" s="557"/>
      <c r="PBW66" s="557"/>
      <c r="PBX66" s="557"/>
      <c r="PBY66" s="557"/>
      <c r="PBZ66" s="557"/>
      <c r="PCA66" s="557"/>
      <c r="PCB66" s="557"/>
      <c r="PCC66" s="557"/>
      <c r="PCD66" s="557"/>
      <c r="PCE66" s="661"/>
      <c r="PCF66" s="556"/>
      <c r="PCG66" s="557"/>
      <c r="PCH66" s="557"/>
      <c r="PCI66" s="557"/>
      <c r="PCJ66" s="557"/>
      <c r="PCK66" s="557"/>
      <c r="PCL66" s="557"/>
      <c r="PCM66" s="557"/>
      <c r="PCN66" s="557"/>
      <c r="PCO66" s="557"/>
      <c r="PCP66" s="557"/>
      <c r="PCQ66" s="557"/>
      <c r="PCR66" s="557"/>
      <c r="PCS66" s="557"/>
      <c r="PCT66" s="557"/>
      <c r="PCU66" s="557"/>
      <c r="PCV66" s="557"/>
      <c r="PCW66" s="557"/>
      <c r="PCX66" s="557"/>
      <c r="PCY66" s="661"/>
      <c r="PCZ66" s="556"/>
      <c r="PDA66" s="557"/>
      <c r="PDB66" s="557"/>
      <c r="PDC66" s="557"/>
      <c r="PDD66" s="557"/>
      <c r="PDE66" s="557"/>
      <c r="PDF66" s="557"/>
      <c r="PDG66" s="557"/>
      <c r="PDH66" s="557"/>
      <c r="PDI66" s="557"/>
      <c r="PDJ66" s="557"/>
      <c r="PDK66" s="557"/>
      <c r="PDL66" s="557"/>
      <c r="PDM66" s="557"/>
      <c r="PDN66" s="557"/>
      <c r="PDO66" s="557"/>
      <c r="PDP66" s="557"/>
      <c r="PDQ66" s="557"/>
      <c r="PDR66" s="557"/>
      <c r="PDS66" s="661"/>
      <c r="PDT66" s="556"/>
      <c r="PDU66" s="557"/>
      <c r="PDV66" s="557"/>
      <c r="PDW66" s="557"/>
      <c r="PDX66" s="557"/>
      <c r="PDY66" s="557"/>
      <c r="PDZ66" s="557"/>
      <c r="PEA66" s="557"/>
      <c r="PEB66" s="557"/>
      <c r="PEC66" s="557"/>
      <c r="PED66" s="557"/>
      <c r="PEE66" s="557"/>
      <c r="PEF66" s="557"/>
      <c r="PEG66" s="557"/>
      <c r="PEH66" s="557"/>
      <c r="PEI66" s="557"/>
      <c r="PEJ66" s="557"/>
      <c r="PEK66" s="557"/>
      <c r="PEL66" s="557"/>
      <c r="PEM66" s="661"/>
      <c r="PEN66" s="556"/>
      <c r="PEO66" s="557"/>
      <c r="PEP66" s="557"/>
      <c r="PEQ66" s="557"/>
      <c r="PER66" s="557"/>
      <c r="PES66" s="557"/>
      <c r="PET66" s="557"/>
      <c r="PEU66" s="557"/>
      <c r="PEV66" s="557"/>
      <c r="PEW66" s="557"/>
      <c r="PEX66" s="557"/>
      <c r="PEY66" s="557"/>
      <c r="PEZ66" s="557"/>
      <c r="PFA66" s="557"/>
      <c r="PFB66" s="557"/>
      <c r="PFC66" s="557"/>
      <c r="PFD66" s="557"/>
      <c r="PFE66" s="557"/>
      <c r="PFF66" s="557"/>
      <c r="PFG66" s="661"/>
      <c r="PFH66" s="556"/>
      <c r="PFI66" s="557"/>
      <c r="PFJ66" s="557"/>
      <c r="PFK66" s="557"/>
      <c r="PFL66" s="557"/>
      <c r="PFM66" s="557"/>
      <c r="PFN66" s="557"/>
      <c r="PFO66" s="557"/>
      <c r="PFP66" s="557"/>
      <c r="PFQ66" s="557"/>
      <c r="PFR66" s="557"/>
      <c r="PFS66" s="557"/>
      <c r="PFT66" s="557"/>
      <c r="PFU66" s="557"/>
      <c r="PFV66" s="557"/>
      <c r="PFW66" s="557"/>
      <c r="PFX66" s="557"/>
      <c r="PFY66" s="557"/>
      <c r="PFZ66" s="557"/>
      <c r="PGA66" s="661"/>
      <c r="PGB66" s="556"/>
      <c r="PGC66" s="557"/>
      <c r="PGD66" s="557"/>
      <c r="PGE66" s="557"/>
      <c r="PGF66" s="557"/>
      <c r="PGG66" s="557"/>
      <c r="PGH66" s="557"/>
      <c r="PGI66" s="557"/>
      <c r="PGJ66" s="557"/>
      <c r="PGK66" s="557"/>
      <c r="PGL66" s="557"/>
      <c r="PGM66" s="557"/>
      <c r="PGN66" s="557"/>
      <c r="PGO66" s="557"/>
      <c r="PGP66" s="557"/>
      <c r="PGQ66" s="557"/>
      <c r="PGR66" s="557"/>
      <c r="PGS66" s="557"/>
      <c r="PGT66" s="557"/>
      <c r="PGU66" s="661"/>
      <c r="PGV66" s="556"/>
      <c r="PGW66" s="557"/>
      <c r="PGX66" s="557"/>
      <c r="PGY66" s="557"/>
      <c r="PGZ66" s="557"/>
      <c r="PHA66" s="557"/>
      <c r="PHB66" s="557"/>
      <c r="PHC66" s="557"/>
      <c r="PHD66" s="557"/>
      <c r="PHE66" s="557"/>
      <c r="PHF66" s="557"/>
      <c r="PHG66" s="557"/>
      <c r="PHH66" s="557"/>
      <c r="PHI66" s="557"/>
      <c r="PHJ66" s="557"/>
      <c r="PHK66" s="557"/>
      <c r="PHL66" s="557"/>
      <c r="PHM66" s="557"/>
      <c r="PHN66" s="557"/>
      <c r="PHO66" s="661"/>
      <c r="PHP66" s="556"/>
      <c r="PHQ66" s="557"/>
      <c r="PHR66" s="557"/>
      <c r="PHS66" s="557"/>
      <c r="PHT66" s="557"/>
      <c r="PHU66" s="557"/>
      <c r="PHV66" s="557"/>
      <c r="PHW66" s="557"/>
      <c r="PHX66" s="557"/>
      <c r="PHY66" s="557"/>
      <c r="PHZ66" s="557"/>
      <c r="PIA66" s="557"/>
      <c r="PIB66" s="557"/>
      <c r="PIC66" s="557"/>
      <c r="PID66" s="557"/>
      <c r="PIE66" s="557"/>
      <c r="PIF66" s="557"/>
      <c r="PIG66" s="557"/>
      <c r="PIH66" s="557"/>
      <c r="PII66" s="661"/>
      <c r="PIJ66" s="556"/>
      <c r="PIK66" s="557"/>
      <c r="PIL66" s="557"/>
      <c r="PIM66" s="557"/>
      <c r="PIN66" s="557"/>
      <c r="PIO66" s="557"/>
      <c r="PIP66" s="557"/>
      <c r="PIQ66" s="557"/>
      <c r="PIR66" s="557"/>
      <c r="PIS66" s="557"/>
      <c r="PIT66" s="557"/>
      <c r="PIU66" s="557"/>
      <c r="PIV66" s="557"/>
      <c r="PIW66" s="557"/>
      <c r="PIX66" s="557"/>
      <c r="PIY66" s="557"/>
      <c r="PIZ66" s="557"/>
      <c r="PJA66" s="557"/>
      <c r="PJB66" s="557"/>
      <c r="PJC66" s="661"/>
      <c r="PJD66" s="556"/>
      <c r="PJE66" s="557"/>
      <c r="PJF66" s="557"/>
      <c r="PJG66" s="557"/>
      <c r="PJH66" s="557"/>
      <c r="PJI66" s="557"/>
      <c r="PJJ66" s="557"/>
      <c r="PJK66" s="557"/>
      <c r="PJL66" s="557"/>
      <c r="PJM66" s="557"/>
      <c r="PJN66" s="557"/>
      <c r="PJO66" s="557"/>
      <c r="PJP66" s="557"/>
      <c r="PJQ66" s="557"/>
      <c r="PJR66" s="557"/>
      <c r="PJS66" s="557"/>
      <c r="PJT66" s="557"/>
      <c r="PJU66" s="557"/>
      <c r="PJV66" s="557"/>
      <c r="PJW66" s="661"/>
      <c r="PJX66" s="556"/>
      <c r="PJY66" s="557"/>
      <c r="PJZ66" s="557"/>
      <c r="PKA66" s="557"/>
      <c r="PKB66" s="557"/>
      <c r="PKC66" s="557"/>
      <c r="PKD66" s="557"/>
      <c r="PKE66" s="557"/>
      <c r="PKF66" s="557"/>
      <c r="PKG66" s="557"/>
      <c r="PKH66" s="557"/>
      <c r="PKI66" s="557"/>
      <c r="PKJ66" s="557"/>
      <c r="PKK66" s="557"/>
      <c r="PKL66" s="557"/>
      <c r="PKM66" s="557"/>
      <c r="PKN66" s="557"/>
      <c r="PKO66" s="557"/>
      <c r="PKP66" s="557"/>
      <c r="PKQ66" s="661"/>
      <c r="PKR66" s="556"/>
      <c r="PKS66" s="557"/>
      <c r="PKT66" s="557"/>
      <c r="PKU66" s="557"/>
      <c r="PKV66" s="557"/>
      <c r="PKW66" s="557"/>
      <c r="PKX66" s="557"/>
      <c r="PKY66" s="557"/>
      <c r="PKZ66" s="557"/>
      <c r="PLA66" s="557"/>
      <c r="PLB66" s="557"/>
      <c r="PLC66" s="557"/>
      <c r="PLD66" s="557"/>
      <c r="PLE66" s="557"/>
      <c r="PLF66" s="557"/>
      <c r="PLG66" s="557"/>
      <c r="PLH66" s="557"/>
      <c r="PLI66" s="557"/>
      <c r="PLJ66" s="557"/>
      <c r="PLK66" s="661"/>
      <c r="PLL66" s="556"/>
      <c r="PLM66" s="557"/>
      <c r="PLN66" s="557"/>
      <c r="PLO66" s="557"/>
      <c r="PLP66" s="557"/>
      <c r="PLQ66" s="557"/>
      <c r="PLR66" s="557"/>
      <c r="PLS66" s="557"/>
      <c r="PLT66" s="557"/>
      <c r="PLU66" s="557"/>
      <c r="PLV66" s="557"/>
      <c r="PLW66" s="557"/>
      <c r="PLX66" s="557"/>
      <c r="PLY66" s="557"/>
      <c r="PLZ66" s="557"/>
      <c r="PMA66" s="557"/>
      <c r="PMB66" s="557"/>
      <c r="PMC66" s="557"/>
      <c r="PMD66" s="557"/>
      <c r="PME66" s="661"/>
      <c r="PMF66" s="556"/>
      <c r="PMG66" s="557"/>
      <c r="PMH66" s="557"/>
      <c r="PMI66" s="557"/>
      <c r="PMJ66" s="557"/>
      <c r="PMK66" s="557"/>
      <c r="PML66" s="557"/>
      <c r="PMM66" s="557"/>
      <c r="PMN66" s="557"/>
      <c r="PMO66" s="557"/>
      <c r="PMP66" s="557"/>
      <c r="PMQ66" s="557"/>
      <c r="PMR66" s="557"/>
      <c r="PMS66" s="557"/>
      <c r="PMT66" s="557"/>
      <c r="PMU66" s="557"/>
      <c r="PMV66" s="557"/>
      <c r="PMW66" s="557"/>
      <c r="PMX66" s="557"/>
      <c r="PMY66" s="661"/>
      <c r="PMZ66" s="556"/>
      <c r="PNA66" s="557"/>
      <c r="PNB66" s="557"/>
      <c r="PNC66" s="557"/>
      <c r="PND66" s="557"/>
      <c r="PNE66" s="557"/>
      <c r="PNF66" s="557"/>
      <c r="PNG66" s="557"/>
      <c r="PNH66" s="557"/>
      <c r="PNI66" s="557"/>
      <c r="PNJ66" s="557"/>
      <c r="PNK66" s="557"/>
      <c r="PNL66" s="557"/>
      <c r="PNM66" s="557"/>
      <c r="PNN66" s="557"/>
      <c r="PNO66" s="557"/>
      <c r="PNP66" s="557"/>
      <c r="PNQ66" s="557"/>
      <c r="PNR66" s="557"/>
      <c r="PNS66" s="661"/>
      <c r="PNT66" s="556"/>
      <c r="PNU66" s="557"/>
      <c r="PNV66" s="557"/>
      <c r="PNW66" s="557"/>
      <c r="PNX66" s="557"/>
      <c r="PNY66" s="557"/>
      <c r="PNZ66" s="557"/>
      <c r="POA66" s="557"/>
      <c r="POB66" s="557"/>
      <c r="POC66" s="557"/>
      <c r="POD66" s="557"/>
      <c r="POE66" s="557"/>
      <c r="POF66" s="557"/>
      <c r="POG66" s="557"/>
      <c r="POH66" s="557"/>
      <c r="POI66" s="557"/>
      <c r="POJ66" s="557"/>
      <c r="POK66" s="557"/>
      <c r="POL66" s="557"/>
      <c r="POM66" s="661"/>
      <c r="PON66" s="556"/>
      <c r="POO66" s="557"/>
      <c r="POP66" s="557"/>
      <c r="POQ66" s="557"/>
      <c r="POR66" s="557"/>
      <c r="POS66" s="557"/>
      <c r="POT66" s="557"/>
      <c r="POU66" s="557"/>
      <c r="POV66" s="557"/>
      <c r="POW66" s="557"/>
      <c r="POX66" s="557"/>
      <c r="POY66" s="557"/>
      <c r="POZ66" s="557"/>
      <c r="PPA66" s="557"/>
      <c r="PPB66" s="557"/>
      <c r="PPC66" s="557"/>
      <c r="PPD66" s="557"/>
      <c r="PPE66" s="557"/>
      <c r="PPF66" s="557"/>
      <c r="PPG66" s="661"/>
      <c r="PPH66" s="556"/>
      <c r="PPI66" s="557"/>
      <c r="PPJ66" s="557"/>
      <c r="PPK66" s="557"/>
      <c r="PPL66" s="557"/>
      <c r="PPM66" s="557"/>
      <c r="PPN66" s="557"/>
      <c r="PPO66" s="557"/>
      <c r="PPP66" s="557"/>
      <c r="PPQ66" s="557"/>
      <c r="PPR66" s="557"/>
      <c r="PPS66" s="557"/>
      <c r="PPT66" s="557"/>
      <c r="PPU66" s="557"/>
      <c r="PPV66" s="557"/>
      <c r="PPW66" s="557"/>
      <c r="PPX66" s="557"/>
      <c r="PPY66" s="557"/>
      <c r="PPZ66" s="557"/>
      <c r="PQA66" s="661"/>
      <c r="PQB66" s="556"/>
      <c r="PQC66" s="557"/>
      <c r="PQD66" s="557"/>
      <c r="PQE66" s="557"/>
      <c r="PQF66" s="557"/>
      <c r="PQG66" s="557"/>
      <c r="PQH66" s="557"/>
      <c r="PQI66" s="557"/>
      <c r="PQJ66" s="557"/>
      <c r="PQK66" s="557"/>
      <c r="PQL66" s="557"/>
      <c r="PQM66" s="557"/>
      <c r="PQN66" s="557"/>
      <c r="PQO66" s="557"/>
      <c r="PQP66" s="557"/>
      <c r="PQQ66" s="557"/>
      <c r="PQR66" s="557"/>
      <c r="PQS66" s="557"/>
      <c r="PQT66" s="557"/>
      <c r="PQU66" s="661"/>
      <c r="PQV66" s="556"/>
      <c r="PQW66" s="557"/>
      <c r="PQX66" s="557"/>
      <c r="PQY66" s="557"/>
      <c r="PQZ66" s="557"/>
      <c r="PRA66" s="557"/>
      <c r="PRB66" s="557"/>
      <c r="PRC66" s="557"/>
      <c r="PRD66" s="557"/>
      <c r="PRE66" s="557"/>
      <c r="PRF66" s="557"/>
      <c r="PRG66" s="557"/>
      <c r="PRH66" s="557"/>
      <c r="PRI66" s="557"/>
      <c r="PRJ66" s="557"/>
      <c r="PRK66" s="557"/>
      <c r="PRL66" s="557"/>
      <c r="PRM66" s="557"/>
      <c r="PRN66" s="557"/>
      <c r="PRO66" s="661"/>
      <c r="PRP66" s="556"/>
      <c r="PRQ66" s="557"/>
      <c r="PRR66" s="557"/>
      <c r="PRS66" s="557"/>
      <c r="PRT66" s="557"/>
      <c r="PRU66" s="557"/>
      <c r="PRV66" s="557"/>
      <c r="PRW66" s="557"/>
      <c r="PRX66" s="557"/>
      <c r="PRY66" s="557"/>
      <c r="PRZ66" s="557"/>
      <c r="PSA66" s="557"/>
      <c r="PSB66" s="557"/>
      <c r="PSC66" s="557"/>
      <c r="PSD66" s="557"/>
      <c r="PSE66" s="557"/>
      <c r="PSF66" s="557"/>
      <c r="PSG66" s="557"/>
      <c r="PSH66" s="557"/>
      <c r="PSI66" s="661"/>
      <c r="PSJ66" s="556"/>
      <c r="PSK66" s="557"/>
      <c r="PSL66" s="557"/>
      <c r="PSM66" s="557"/>
      <c r="PSN66" s="557"/>
      <c r="PSO66" s="557"/>
      <c r="PSP66" s="557"/>
      <c r="PSQ66" s="557"/>
      <c r="PSR66" s="557"/>
      <c r="PSS66" s="557"/>
      <c r="PST66" s="557"/>
      <c r="PSU66" s="557"/>
      <c r="PSV66" s="557"/>
      <c r="PSW66" s="557"/>
      <c r="PSX66" s="557"/>
      <c r="PSY66" s="557"/>
      <c r="PSZ66" s="557"/>
      <c r="PTA66" s="557"/>
      <c r="PTB66" s="557"/>
      <c r="PTC66" s="661"/>
      <c r="PTD66" s="556"/>
      <c r="PTE66" s="557"/>
      <c r="PTF66" s="557"/>
      <c r="PTG66" s="557"/>
      <c r="PTH66" s="557"/>
      <c r="PTI66" s="557"/>
      <c r="PTJ66" s="557"/>
      <c r="PTK66" s="557"/>
      <c r="PTL66" s="557"/>
      <c r="PTM66" s="557"/>
      <c r="PTN66" s="557"/>
      <c r="PTO66" s="557"/>
      <c r="PTP66" s="557"/>
      <c r="PTQ66" s="557"/>
      <c r="PTR66" s="557"/>
      <c r="PTS66" s="557"/>
      <c r="PTT66" s="557"/>
      <c r="PTU66" s="557"/>
      <c r="PTV66" s="557"/>
      <c r="PTW66" s="661"/>
      <c r="PTX66" s="556"/>
      <c r="PTY66" s="557"/>
      <c r="PTZ66" s="557"/>
      <c r="PUA66" s="557"/>
      <c r="PUB66" s="557"/>
      <c r="PUC66" s="557"/>
      <c r="PUD66" s="557"/>
      <c r="PUE66" s="557"/>
      <c r="PUF66" s="557"/>
      <c r="PUG66" s="557"/>
      <c r="PUH66" s="557"/>
      <c r="PUI66" s="557"/>
      <c r="PUJ66" s="557"/>
      <c r="PUK66" s="557"/>
      <c r="PUL66" s="557"/>
      <c r="PUM66" s="557"/>
      <c r="PUN66" s="557"/>
      <c r="PUO66" s="557"/>
      <c r="PUP66" s="557"/>
      <c r="PUQ66" s="661"/>
      <c r="PUR66" s="556"/>
      <c r="PUS66" s="557"/>
      <c r="PUT66" s="557"/>
      <c r="PUU66" s="557"/>
      <c r="PUV66" s="557"/>
      <c r="PUW66" s="557"/>
      <c r="PUX66" s="557"/>
      <c r="PUY66" s="557"/>
      <c r="PUZ66" s="557"/>
      <c r="PVA66" s="557"/>
      <c r="PVB66" s="557"/>
      <c r="PVC66" s="557"/>
      <c r="PVD66" s="557"/>
      <c r="PVE66" s="557"/>
      <c r="PVF66" s="557"/>
      <c r="PVG66" s="557"/>
      <c r="PVH66" s="557"/>
      <c r="PVI66" s="557"/>
      <c r="PVJ66" s="557"/>
      <c r="PVK66" s="661"/>
      <c r="PVL66" s="556"/>
      <c r="PVM66" s="557"/>
      <c r="PVN66" s="557"/>
      <c r="PVO66" s="557"/>
      <c r="PVP66" s="557"/>
      <c r="PVQ66" s="557"/>
      <c r="PVR66" s="557"/>
      <c r="PVS66" s="557"/>
      <c r="PVT66" s="557"/>
      <c r="PVU66" s="557"/>
      <c r="PVV66" s="557"/>
      <c r="PVW66" s="557"/>
      <c r="PVX66" s="557"/>
      <c r="PVY66" s="557"/>
      <c r="PVZ66" s="557"/>
      <c r="PWA66" s="557"/>
      <c r="PWB66" s="557"/>
      <c r="PWC66" s="557"/>
      <c r="PWD66" s="557"/>
      <c r="PWE66" s="661"/>
      <c r="PWF66" s="556"/>
      <c r="PWG66" s="557"/>
      <c r="PWH66" s="557"/>
      <c r="PWI66" s="557"/>
      <c r="PWJ66" s="557"/>
      <c r="PWK66" s="557"/>
      <c r="PWL66" s="557"/>
      <c r="PWM66" s="557"/>
      <c r="PWN66" s="557"/>
      <c r="PWO66" s="557"/>
      <c r="PWP66" s="557"/>
      <c r="PWQ66" s="557"/>
      <c r="PWR66" s="557"/>
      <c r="PWS66" s="557"/>
      <c r="PWT66" s="557"/>
      <c r="PWU66" s="557"/>
      <c r="PWV66" s="557"/>
      <c r="PWW66" s="557"/>
      <c r="PWX66" s="557"/>
      <c r="PWY66" s="661"/>
      <c r="PWZ66" s="556"/>
      <c r="PXA66" s="557"/>
      <c r="PXB66" s="557"/>
      <c r="PXC66" s="557"/>
      <c r="PXD66" s="557"/>
      <c r="PXE66" s="557"/>
      <c r="PXF66" s="557"/>
      <c r="PXG66" s="557"/>
      <c r="PXH66" s="557"/>
      <c r="PXI66" s="557"/>
      <c r="PXJ66" s="557"/>
      <c r="PXK66" s="557"/>
      <c r="PXL66" s="557"/>
      <c r="PXM66" s="557"/>
      <c r="PXN66" s="557"/>
      <c r="PXO66" s="557"/>
      <c r="PXP66" s="557"/>
      <c r="PXQ66" s="557"/>
      <c r="PXR66" s="557"/>
      <c r="PXS66" s="661"/>
      <c r="PXT66" s="556"/>
      <c r="PXU66" s="557"/>
      <c r="PXV66" s="557"/>
      <c r="PXW66" s="557"/>
      <c r="PXX66" s="557"/>
      <c r="PXY66" s="557"/>
      <c r="PXZ66" s="557"/>
      <c r="PYA66" s="557"/>
      <c r="PYB66" s="557"/>
      <c r="PYC66" s="557"/>
      <c r="PYD66" s="557"/>
      <c r="PYE66" s="557"/>
      <c r="PYF66" s="557"/>
      <c r="PYG66" s="557"/>
      <c r="PYH66" s="557"/>
      <c r="PYI66" s="557"/>
      <c r="PYJ66" s="557"/>
      <c r="PYK66" s="557"/>
      <c r="PYL66" s="557"/>
      <c r="PYM66" s="661"/>
      <c r="PYN66" s="556"/>
      <c r="PYO66" s="557"/>
      <c r="PYP66" s="557"/>
      <c r="PYQ66" s="557"/>
      <c r="PYR66" s="557"/>
      <c r="PYS66" s="557"/>
      <c r="PYT66" s="557"/>
      <c r="PYU66" s="557"/>
      <c r="PYV66" s="557"/>
      <c r="PYW66" s="557"/>
      <c r="PYX66" s="557"/>
      <c r="PYY66" s="557"/>
      <c r="PYZ66" s="557"/>
      <c r="PZA66" s="557"/>
      <c r="PZB66" s="557"/>
      <c r="PZC66" s="557"/>
      <c r="PZD66" s="557"/>
      <c r="PZE66" s="557"/>
      <c r="PZF66" s="557"/>
      <c r="PZG66" s="661"/>
      <c r="PZH66" s="556"/>
      <c r="PZI66" s="557"/>
      <c r="PZJ66" s="557"/>
      <c r="PZK66" s="557"/>
      <c r="PZL66" s="557"/>
      <c r="PZM66" s="557"/>
      <c r="PZN66" s="557"/>
      <c r="PZO66" s="557"/>
      <c r="PZP66" s="557"/>
      <c r="PZQ66" s="557"/>
      <c r="PZR66" s="557"/>
      <c r="PZS66" s="557"/>
      <c r="PZT66" s="557"/>
      <c r="PZU66" s="557"/>
      <c r="PZV66" s="557"/>
      <c r="PZW66" s="557"/>
      <c r="PZX66" s="557"/>
      <c r="PZY66" s="557"/>
      <c r="PZZ66" s="557"/>
      <c r="QAA66" s="661"/>
      <c r="QAB66" s="556"/>
      <c r="QAC66" s="557"/>
      <c r="QAD66" s="557"/>
      <c r="QAE66" s="557"/>
      <c r="QAF66" s="557"/>
      <c r="QAG66" s="557"/>
      <c r="QAH66" s="557"/>
      <c r="QAI66" s="557"/>
      <c r="QAJ66" s="557"/>
      <c r="QAK66" s="557"/>
      <c r="QAL66" s="557"/>
      <c r="QAM66" s="557"/>
      <c r="QAN66" s="557"/>
      <c r="QAO66" s="557"/>
      <c r="QAP66" s="557"/>
      <c r="QAQ66" s="557"/>
      <c r="QAR66" s="557"/>
      <c r="QAS66" s="557"/>
      <c r="QAT66" s="557"/>
      <c r="QAU66" s="661"/>
      <c r="QAV66" s="556"/>
      <c r="QAW66" s="557"/>
      <c r="QAX66" s="557"/>
      <c r="QAY66" s="557"/>
      <c r="QAZ66" s="557"/>
      <c r="QBA66" s="557"/>
      <c r="QBB66" s="557"/>
      <c r="QBC66" s="557"/>
      <c r="QBD66" s="557"/>
      <c r="QBE66" s="557"/>
      <c r="QBF66" s="557"/>
      <c r="QBG66" s="557"/>
      <c r="QBH66" s="557"/>
      <c r="QBI66" s="557"/>
      <c r="QBJ66" s="557"/>
      <c r="QBK66" s="557"/>
      <c r="QBL66" s="557"/>
      <c r="QBM66" s="557"/>
      <c r="QBN66" s="557"/>
      <c r="QBO66" s="661"/>
      <c r="QBP66" s="556"/>
      <c r="QBQ66" s="557"/>
      <c r="QBR66" s="557"/>
      <c r="QBS66" s="557"/>
      <c r="QBT66" s="557"/>
      <c r="QBU66" s="557"/>
      <c r="QBV66" s="557"/>
      <c r="QBW66" s="557"/>
      <c r="QBX66" s="557"/>
      <c r="QBY66" s="557"/>
      <c r="QBZ66" s="557"/>
      <c r="QCA66" s="557"/>
      <c r="QCB66" s="557"/>
      <c r="QCC66" s="557"/>
      <c r="QCD66" s="557"/>
      <c r="QCE66" s="557"/>
      <c r="QCF66" s="557"/>
      <c r="QCG66" s="557"/>
      <c r="QCH66" s="557"/>
      <c r="QCI66" s="661"/>
      <c r="QCJ66" s="556"/>
      <c r="QCK66" s="557"/>
      <c r="QCL66" s="557"/>
      <c r="QCM66" s="557"/>
      <c r="QCN66" s="557"/>
      <c r="QCO66" s="557"/>
      <c r="QCP66" s="557"/>
      <c r="QCQ66" s="557"/>
      <c r="QCR66" s="557"/>
      <c r="QCS66" s="557"/>
      <c r="QCT66" s="557"/>
      <c r="QCU66" s="557"/>
      <c r="QCV66" s="557"/>
      <c r="QCW66" s="557"/>
      <c r="QCX66" s="557"/>
      <c r="QCY66" s="557"/>
      <c r="QCZ66" s="557"/>
      <c r="QDA66" s="557"/>
      <c r="QDB66" s="557"/>
      <c r="QDC66" s="661"/>
      <c r="QDD66" s="556"/>
      <c r="QDE66" s="557"/>
      <c r="QDF66" s="557"/>
      <c r="QDG66" s="557"/>
      <c r="QDH66" s="557"/>
      <c r="QDI66" s="557"/>
      <c r="QDJ66" s="557"/>
      <c r="QDK66" s="557"/>
      <c r="QDL66" s="557"/>
      <c r="QDM66" s="557"/>
      <c r="QDN66" s="557"/>
      <c r="QDO66" s="557"/>
      <c r="QDP66" s="557"/>
      <c r="QDQ66" s="557"/>
      <c r="QDR66" s="557"/>
      <c r="QDS66" s="557"/>
      <c r="QDT66" s="557"/>
      <c r="QDU66" s="557"/>
      <c r="QDV66" s="557"/>
      <c r="QDW66" s="661"/>
      <c r="QDX66" s="556"/>
      <c r="QDY66" s="557"/>
      <c r="QDZ66" s="557"/>
      <c r="QEA66" s="557"/>
      <c r="QEB66" s="557"/>
      <c r="QEC66" s="557"/>
      <c r="QED66" s="557"/>
      <c r="QEE66" s="557"/>
      <c r="QEF66" s="557"/>
      <c r="QEG66" s="557"/>
      <c r="QEH66" s="557"/>
      <c r="QEI66" s="557"/>
      <c r="QEJ66" s="557"/>
      <c r="QEK66" s="557"/>
      <c r="QEL66" s="557"/>
      <c r="QEM66" s="557"/>
      <c r="QEN66" s="557"/>
      <c r="QEO66" s="557"/>
      <c r="QEP66" s="557"/>
      <c r="QEQ66" s="661"/>
      <c r="QER66" s="556"/>
      <c r="QES66" s="557"/>
      <c r="QET66" s="557"/>
      <c r="QEU66" s="557"/>
      <c r="QEV66" s="557"/>
      <c r="QEW66" s="557"/>
      <c r="QEX66" s="557"/>
      <c r="QEY66" s="557"/>
      <c r="QEZ66" s="557"/>
      <c r="QFA66" s="557"/>
      <c r="QFB66" s="557"/>
      <c r="QFC66" s="557"/>
      <c r="QFD66" s="557"/>
      <c r="QFE66" s="557"/>
      <c r="QFF66" s="557"/>
      <c r="QFG66" s="557"/>
      <c r="QFH66" s="557"/>
      <c r="QFI66" s="557"/>
      <c r="QFJ66" s="557"/>
      <c r="QFK66" s="661"/>
      <c r="QFL66" s="556"/>
      <c r="QFM66" s="557"/>
      <c r="QFN66" s="557"/>
      <c r="QFO66" s="557"/>
      <c r="QFP66" s="557"/>
      <c r="QFQ66" s="557"/>
      <c r="QFR66" s="557"/>
      <c r="QFS66" s="557"/>
      <c r="QFT66" s="557"/>
      <c r="QFU66" s="557"/>
      <c r="QFV66" s="557"/>
      <c r="QFW66" s="557"/>
      <c r="QFX66" s="557"/>
      <c r="QFY66" s="557"/>
      <c r="QFZ66" s="557"/>
      <c r="QGA66" s="557"/>
      <c r="QGB66" s="557"/>
      <c r="QGC66" s="557"/>
      <c r="QGD66" s="557"/>
      <c r="QGE66" s="661"/>
      <c r="QGF66" s="556"/>
      <c r="QGG66" s="557"/>
      <c r="QGH66" s="557"/>
      <c r="QGI66" s="557"/>
      <c r="QGJ66" s="557"/>
      <c r="QGK66" s="557"/>
      <c r="QGL66" s="557"/>
      <c r="QGM66" s="557"/>
      <c r="QGN66" s="557"/>
      <c r="QGO66" s="557"/>
      <c r="QGP66" s="557"/>
      <c r="QGQ66" s="557"/>
      <c r="QGR66" s="557"/>
      <c r="QGS66" s="557"/>
      <c r="QGT66" s="557"/>
      <c r="QGU66" s="557"/>
      <c r="QGV66" s="557"/>
      <c r="QGW66" s="557"/>
      <c r="QGX66" s="557"/>
      <c r="QGY66" s="661"/>
      <c r="QGZ66" s="556"/>
      <c r="QHA66" s="557"/>
      <c r="QHB66" s="557"/>
      <c r="QHC66" s="557"/>
      <c r="QHD66" s="557"/>
      <c r="QHE66" s="557"/>
      <c r="QHF66" s="557"/>
      <c r="QHG66" s="557"/>
      <c r="QHH66" s="557"/>
      <c r="QHI66" s="557"/>
      <c r="QHJ66" s="557"/>
      <c r="QHK66" s="557"/>
      <c r="QHL66" s="557"/>
      <c r="QHM66" s="557"/>
      <c r="QHN66" s="557"/>
      <c r="QHO66" s="557"/>
      <c r="QHP66" s="557"/>
      <c r="QHQ66" s="557"/>
      <c r="QHR66" s="557"/>
      <c r="QHS66" s="661"/>
      <c r="QHT66" s="556"/>
      <c r="QHU66" s="557"/>
      <c r="QHV66" s="557"/>
      <c r="QHW66" s="557"/>
      <c r="QHX66" s="557"/>
      <c r="QHY66" s="557"/>
      <c r="QHZ66" s="557"/>
      <c r="QIA66" s="557"/>
      <c r="QIB66" s="557"/>
      <c r="QIC66" s="557"/>
      <c r="QID66" s="557"/>
      <c r="QIE66" s="557"/>
      <c r="QIF66" s="557"/>
      <c r="QIG66" s="557"/>
      <c r="QIH66" s="557"/>
      <c r="QII66" s="557"/>
      <c r="QIJ66" s="557"/>
      <c r="QIK66" s="557"/>
      <c r="QIL66" s="557"/>
      <c r="QIM66" s="661"/>
      <c r="QIN66" s="556"/>
      <c r="QIO66" s="557"/>
      <c r="QIP66" s="557"/>
      <c r="QIQ66" s="557"/>
      <c r="QIR66" s="557"/>
      <c r="QIS66" s="557"/>
      <c r="QIT66" s="557"/>
      <c r="QIU66" s="557"/>
      <c r="QIV66" s="557"/>
      <c r="QIW66" s="557"/>
      <c r="QIX66" s="557"/>
      <c r="QIY66" s="557"/>
      <c r="QIZ66" s="557"/>
      <c r="QJA66" s="557"/>
      <c r="QJB66" s="557"/>
      <c r="QJC66" s="557"/>
      <c r="QJD66" s="557"/>
      <c r="QJE66" s="557"/>
      <c r="QJF66" s="557"/>
      <c r="QJG66" s="661"/>
      <c r="QJH66" s="556"/>
      <c r="QJI66" s="557"/>
      <c r="QJJ66" s="557"/>
      <c r="QJK66" s="557"/>
      <c r="QJL66" s="557"/>
      <c r="QJM66" s="557"/>
      <c r="QJN66" s="557"/>
      <c r="QJO66" s="557"/>
      <c r="QJP66" s="557"/>
      <c r="QJQ66" s="557"/>
      <c r="QJR66" s="557"/>
      <c r="QJS66" s="557"/>
      <c r="QJT66" s="557"/>
      <c r="QJU66" s="557"/>
      <c r="QJV66" s="557"/>
      <c r="QJW66" s="557"/>
      <c r="QJX66" s="557"/>
      <c r="QJY66" s="557"/>
      <c r="QJZ66" s="557"/>
      <c r="QKA66" s="661"/>
      <c r="QKB66" s="556"/>
      <c r="QKC66" s="557"/>
      <c r="QKD66" s="557"/>
      <c r="QKE66" s="557"/>
      <c r="QKF66" s="557"/>
      <c r="QKG66" s="557"/>
      <c r="QKH66" s="557"/>
      <c r="QKI66" s="557"/>
      <c r="QKJ66" s="557"/>
      <c r="QKK66" s="557"/>
      <c r="QKL66" s="557"/>
      <c r="QKM66" s="557"/>
      <c r="QKN66" s="557"/>
      <c r="QKO66" s="557"/>
      <c r="QKP66" s="557"/>
      <c r="QKQ66" s="557"/>
      <c r="QKR66" s="557"/>
      <c r="QKS66" s="557"/>
      <c r="QKT66" s="557"/>
      <c r="QKU66" s="661"/>
      <c r="QKV66" s="556"/>
      <c r="QKW66" s="557"/>
      <c r="QKX66" s="557"/>
      <c r="QKY66" s="557"/>
      <c r="QKZ66" s="557"/>
      <c r="QLA66" s="557"/>
      <c r="QLB66" s="557"/>
      <c r="QLC66" s="557"/>
      <c r="QLD66" s="557"/>
      <c r="QLE66" s="557"/>
      <c r="QLF66" s="557"/>
      <c r="QLG66" s="557"/>
      <c r="QLH66" s="557"/>
      <c r="QLI66" s="557"/>
      <c r="QLJ66" s="557"/>
      <c r="QLK66" s="557"/>
      <c r="QLL66" s="557"/>
      <c r="QLM66" s="557"/>
      <c r="QLN66" s="557"/>
      <c r="QLO66" s="661"/>
      <c r="QLP66" s="556"/>
      <c r="QLQ66" s="557"/>
      <c r="QLR66" s="557"/>
      <c r="QLS66" s="557"/>
      <c r="QLT66" s="557"/>
      <c r="QLU66" s="557"/>
      <c r="QLV66" s="557"/>
      <c r="QLW66" s="557"/>
      <c r="QLX66" s="557"/>
      <c r="QLY66" s="557"/>
      <c r="QLZ66" s="557"/>
      <c r="QMA66" s="557"/>
      <c r="QMB66" s="557"/>
      <c r="QMC66" s="557"/>
      <c r="QMD66" s="557"/>
      <c r="QME66" s="557"/>
      <c r="QMF66" s="557"/>
      <c r="QMG66" s="557"/>
      <c r="QMH66" s="557"/>
      <c r="QMI66" s="661"/>
      <c r="QMJ66" s="556"/>
      <c r="QMK66" s="557"/>
      <c r="QML66" s="557"/>
      <c r="QMM66" s="557"/>
      <c r="QMN66" s="557"/>
      <c r="QMO66" s="557"/>
      <c r="QMP66" s="557"/>
      <c r="QMQ66" s="557"/>
      <c r="QMR66" s="557"/>
      <c r="QMS66" s="557"/>
      <c r="QMT66" s="557"/>
      <c r="QMU66" s="557"/>
      <c r="QMV66" s="557"/>
      <c r="QMW66" s="557"/>
      <c r="QMX66" s="557"/>
      <c r="QMY66" s="557"/>
      <c r="QMZ66" s="557"/>
      <c r="QNA66" s="557"/>
      <c r="QNB66" s="557"/>
      <c r="QNC66" s="661"/>
      <c r="QND66" s="556"/>
      <c r="QNE66" s="557"/>
      <c r="QNF66" s="557"/>
      <c r="QNG66" s="557"/>
      <c r="QNH66" s="557"/>
      <c r="QNI66" s="557"/>
      <c r="QNJ66" s="557"/>
      <c r="QNK66" s="557"/>
      <c r="QNL66" s="557"/>
      <c r="QNM66" s="557"/>
      <c r="QNN66" s="557"/>
      <c r="QNO66" s="557"/>
      <c r="QNP66" s="557"/>
      <c r="QNQ66" s="557"/>
      <c r="QNR66" s="557"/>
      <c r="QNS66" s="557"/>
      <c r="QNT66" s="557"/>
      <c r="QNU66" s="557"/>
      <c r="QNV66" s="557"/>
      <c r="QNW66" s="661"/>
      <c r="QNX66" s="556"/>
      <c r="QNY66" s="557"/>
      <c r="QNZ66" s="557"/>
      <c r="QOA66" s="557"/>
      <c r="QOB66" s="557"/>
      <c r="QOC66" s="557"/>
      <c r="QOD66" s="557"/>
      <c r="QOE66" s="557"/>
      <c r="QOF66" s="557"/>
      <c r="QOG66" s="557"/>
      <c r="QOH66" s="557"/>
      <c r="QOI66" s="557"/>
      <c r="QOJ66" s="557"/>
      <c r="QOK66" s="557"/>
      <c r="QOL66" s="557"/>
      <c r="QOM66" s="557"/>
      <c r="QON66" s="557"/>
      <c r="QOO66" s="557"/>
      <c r="QOP66" s="557"/>
      <c r="QOQ66" s="661"/>
      <c r="QOR66" s="556"/>
      <c r="QOS66" s="557"/>
      <c r="QOT66" s="557"/>
      <c r="QOU66" s="557"/>
      <c r="QOV66" s="557"/>
      <c r="QOW66" s="557"/>
      <c r="QOX66" s="557"/>
      <c r="QOY66" s="557"/>
      <c r="QOZ66" s="557"/>
      <c r="QPA66" s="557"/>
      <c r="QPB66" s="557"/>
      <c r="QPC66" s="557"/>
      <c r="QPD66" s="557"/>
      <c r="QPE66" s="557"/>
      <c r="QPF66" s="557"/>
      <c r="QPG66" s="557"/>
      <c r="QPH66" s="557"/>
      <c r="QPI66" s="557"/>
      <c r="QPJ66" s="557"/>
      <c r="QPK66" s="661"/>
      <c r="QPL66" s="556"/>
      <c r="QPM66" s="557"/>
      <c r="QPN66" s="557"/>
      <c r="QPO66" s="557"/>
      <c r="QPP66" s="557"/>
      <c r="QPQ66" s="557"/>
      <c r="QPR66" s="557"/>
      <c r="QPS66" s="557"/>
      <c r="QPT66" s="557"/>
      <c r="QPU66" s="557"/>
      <c r="QPV66" s="557"/>
      <c r="QPW66" s="557"/>
      <c r="QPX66" s="557"/>
      <c r="QPY66" s="557"/>
      <c r="QPZ66" s="557"/>
      <c r="QQA66" s="557"/>
      <c r="QQB66" s="557"/>
      <c r="QQC66" s="557"/>
      <c r="QQD66" s="557"/>
      <c r="QQE66" s="661"/>
      <c r="QQF66" s="556"/>
      <c r="QQG66" s="557"/>
      <c r="QQH66" s="557"/>
      <c r="QQI66" s="557"/>
      <c r="QQJ66" s="557"/>
      <c r="QQK66" s="557"/>
      <c r="QQL66" s="557"/>
      <c r="QQM66" s="557"/>
      <c r="QQN66" s="557"/>
      <c r="QQO66" s="557"/>
      <c r="QQP66" s="557"/>
      <c r="QQQ66" s="557"/>
      <c r="QQR66" s="557"/>
      <c r="QQS66" s="557"/>
      <c r="QQT66" s="557"/>
      <c r="QQU66" s="557"/>
      <c r="QQV66" s="557"/>
      <c r="QQW66" s="557"/>
      <c r="QQX66" s="557"/>
      <c r="QQY66" s="661"/>
      <c r="QQZ66" s="556"/>
      <c r="QRA66" s="557"/>
      <c r="QRB66" s="557"/>
      <c r="QRC66" s="557"/>
      <c r="QRD66" s="557"/>
      <c r="QRE66" s="557"/>
      <c r="QRF66" s="557"/>
      <c r="QRG66" s="557"/>
      <c r="QRH66" s="557"/>
      <c r="QRI66" s="557"/>
      <c r="QRJ66" s="557"/>
      <c r="QRK66" s="557"/>
      <c r="QRL66" s="557"/>
      <c r="QRM66" s="557"/>
      <c r="QRN66" s="557"/>
      <c r="QRO66" s="557"/>
      <c r="QRP66" s="557"/>
      <c r="QRQ66" s="557"/>
      <c r="QRR66" s="557"/>
      <c r="QRS66" s="661"/>
      <c r="QRT66" s="556"/>
      <c r="QRU66" s="557"/>
      <c r="QRV66" s="557"/>
      <c r="QRW66" s="557"/>
      <c r="QRX66" s="557"/>
      <c r="QRY66" s="557"/>
      <c r="QRZ66" s="557"/>
      <c r="QSA66" s="557"/>
      <c r="QSB66" s="557"/>
      <c r="QSC66" s="557"/>
      <c r="QSD66" s="557"/>
      <c r="QSE66" s="557"/>
      <c r="QSF66" s="557"/>
      <c r="QSG66" s="557"/>
      <c r="QSH66" s="557"/>
      <c r="QSI66" s="557"/>
      <c r="QSJ66" s="557"/>
      <c r="QSK66" s="557"/>
      <c r="QSL66" s="557"/>
      <c r="QSM66" s="661"/>
      <c r="QSN66" s="556"/>
      <c r="QSO66" s="557"/>
      <c r="QSP66" s="557"/>
      <c r="QSQ66" s="557"/>
      <c r="QSR66" s="557"/>
      <c r="QSS66" s="557"/>
      <c r="QST66" s="557"/>
      <c r="QSU66" s="557"/>
      <c r="QSV66" s="557"/>
      <c r="QSW66" s="557"/>
      <c r="QSX66" s="557"/>
      <c r="QSY66" s="557"/>
      <c r="QSZ66" s="557"/>
      <c r="QTA66" s="557"/>
      <c r="QTB66" s="557"/>
      <c r="QTC66" s="557"/>
      <c r="QTD66" s="557"/>
      <c r="QTE66" s="557"/>
      <c r="QTF66" s="557"/>
      <c r="QTG66" s="661"/>
      <c r="QTH66" s="556"/>
      <c r="QTI66" s="557"/>
      <c r="QTJ66" s="557"/>
      <c r="QTK66" s="557"/>
      <c r="QTL66" s="557"/>
      <c r="QTM66" s="557"/>
      <c r="QTN66" s="557"/>
      <c r="QTO66" s="557"/>
      <c r="QTP66" s="557"/>
      <c r="QTQ66" s="557"/>
      <c r="QTR66" s="557"/>
      <c r="QTS66" s="557"/>
      <c r="QTT66" s="557"/>
      <c r="QTU66" s="557"/>
      <c r="QTV66" s="557"/>
      <c r="QTW66" s="557"/>
      <c r="QTX66" s="557"/>
      <c r="QTY66" s="557"/>
      <c r="QTZ66" s="557"/>
      <c r="QUA66" s="661"/>
      <c r="QUB66" s="556"/>
      <c r="QUC66" s="557"/>
      <c r="QUD66" s="557"/>
      <c r="QUE66" s="557"/>
      <c r="QUF66" s="557"/>
      <c r="QUG66" s="557"/>
      <c r="QUH66" s="557"/>
      <c r="QUI66" s="557"/>
      <c r="QUJ66" s="557"/>
      <c r="QUK66" s="557"/>
      <c r="QUL66" s="557"/>
      <c r="QUM66" s="557"/>
      <c r="QUN66" s="557"/>
      <c r="QUO66" s="557"/>
      <c r="QUP66" s="557"/>
      <c r="QUQ66" s="557"/>
      <c r="QUR66" s="557"/>
      <c r="QUS66" s="557"/>
      <c r="QUT66" s="557"/>
      <c r="QUU66" s="661"/>
      <c r="QUV66" s="556"/>
      <c r="QUW66" s="557"/>
      <c r="QUX66" s="557"/>
      <c r="QUY66" s="557"/>
      <c r="QUZ66" s="557"/>
      <c r="QVA66" s="557"/>
      <c r="QVB66" s="557"/>
      <c r="QVC66" s="557"/>
      <c r="QVD66" s="557"/>
      <c r="QVE66" s="557"/>
      <c r="QVF66" s="557"/>
      <c r="QVG66" s="557"/>
      <c r="QVH66" s="557"/>
      <c r="QVI66" s="557"/>
      <c r="QVJ66" s="557"/>
      <c r="QVK66" s="557"/>
      <c r="QVL66" s="557"/>
      <c r="QVM66" s="557"/>
      <c r="QVN66" s="557"/>
      <c r="QVO66" s="661"/>
      <c r="QVP66" s="556"/>
      <c r="QVQ66" s="557"/>
      <c r="QVR66" s="557"/>
      <c r="QVS66" s="557"/>
      <c r="QVT66" s="557"/>
      <c r="QVU66" s="557"/>
      <c r="QVV66" s="557"/>
      <c r="QVW66" s="557"/>
      <c r="QVX66" s="557"/>
      <c r="QVY66" s="557"/>
      <c r="QVZ66" s="557"/>
      <c r="QWA66" s="557"/>
      <c r="QWB66" s="557"/>
      <c r="QWC66" s="557"/>
      <c r="QWD66" s="557"/>
      <c r="QWE66" s="557"/>
      <c r="QWF66" s="557"/>
      <c r="QWG66" s="557"/>
      <c r="QWH66" s="557"/>
      <c r="QWI66" s="661"/>
      <c r="QWJ66" s="556"/>
      <c r="QWK66" s="557"/>
      <c r="QWL66" s="557"/>
      <c r="QWM66" s="557"/>
      <c r="QWN66" s="557"/>
      <c r="QWO66" s="557"/>
      <c r="QWP66" s="557"/>
      <c r="QWQ66" s="557"/>
      <c r="QWR66" s="557"/>
      <c r="QWS66" s="557"/>
      <c r="QWT66" s="557"/>
      <c r="QWU66" s="557"/>
      <c r="QWV66" s="557"/>
      <c r="QWW66" s="557"/>
      <c r="QWX66" s="557"/>
      <c r="QWY66" s="557"/>
      <c r="QWZ66" s="557"/>
      <c r="QXA66" s="557"/>
      <c r="QXB66" s="557"/>
      <c r="QXC66" s="661"/>
      <c r="QXD66" s="556"/>
      <c r="QXE66" s="557"/>
      <c r="QXF66" s="557"/>
      <c r="QXG66" s="557"/>
      <c r="QXH66" s="557"/>
      <c r="QXI66" s="557"/>
      <c r="QXJ66" s="557"/>
      <c r="QXK66" s="557"/>
      <c r="QXL66" s="557"/>
      <c r="QXM66" s="557"/>
      <c r="QXN66" s="557"/>
      <c r="QXO66" s="557"/>
      <c r="QXP66" s="557"/>
      <c r="QXQ66" s="557"/>
      <c r="QXR66" s="557"/>
      <c r="QXS66" s="557"/>
      <c r="QXT66" s="557"/>
      <c r="QXU66" s="557"/>
      <c r="QXV66" s="557"/>
      <c r="QXW66" s="661"/>
      <c r="QXX66" s="556"/>
      <c r="QXY66" s="557"/>
      <c r="QXZ66" s="557"/>
      <c r="QYA66" s="557"/>
      <c r="QYB66" s="557"/>
      <c r="QYC66" s="557"/>
      <c r="QYD66" s="557"/>
      <c r="QYE66" s="557"/>
      <c r="QYF66" s="557"/>
      <c r="QYG66" s="557"/>
      <c r="QYH66" s="557"/>
      <c r="QYI66" s="557"/>
      <c r="QYJ66" s="557"/>
      <c r="QYK66" s="557"/>
      <c r="QYL66" s="557"/>
      <c r="QYM66" s="557"/>
      <c r="QYN66" s="557"/>
      <c r="QYO66" s="557"/>
      <c r="QYP66" s="557"/>
      <c r="QYQ66" s="661"/>
      <c r="QYR66" s="556"/>
      <c r="QYS66" s="557"/>
      <c r="QYT66" s="557"/>
      <c r="QYU66" s="557"/>
      <c r="QYV66" s="557"/>
      <c r="QYW66" s="557"/>
      <c r="QYX66" s="557"/>
      <c r="QYY66" s="557"/>
      <c r="QYZ66" s="557"/>
      <c r="QZA66" s="557"/>
      <c r="QZB66" s="557"/>
      <c r="QZC66" s="557"/>
      <c r="QZD66" s="557"/>
      <c r="QZE66" s="557"/>
      <c r="QZF66" s="557"/>
      <c r="QZG66" s="557"/>
      <c r="QZH66" s="557"/>
      <c r="QZI66" s="557"/>
      <c r="QZJ66" s="557"/>
      <c r="QZK66" s="661"/>
      <c r="QZL66" s="556"/>
      <c r="QZM66" s="557"/>
      <c r="QZN66" s="557"/>
      <c r="QZO66" s="557"/>
      <c r="QZP66" s="557"/>
      <c r="QZQ66" s="557"/>
      <c r="QZR66" s="557"/>
      <c r="QZS66" s="557"/>
      <c r="QZT66" s="557"/>
      <c r="QZU66" s="557"/>
      <c r="QZV66" s="557"/>
      <c r="QZW66" s="557"/>
      <c r="QZX66" s="557"/>
      <c r="QZY66" s="557"/>
      <c r="QZZ66" s="557"/>
      <c r="RAA66" s="557"/>
      <c r="RAB66" s="557"/>
      <c r="RAC66" s="557"/>
      <c r="RAD66" s="557"/>
      <c r="RAE66" s="661"/>
      <c r="RAF66" s="556"/>
      <c r="RAG66" s="557"/>
      <c r="RAH66" s="557"/>
      <c r="RAI66" s="557"/>
      <c r="RAJ66" s="557"/>
      <c r="RAK66" s="557"/>
      <c r="RAL66" s="557"/>
      <c r="RAM66" s="557"/>
      <c r="RAN66" s="557"/>
      <c r="RAO66" s="557"/>
      <c r="RAP66" s="557"/>
      <c r="RAQ66" s="557"/>
      <c r="RAR66" s="557"/>
      <c r="RAS66" s="557"/>
      <c r="RAT66" s="557"/>
      <c r="RAU66" s="557"/>
      <c r="RAV66" s="557"/>
      <c r="RAW66" s="557"/>
      <c r="RAX66" s="557"/>
      <c r="RAY66" s="661"/>
      <c r="RAZ66" s="556"/>
      <c r="RBA66" s="557"/>
      <c r="RBB66" s="557"/>
      <c r="RBC66" s="557"/>
      <c r="RBD66" s="557"/>
      <c r="RBE66" s="557"/>
      <c r="RBF66" s="557"/>
      <c r="RBG66" s="557"/>
      <c r="RBH66" s="557"/>
      <c r="RBI66" s="557"/>
      <c r="RBJ66" s="557"/>
      <c r="RBK66" s="557"/>
      <c r="RBL66" s="557"/>
      <c r="RBM66" s="557"/>
      <c r="RBN66" s="557"/>
      <c r="RBO66" s="557"/>
      <c r="RBP66" s="557"/>
      <c r="RBQ66" s="557"/>
      <c r="RBR66" s="557"/>
      <c r="RBS66" s="661"/>
      <c r="RBT66" s="556"/>
      <c r="RBU66" s="557"/>
      <c r="RBV66" s="557"/>
      <c r="RBW66" s="557"/>
      <c r="RBX66" s="557"/>
      <c r="RBY66" s="557"/>
      <c r="RBZ66" s="557"/>
      <c r="RCA66" s="557"/>
      <c r="RCB66" s="557"/>
      <c r="RCC66" s="557"/>
      <c r="RCD66" s="557"/>
      <c r="RCE66" s="557"/>
      <c r="RCF66" s="557"/>
      <c r="RCG66" s="557"/>
      <c r="RCH66" s="557"/>
      <c r="RCI66" s="557"/>
      <c r="RCJ66" s="557"/>
      <c r="RCK66" s="557"/>
      <c r="RCL66" s="557"/>
      <c r="RCM66" s="661"/>
      <c r="RCN66" s="556"/>
      <c r="RCO66" s="557"/>
      <c r="RCP66" s="557"/>
      <c r="RCQ66" s="557"/>
      <c r="RCR66" s="557"/>
      <c r="RCS66" s="557"/>
      <c r="RCT66" s="557"/>
      <c r="RCU66" s="557"/>
      <c r="RCV66" s="557"/>
      <c r="RCW66" s="557"/>
      <c r="RCX66" s="557"/>
      <c r="RCY66" s="557"/>
      <c r="RCZ66" s="557"/>
      <c r="RDA66" s="557"/>
      <c r="RDB66" s="557"/>
      <c r="RDC66" s="557"/>
      <c r="RDD66" s="557"/>
      <c r="RDE66" s="557"/>
      <c r="RDF66" s="557"/>
      <c r="RDG66" s="661"/>
      <c r="RDH66" s="556"/>
      <c r="RDI66" s="557"/>
      <c r="RDJ66" s="557"/>
      <c r="RDK66" s="557"/>
      <c r="RDL66" s="557"/>
      <c r="RDM66" s="557"/>
      <c r="RDN66" s="557"/>
      <c r="RDO66" s="557"/>
      <c r="RDP66" s="557"/>
      <c r="RDQ66" s="557"/>
      <c r="RDR66" s="557"/>
      <c r="RDS66" s="557"/>
      <c r="RDT66" s="557"/>
      <c r="RDU66" s="557"/>
      <c r="RDV66" s="557"/>
      <c r="RDW66" s="557"/>
      <c r="RDX66" s="557"/>
      <c r="RDY66" s="557"/>
      <c r="RDZ66" s="557"/>
      <c r="REA66" s="661"/>
      <c r="REB66" s="556"/>
      <c r="REC66" s="557"/>
      <c r="RED66" s="557"/>
      <c r="REE66" s="557"/>
      <c r="REF66" s="557"/>
      <c r="REG66" s="557"/>
      <c r="REH66" s="557"/>
      <c r="REI66" s="557"/>
      <c r="REJ66" s="557"/>
      <c r="REK66" s="557"/>
      <c r="REL66" s="557"/>
      <c r="REM66" s="557"/>
      <c r="REN66" s="557"/>
      <c r="REO66" s="557"/>
      <c r="REP66" s="557"/>
      <c r="REQ66" s="557"/>
      <c r="RER66" s="557"/>
      <c r="RES66" s="557"/>
      <c r="RET66" s="557"/>
      <c r="REU66" s="661"/>
      <c r="REV66" s="556"/>
      <c r="REW66" s="557"/>
      <c r="REX66" s="557"/>
      <c r="REY66" s="557"/>
      <c r="REZ66" s="557"/>
      <c r="RFA66" s="557"/>
      <c r="RFB66" s="557"/>
      <c r="RFC66" s="557"/>
      <c r="RFD66" s="557"/>
      <c r="RFE66" s="557"/>
      <c r="RFF66" s="557"/>
      <c r="RFG66" s="557"/>
      <c r="RFH66" s="557"/>
      <c r="RFI66" s="557"/>
      <c r="RFJ66" s="557"/>
      <c r="RFK66" s="557"/>
      <c r="RFL66" s="557"/>
      <c r="RFM66" s="557"/>
      <c r="RFN66" s="557"/>
      <c r="RFO66" s="661"/>
      <c r="RFP66" s="556"/>
      <c r="RFQ66" s="557"/>
      <c r="RFR66" s="557"/>
      <c r="RFS66" s="557"/>
      <c r="RFT66" s="557"/>
      <c r="RFU66" s="557"/>
      <c r="RFV66" s="557"/>
      <c r="RFW66" s="557"/>
      <c r="RFX66" s="557"/>
      <c r="RFY66" s="557"/>
      <c r="RFZ66" s="557"/>
      <c r="RGA66" s="557"/>
      <c r="RGB66" s="557"/>
      <c r="RGC66" s="557"/>
      <c r="RGD66" s="557"/>
      <c r="RGE66" s="557"/>
      <c r="RGF66" s="557"/>
      <c r="RGG66" s="557"/>
      <c r="RGH66" s="557"/>
      <c r="RGI66" s="661"/>
      <c r="RGJ66" s="556"/>
      <c r="RGK66" s="557"/>
      <c r="RGL66" s="557"/>
      <c r="RGM66" s="557"/>
      <c r="RGN66" s="557"/>
      <c r="RGO66" s="557"/>
      <c r="RGP66" s="557"/>
      <c r="RGQ66" s="557"/>
      <c r="RGR66" s="557"/>
      <c r="RGS66" s="557"/>
      <c r="RGT66" s="557"/>
      <c r="RGU66" s="557"/>
      <c r="RGV66" s="557"/>
      <c r="RGW66" s="557"/>
      <c r="RGX66" s="557"/>
      <c r="RGY66" s="557"/>
      <c r="RGZ66" s="557"/>
      <c r="RHA66" s="557"/>
      <c r="RHB66" s="557"/>
      <c r="RHC66" s="661"/>
      <c r="RHD66" s="556"/>
      <c r="RHE66" s="557"/>
      <c r="RHF66" s="557"/>
      <c r="RHG66" s="557"/>
      <c r="RHH66" s="557"/>
      <c r="RHI66" s="557"/>
      <c r="RHJ66" s="557"/>
      <c r="RHK66" s="557"/>
      <c r="RHL66" s="557"/>
      <c r="RHM66" s="557"/>
      <c r="RHN66" s="557"/>
      <c r="RHO66" s="557"/>
      <c r="RHP66" s="557"/>
      <c r="RHQ66" s="557"/>
      <c r="RHR66" s="557"/>
      <c r="RHS66" s="557"/>
      <c r="RHT66" s="557"/>
      <c r="RHU66" s="557"/>
      <c r="RHV66" s="557"/>
      <c r="RHW66" s="661"/>
      <c r="RHX66" s="556"/>
      <c r="RHY66" s="557"/>
      <c r="RHZ66" s="557"/>
      <c r="RIA66" s="557"/>
      <c r="RIB66" s="557"/>
      <c r="RIC66" s="557"/>
      <c r="RID66" s="557"/>
      <c r="RIE66" s="557"/>
      <c r="RIF66" s="557"/>
      <c r="RIG66" s="557"/>
      <c r="RIH66" s="557"/>
      <c r="RII66" s="557"/>
      <c r="RIJ66" s="557"/>
      <c r="RIK66" s="557"/>
      <c r="RIL66" s="557"/>
      <c r="RIM66" s="557"/>
      <c r="RIN66" s="557"/>
      <c r="RIO66" s="557"/>
      <c r="RIP66" s="557"/>
      <c r="RIQ66" s="661"/>
      <c r="RIR66" s="556"/>
      <c r="RIS66" s="557"/>
      <c r="RIT66" s="557"/>
      <c r="RIU66" s="557"/>
      <c r="RIV66" s="557"/>
      <c r="RIW66" s="557"/>
      <c r="RIX66" s="557"/>
      <c r="RIY66" s="557"/>
      <c r="RIZ66" s="557"/>
      <c r="RJA66" s="557"/>
      <c r="RJB66" s="557"/>
      <c r="RJC66" s="557"/>
      <c r="RJD66" s="557"/>
      <c r="RJE66" s="557"/>
      <c r="RJF66" s="557"/>
      <c r="RJG66" s="557"/>
      <c r="RJH66" s="557"/>
      <c r="RJI66" s="557"/>
      <c r="RJJ66" s="557"/>
      <c r="RJK66" s="661"/>
      <c r="RJL66" s="556"/>
      <c r="RJM66" s="557"/>
      <c r="RJN66" s="557"/>
      <c r="RJO66" s="557"/>
      <c r="RJP66" s="557"/>
      <c r="RJQ66" s="557"/>
      <c r="RJR66" s="557"/>
      <c r="RJS66" s="557"/>
      <c r="RJT66" s="557"/>
      <c r="RJU66" s="557"/>
      <c r="RJV66" s="557"/>
      <c r="RJW66" s="557"/>
      <c r="RJX66" s="557"/>
      <c r="RJY66" s="557"/>
      <c r="RJZ66" s="557"/>
      <c r="RKA66" s="557"/>
      <c r="RKB66" s="557"/>
      <c r="RKC66" s="557"/>
      <c r="RKD66" s="557"/>
      <c r="RKE66" s="661"/>
      <c r="RKF66" s="556"/>
      <c r="RKG66" s="557"/>
      <c r="RKH66" s="557"/>
      <c r="RKI66" s="557"/>
      <c r="RKJ66" s="557"/>
      <c r="RKK66" s="557"/>
      <c r="RKL66" s="557"/>
      <c r="RKM66" s="557"/>
      <c r="RKN66" s="557"/>
      <c r="RKO66" s="557"/>
      <c r="RKP66" s="557"/>
      <c r="RKQ66" s="557"/>
      <c r="RKR66" s="557"/>
      <c r="RKS66" s="557"/>
      <c r="RKT66" s="557"/>
      <c r="RKU66" s="557"/>
      <c r="RKV66" s="557"/>
      <c r="RKW66" s="557"/>
      <c r="RKX66" s="557"/>
      <c r="RKY66" s="661"/>
      <c r="RKZ66" s="556"/>
      <c r="RLA66" s="557"/>
      <c r="RLB66" s="557"/>
      <c r="RLC66" s="557"/>
      <c r="RLD66" s="557"/>
      <c r="RLE66" s="557"/>
      <c r="RLF66" s="557"/>
      <c r="RLG66" s="557"/>
      <c r="RLH66" s="557"/>
      <c r="RLI66" s="557"/>
      <c r="RLJ66" s="557"/>
      <c r="RLK66" s="557"/>
      <c r="RLL66" s="557"/>
      <c r="RLM66" s="557"/>
      <c r="RLN66" s="557"/>
      <c r="RLO66" s="557"/>
      <c r="RLP66" s="557"/>
      <c r="RLQ66" s="557"/>
      <c r="RLR66" s="557"/>
      <c r="RLS66" s="661"/>
      <c r="RLT66" s="556"/>
      <c r="RLU66" s="557"/>
      <c r="RLV66" s="557"/>
      <c r="RLW66" s="557"/>
      <c r="RLX66" s="557"/>
      <c r="RLY66" s="557"/>
      <c r="RLZ66" s="557"/>
      <c r="RMA66" s="557"/>
      <c r="RMB66" s="557"/>
      <c r="RMC66" s="557"/>
      <c r="RMD66" s="557"/>
      <c r="RME66" s="557"/>
      <c r="RMF66" s="557"/>
      <c r="RMG66" s="557"/>
      <c r="RMH66" s="557"/>
      <c r="RMI66" s="557"/>
      <c r="RMJ66" s="557"/>
      <c r="RMK66" s="557"/>
      <c r="RML66" s="557"/>
      <c r="RMM66" s="661"/>
      <c r="RMN66" s="556"/>
      <c r="RMO66" s="557"/>
      <c r="RMP66" s="557"/>
      <c r="RMQ66" s="557"/>
      <c r="RMR66" s="557"/>
      <c r="RMS66" s="557"/>
      <c r="RMT66" s="557"/>
      <c r="RMU66" s="557"/>
      <c r="RMV66" s="557"/>
      <c r="RMW66" s="557"/>
      <c r="RMX66" s="557"/>
      <c r="RMY66" s="557"/>
      <c r="RMZ66" s="557"/>
      <c r="RNA66" s="557"/>
      <c r="RNB66" s="557"/>
      <c r="RNC66" s="557"/>
      <c r="RND66" s="557"/>
      <c r="RNE66" s="557"/>
      <c r="RNF66" s="557"/>
      <c r="RNG66" s="661"/>
      <c r="RNH66" s="556"/>
      <c r="RNI66" s="557"/>
      <c r="RNJ66" s="557"/>
      <c r="RNK66" s="557"/>
      <c r="RNL66" s="557"/>
      <c r="RNM66" s="557"/>
      <c r="RNN66" s="557"/>
      <c r="RNO66" s="557"/>
      <c r="RNP66" s="557"/>
      <c r="RNQ66" s="557"/>
      <c r="RNR66" s="557"/>
      <c r="RNS66" s="557"/>
      <c r="RNT66" s="557"/>
      <c r="RNU66" s="557"/>
      <c r="RNV66" s="557"/>
      <c r="RNW66" s="557"/>
      <c r="RNX66" s="557"/>
      <c r="RNY66" s="557"/>
      <c r="RNZ66" s="557"/>
      <c r="ROA66" s="661"/>
      <c r="ROB66" s="556"/>
      <c r="ROC66" s="557"/>
      <c r="ROD66" s="557"/>
      <c r="ROE66" s="557"/>
      <c r="ROF66" s="557"/>
      <c r="ROG66" s="557"/>
      <c r="ROH66" s="557"/>
      <c r="ROI66" s="557"/>
      <c r="ROJ66" s="557"/>
      <c r="ROK66" s="557"/>
      <c r="ROL66" s="557"/>
      <c r="ROM66" s="557"/>
      <c r="RON66" s="557"/>
      <c r="ROO66" s="557"/>
      <c r="ROP66" s="557"/>
      <c r="ROQ66" s="557"/>
      <c r="ROR66" s="557"/>
      <c r="ROS66" s="557"/>
      <c r="ROT66" s="557"/>
      <c r="ROU66" s="661"/>
      <c r="ROV66" s="556"/>
      <c r="ROW66" s="557"/>
      <c r="ROX66" s="557"/>
      <c r="ROY66" s="557"/>
      <c r="ROZ66" s="557"/>
      <c r="RPA66" s="557"/>
      <c r="RPB66" s="557"/>
      <c r="RPC66" s="557"/>
      <c r="RPD66" s="557"/>
      <c r="RPE66" s="557"/>
      <c r="RPF66" s="557"/>
      <c r="RPG66" s="557"/>
      <c r="RPH66" s="557"/>
      <c r="RPI66" s="557"/>
      <c r="RPJ66" s="557"/>
      <c r="RPK66" s="557"/>
      <c r="RPL66" s="557"/>
      <c r="RPM66" s="557"/>
      <c r="RPN66" s="557"/>
      <c r="RPO66" s="661"/>
      <c r="RPP66" s="556"/>
      <c r="RPQ66" s="557"/>
      <c r="RPR66" s="557"/>
      <c r="RPS66" s="557"/>
      <c r="RPT66" s="557"/>
      <c r="RPU66" s="557"/>
      <c r="RPV66" s="557"/>
      <c r="RPW66" s="557"/>
      <c r="RPX66" s="557"/>
      <c r="RPY66" s="557"/>
      <c r="RPZ66" s="557"/>
      <c r="RQA66" s="557"/>
      <c r="RQB66" s="557"/>
      <c r="RQC66" s="557"/>
      <c r="RQD66" s="557"/>
      <c r="RQE66" s="557"/>
      <c r="RQF66" s="557"/>
      <c r="RQG66" s="557"/>
      <c r="RQH66" s="557"/>
      <c r="RQI66" s="661"/>
      <c r="RQJ66" s="556"/>
      <c r="RQK66" s="557"/>
      <c r="RQL66" s="557"/>
      <c r="RQM66" s="557"/>
      <c r="RQN66" s="557"/>
      <c r="RQO66" s="557"/>
      <c r="RQP66" s="557"/>
      <c r="RQQ66" s="557"/>
      <c r="RQR66" s="557"/>
      <c r="RQS66" s="557"/>
      <c r="RQT66" s="557"/>
      <c r="RQU66" s="557"/>
      <c r="RQV66" s="557"/>
      <c r="RQW66" s="557"/>
      <c r="RQX66" s="557"/>
      <c r="RQY66" s="557"/>
      <c r="RQZ66" s="557"/>
      <c r="RRA66" s="557"/>
      <c r="RRB66" s="557"/>
      <c r="RRC66" s="661"/>
      <c r="RRD66" s="556"/>
      <c r="RRE66" s="557"/>
      <c r="RRF66" s="557"/>
      <c r="RRG66" s="557"/>
      <c r="RRH66" s="557"/>
      <c r="RRI66" s="557"/>
      <c r="RRJ66" s="557"/>
      <c r="RRK66" s="557"/>
      <c r="RRL66" s="557"/>
      <c r="RRM66" s="557"/>
      <c r="RRN66" s="557"/>
      <c r="RRO66" s="557"/>
      <c r="RRP66" s="557"/>
      <c r="RRQ66" s="557"/>
      <c r="RRR66" s="557"/>
      <c r="RRS66" s="557"/>
      <c r="RRT66" s="557"/>
      <c r="RRU66" s="557"/>
      <c r="RRV66" s="557"/>
      <c r="RRW66" s="661"/>
      <c r="RRX66" s="556"/>
      <c r="RRY66" s="557"/>
      <c r="RRZ66" s="557"/>
      <c r="RSA66" s="557"/>
      <c r="RSB66" s="557"/>
      <c r="RSC66" s="557"/>
      <c r="RSD66" s="557"/>
      <c r="RSE66" s="557"/>
      <c r="RSF66" s="557"/>
      <c r="RSG66" s="557"/>
      <c r="RSH66" s="557"/>
      <c r="RSI66" s="557"/>
      <c r="RSJ66" s="557"/>
      <c r="RSK66" s="557"/>
      <c r="RSL66" s="557"/>
      <c r="RSM66" s="557"/>
      <c r="RSN66" s="557"/>
      <c r="RSO66" s="557"/>
      <c r="RSP66" s="557"/>
      <c r="RSQ66" s="661"/>
      <c r="RSR66" s="556"/>
      <c r="RSS66" s="557"/>
      <c r="RST66" s="557"/>
      <c r="RSU66" s="557"/>
      <c r="RSV66" s="557"/>
      <c r="RSW66" s="557"/>
      <c r="RSX66" s="557"/>
      <c r="RSY66" s="557"/>
      <c r="RSZ66" s="557"/>
      <c r="RTA66" s="557"/>
      <c r="RTB66" s="557"/>
      <c r="RTC66" s="557"/>
      <c r="RTD66" s="557"/>
      <c r="RTE66" s="557"/>
      <c r="RTF66" s="557"/>
      <c r="RTG66" s="557"/>
      <c r="RTH66" s="557"/>
      <c r="RTI66" s="557"/>
      <c r="RTJ66" s="557"/>
      <c r="RTK66" s="661"/>
      <c r="RTL66" s="556"/>
      <c r="RTM66" s="557"/>
      <c r="RTN66" s="557"/>
      <c r="RTO66" s="557"/>
      <c r="RTP66" s="557"/>
      <c r="RTQ66" s="557"/>
      <c r="RTR66" s="557"/>
      <c r="RTS66" s="557"/>
      <c r="RTT66" s="557"/>
      <c r="RTU66" s="557"/>
      <c r="RTV66" s="557"/>
      <c r="RTW66" s="557"/>
      <c r="RTX66" s="557"/>
      <c r="RTY66" s="557"/>
      <c r="RTZ66" s="557"/>
      <c r="RUA66" s="557"/>
      <c r="RUB66" s="557"/>
      <c r="RUC66" s="557"/>
      <c r="RUD66" s="557"/>
      <c r="RUE66" s="661"/>
      <c r="RUF66" s="556"/>
      <c r="RUG66" s="557"/>
      <c r="RUH66" s="557"/>
      <c r="RUI66" s="557"/>
      <c r="RUJ66" s="557"/>
      <c r="RUK66" s="557"/>
      <c r="RUL66" s="557"/>
      <c r="RUM66" s="557"/>
      <c r="RUN66" s="557"/>
      <c r="RUO66" s="557"/>
      <c r="RUP66" s="557"/>
      <c r="RUQ66" s="557"/>
      <c r="RUR66" s="557"/>
      <c r="RUS66" s="557"/>
      <c r="RUT66" s="557"/>
      <c r="RUU66" s="557"/>
      <c r="RUV66" s="557"/>
      <c r="RUW66" s="557"/>
      <c r="RUX66" s="557"/>
      <c r="RUY66" s="661"/>
      <c r="RUZ66" s="556"/>
      <c r="RVA66" s="557"/>
      <c r="RVB66" s="557"/>
      <c r="RVC66" s="557"/>
      <c r="RVD66" s="557"/>
      <c r="RVE66" s="557"/>
      <c r="RVF66" s="557"/>
      <c r="RVG66" s="557"/>
      <c r="RVH66" s="557"/>
      <c r="RVI66" s="557"/>
      <c r="RVJ66" s="557"/>
      <c r="RVK66" s="557"/>
      <c r="RVL66" s="557"/>
      <c r="RVM66" s="557"/>
      <c r="RVN66" s="557"/>
      <c r="RVO66" s="557"/>
      <c r="RVP66" s="557"/>
      <c r="RVQ66" s="557"/>
      <c r="RVR66" s="557"/>
      <c r="RVS66" s="661"/>
      <c r="RVT66" s="556"/>
      <c r="RVU66" s="557"/>
      <c r="RVV66" s="557"/>
      <c r="RVW66" s="557"/>
      <c r="RVX66" s="557"/>
      <c r="RVY66" s="557"/>
      <c r="RVZ66" s="557"/>
      <c r="RWA66" s="557"/>
      <c r="RWB66" s="557"/>
      <c r="RWC66" s="557"/>
      <c r="RWD66" s="557"/>
      <c r="RWE66" s="557"/>
      <c r="RWF66" s="557"/>
      <c r="RWG66" s="557"/>
      <c r="RWH66" s="557"/>
      <c r="RWI66" s="557"/>
      <c r="RWJ66" s="557"/>
      <c r="RWK66" s="557"/>
      <c r="RWL66" s="557"/>
      <c r="RWM66" s="661"/>
      <c r="RWN66" s="556"/>
      <c r="RWO66" s="557"/>
      <c r="RWP66" s="557"/>
      <c r="RWQ66" s="557"/>
      <c r="RWR66" s="557"/>
      <c r="RWS66" s="557"/>
      <c r="RWT66" s="557"/>
      <c r="RWU66" s="557"/>
      <c r="RWV66" s="557"/>
      <c r="RWW66" s="557"/>
      <c r="RWX66" s="557"/>
      <c r="RWY66" s="557"/>
      <c r="RWZ66" s="557"/>
      <c r="RXA66" s="557"/>
      <c r="RXB66" s="557"/>
      <c r="RXC66" s="557"/>
      <c r="RXD66" s="557"/>
      <c r="RXE66" s="557"/>
      <c r="RXF66" s="557"/>
      <c r="RXG66" s="661"/>
      <c r="RXH66" s="556"/>
      <c r="RXI66" s="557"/>
      <c r="RXJ66" s="557"/>
      <c r="RXK66" s="557"/>
      <c r="RXL66" s="557"/>
      <c r="RXM66" s="557"/>
      <c r="RXN66" s="557"/>
      <c r="RXO66" s="557"/>
      <c r="RXP66" s="557"/>
      <c r="RXQ66" s="557"/>
      <c r="RXR66" s="557"/>
      <c r="RXS66" s="557"/>
      <c r="RXT66" s="557"/>
      <c r="RXU66" s="557"/>
      <c r="RXV66" s="557"/>
      <c r="RXW66" s="557"/>
      <c r="RXX66" s="557"/>
      <c r="RXY66" s="557"/>
      <c r="RXZ66" s="557"/>
      <c r="RYA66" s="661"/>
      <c r="RYB66" s="556"/>
      <c r="RYC66" s="557"/>
      <c r="RYD66" s="557"/>
      <c r="RYE66" s="557"/>
      <c r="RYF66" s="557"/>
      <c r="RYG66" s="557"/>
      <c r="RYH66" s="557"/>
      <c r="RYI66" s="557"/>
      <c r="RYJ66" s="557"/>
      <c r="RYK66" s="557"/>
      <c r="RYL66" s="557"/>
      <c r="RYM66" s="557"/>
      <c r="RYN66" s="557"/>
      <c r="RYO66" s="557"/>
      <c r="RYP66" s="557"/>
      <c r="RYQ66" s="557"/>
      <c r="RYR66" s="557"/>
      <c r="RYS66" s="557"/>
      <c r="RYT66" s="557"/>
      <c r="RYU66" s="661"/>
      <c r="RYV66" s="556"/>
      <c r="RYW66" s="557"/>
      <c r="RYX66" s="557"/>
      <c r="RYY66" s="557"/>
      <c r="RYZ66" s="557"/>
      <c r="RZA66" s="557"/>
      <c r="RZB66" s="557"/>
      <c r="RZC66" s="557"/>
      <c r="RZD66" s="557"/>
      <c r="RZE66" s="557"/>
      <c r="RZF66" s="557"/>
      <c r="RZG66" s="557"/>
      <c r="RZH66" s="557"/>
      <c r="RZI66" s="557"/>
      <c r="RZJ66" s="557"/>
      <c r="RZK66" s="557"/>
      <c r="RZL66" s="557"/>
      <c r="RZM66" s="557"/>
      <c r="RZN66" s="557"/>
      <c r="RZO66" s="661"/>
      <c r="RZP66" s="556"/>
      <c r="RZQ66" s="557"/>
      <c r="RZR66" s="557"/>
      <c r="RZS66" s="557"/>
      <c r="RZT66" s="557"/>
      <c r="RZU66" s="557"/>
      <c r="RZV66" s="557"/>
      <c r="RZW66" s="557"/>
      <c r="RZX66" s="557"/>
      <c r="RZY66" s="557"/>
      <c r="RZZ66" s="557"/>
      <c r="SAA66" s="557"/>
      <c r="SAB66" s="557"/>
      <c r="SAC66" s="557"/>
      <c r="SAD66" s="557"/>
      <c r="SAE66" s="557"/>
      <c r="SAF66" s="557"/>
      <c r="SAG66" s="557"/>
      <c r="SAH66" s="557"/>
      <c r="SAI66" s="661"/>
      <c r="SAJ66" s="556"/>
      <c r="SAK66" s="557"/>
      <c r="SAL66" s="557"/>
      <c r="SAM66" s="557"/>
      <c r="SAN66" s="557"/>
      <c r="SAO66" s="557"/>
      <c r="SAP66" s="557"/>
      <c r="SAQ66" s="557"/>
      <c r="SAR66" s="557"/>
      <c r="SAS66" s="557"/>
      <c r="SAT66" s="557"/>
      <c r="SAU66" s="557"/>
      <c r="SAV66" s="557"/>
      <c r="SAW66" s="557"/>
      <c r="SAX66" s="557"/>
      <c r="SAY66" s="557"/>
      <c r="SAZ66" s="557"/>
      <c r="SBA66" s="557"/>
      <c r="SBB66" s="557"/>
      <c r="SBC66" s="661"/>
      <c r="SBD66" s="556"/>
      <c r="SBE66" s="557"/>
      <c r="SBF66" s="557"/>
      <c r="SBG66" s="557"/>
      <c r="SBH66" s="557"/>
      <c r="SBI66" s="557"/>
      <c r="SBJ66" s="557"/>
      <c r="SBK66" s="557"/>
      <c r="SBL66" s="557"/>
      <c r="SBM66" s="557"/>
      <c r="SBN66" s="557"/>
      <c r="SBO66" s="557"/>
      <c r="SBP66" s="557"/>
      <c r="SBQ66" s="557"/>
      <c r="SBR66" s="557"/>
      <c r="SBS66" s="557"/>
      <c r="SBT66" s="557"/>
      <c r="SBU66" s="557"/>
      <c r="SBV66" s="557"/>
      <c r="SBW66" s="661"/>
      <c r="SBX66" s="556"/>
      <c r="SBY66" s="557"/>
      <c r="SBZ66" s="557"/>
      <c r="SCA66" s="557"/>
      <c r="SCB66" s="557"/>
      <c r="SCC66" s="557"/>
      <c r="SCD66" s="557"/>
      <c r="SCE66" s="557"/>
      <c r="SCF66" s="557"/>
      <c r="SCG66" s="557"/>
      <c r="SCH66" s="557"/>
      <c r="SCI66" s="557"/>
      <c r="SCJ66" s="557"/>
      <c r="SCK66" s="557"/>
      <c r="SCL66" s="557"/>
      <c r="SCM66" s="557"/>
      <c r="SCN66" s="557"/>
      <c r="SCO66" s="557"/>
      <c r="SCP66" s="557"/>
      <c r="SCQ66" s="661"/>
      <c r="SCR66" s="556"/>
      <c r="SCS66" s="557"/>
      <c r="SCT66" s="557"/>
      <c r="SCU66" s="557"/>
      <c r="SCV66" s="557"/>
      <c r="SCW66" s="557"/>
      <c r="SCX66" s="557"/>
      <c r="SCY66" s="557"/>
      <c r="SCZ66" s="557"/>
      <c r="SDA66" s="557"/>
      <c r="SDB66" s="557"/>
      <c r="SDC66" s="557"/>
      <c r="SDD66" s="557"/>
      <c r="SDE66" s="557"/>
      <c r="SDF66" s="557"/>
      <c r="SDG66" s="557"/>
      <c r="SDH66" s="557"/>
      <c r="SDI66" s="557"/>
      <c r="SDJ66" s="557"/>
      <c r="SDK66" s="661"/>
      <c r="SDL66" s="556"/>
      <c r="SDM66" s="557"/>
      <c r="SDN66" s="557"/>
      <c r="SDO66" s="557"/>
      <c r="SDP66" s="557"/>
      <c r="SDQ66" s="557"/>
      <c r="SDR66" s="557"/>
      <c r="SDS66" s="557"/>
      <c r="SDT66" s="557"/>
      <c r="SDU66" s="557"/>
      <c r="SDV66" s="557"/>
      <c r="SDW66" s="557"/>
      <c r="SDX66" s="557"/>
      <c r="SDY66" s="557"/>
      <c r="SDZ66" s="557"/>
      <c r="SEA66" s="557"/>
      <c r="SEB66" s="557"/>
      <c r="SEC66" s="557"/>
      <c r="SED66" s="557"/>
      <c r="SEE66" s="661"/>
      <c r="SEF66" s="556"/>
      <c r="SEG66" s="557"/>
      <c r="SEH66" s="557"/>
      <c r="SEI66" s="557"/>
      <c r="SEJ66" s="557"/>
      <c r="SEK66" s="557"/>
      <c r="SEL66" s="557"/>
      <c r="SEM66" s="557"/>
      <c r="SEN66" s="557"/>
      <c r="SEO66" s="557"/>
      <c r="SEP66" s="557"/>
      <c r="SEQ66" s="557"/>
      <c r="SER66" s="557"/>
      <c r="SES66" s="557"/>
      <c r="SET66" s="557"/>
      <c r="SEU66" s="557"/>
      <c r="SEV66" s="557"/>
      <c r="SEW66" s="557"/>
      <c r="SEX66" s="557"/>
      <c r="SEY66" s="661"/>
      <c r="SEZ66" s="556"/>
      <c r="SFA66" s="557"/>
      <c r="SFB66" s="557"/>
      <c r="SFC66" s="557"/>
      <c r="SFD66" s="557"/>
      <c r="SFE66" s="557"/>
      <c r="SFF66" s="557"/>
      <c r="SFG66" s="557"/>
      <c r="SFH66" s="557"/>
      <c r="SFI66" s="557"/>
      <c r="SFJ66" s="557"/>
      <c r="SFK66" s="557"/>
      <c r="SFL66" s="557"/>
      <c r="SFM66" s="557"/>
      <c r="SFN66" s="557"/>
      <c r="SFO66" s="557"/>
      <c r="SFP66" s="557"/>
      <c r="SFQ66" s="557"/>
      <c r="SFR66" s="557"/>
      <c r="SFS66" s="661"/>
      <c r="SFT66" s="556"/>
      <c r="SFU66" s="557"/>
      <c r="SFV66" s="557"/>
      <c r="SFW66" s="557"/>
      <c r="SFX66" s="557"/>
      <c r="SFY66" s="557"/>
      <c r="SFZ66" s="557"/>
      <c r="SGA66" s="557"/>
      <c r="SGB66" s="557"/>
      <c r="SGC66" s="557"/>
      <c r="SGD66" s="557"/>
      <c r="SGE66" s="557"/>
      <c r="SGF66" s="557"/>
      <c r="SGG66" s="557"/>
      <c r="SGH66" s="557"/>
      <c r="SGI66" s="557"/>
      <c r="SGJ66" s="557"/>
      <c r="SGK66" s="557"/>
      <c r="SGL66" s="557"/>
      <c r="SGM66" s="661"/>
      <c r="SGN66" s="556"/>
      <c r="SGO66" s="557"/>
      <c r="SGP66" s="557"/>
      <c r="SGQ66" s="557"/>
      <c r="SGR66" s="557"/>
      <c r="SGS66" s="557"/>
      <c r="SGT66" s="557"/>
      <c r="SGU66" s="557"/>
      <c r="SGV66" s="557"/>
      <c r="SGW66" s="557"/>
      <c r="SGX66" s="557"/>
      <c r="SGY66" s="557"/>
      <c r="SGZ66" s="557"/>
      <c r="SHA66" s="557"/>
      <c r="SHB66" s="557"/>
      <c r="SHC66" s="557"/>
      <c r="SHD66" s="557"/>
      <c r="SHE66" s="557"/>
      <c r="SHF66" s="557"/>
      <c r="SHG66" s="661"/>
      <c r="SHH66" s="556"/>
      <c r="SHI66" s="557"/>
      <c r="SHJ66" s="557"/>
      <c r="SHK66" s="557"/>
      <c r="SHL66" s="557"/>
      <c r="SHM66" s="557"/>
      <c r="SHN66" s="557"/>
      <c r="SHO66" s="557"/>
      <c r="SHP66" s="557"/>
      <c r="SHQ66" s="557"/>
      <c r="SHR66" s="557"/>
      <c r="SHS66" s="557"/>
      <c r="SHT66" s="557"/>
      <c r="SHU66" s="557"/>
      <c r="SHV66" s="557"/>
      <c r="SHW66" s="557"/>
      <c r="SHX66" s="557"/>
      <c r="SHY66" s="557"/>
      <c r="SHZ66" s="557"/>
      <c r="SIA66" s="661"/>
      <c r="SIB66" s="556"/>
      <c r="SIC66" s="557"/>
      <c r="SID66" s="557"/>
      <c r="SIE66" s="557"/>
      <c r="SIF66" s="557"/>
      <c r="SIG66" s="557"/>
      <c r="SIH66" s="557"/>
      <c r="SII66" s="557"/>
      <c r="SIJ66" s="557"/>
      <c r="SIK66" s="557"/>
      <c r="SIL66" s="557"/>
      <c r="SIM66" s="557"/>
      <c r="SIN66" s="557"/>
      <c r="SIO66" s="557"/>
      <c r="SIP66" s="557"/>
      <c r="SIQ66" s="557"/>
      <c r="SIR66" s="557"/>
      <c r="SIS66" s="557"/>
      <c r="SIT66" s="557"/>
      <c r="SIU66" s="661"/>
      <c r="SIV66" s="556"/>
      <c r="SIW66" s="557"/>
      <c r="SIX66" s="557"/>
      <c r="SIY66" s="557"/>
      <c r="SIZ66" s="557"/>
      <c r="SJA66" s="557"/>
      <c r="SJB66" s="557"/>
      <c r="SJC66" s="557"/>
      <c r="SJD66" s="557"/>
      <c r="SJE66" s="557"/>
      <c r="SJF66" s="557"/>
      <c r="SJG66" s="557"/>
      <c r="SJH66" s="557"/>
      <c r="SJI66" s="557"/>
      <c r="SJJ66" s="557"/>
      <c r="SJK66" s="557"/>
      <c r="SJL66" s="557"/>
      <c r="SJM66" s="557"/>
      <c r="SJN66" s="557"/>
      <c r="SJO66" s="661"/>
      <c r="SJP66" s="556"/>
      <c r="SJQ66" s="557"/>
      <c r="SJR66" s="557"/>
      <c r="SJS66" s="557"/>
      <c r="SJT66" s="557"/>
      <c r="SJU66" s="557"/>
      <c r="SJV66" s="557"/>
      <c r="SJW66" s="557"/>
      <c r="SJX66" s="557"/>
      <c r="SJY66" s="557"/>
      <c r="SJZ66" s="557"/>
      <c r="SKA66" s="557"/>
      <c r="SKB66" s="557"/>
      <c r="SKC66" s="557"/>
      <c r="SKD66" s="557"/>
      <c r="SKE66" s="557"/>
      <c r="SKF66" s="557"/>
      <c r="SKG66" s="557"/>
      <c r="SKH66" s="557"/>
      <c r="SKI66" s="661"/>
      <c r="SKJ66" s="556"/>
      <c r="SKK66" s="557"/>
      <c r="SKL66" s="557"/>
      <c r="SKM66" s="557"/>
      <c r="SKN66" s="557"/>
      <c r="SKO66" s="557"/>
      <c r="SKP66" s="557"/>
      <c r="SKQ66" s="557"/>
      <c r="SKR66" s="557"/>
      <c r="SKS66" s="557"/>
      <c r="SKT66" s="557"/>
      <c r="SKU66" s="557"/>
      <c r="SKV66" s="557"/>
      <c r="SKW66" s="557"/>
      <c r="SKX66" s="557"/>
      <c r="SKY66" s="557"/>
      <c r="SKZ66" s="557"/>
      <c r="SLA66" s="557"/>
      <c r="SLB66" s="557"/>
      <c r="SLC66" s="661"/>
      <c r="SLD66" s="556"/>
      <c r="SLE66" s="557"/>
      <c r="SLF66" s="557"/>
      <c r="SLG66" s="557"/>
      <c r="SLH66" s="557"/>
      <c r="SLI66" s="557"/>
      <c r="SLJ66" s="557"/>
      <c r="SLK66" s="557"/>
      <c r="SLL66" s="557"/>
      <c r="SLM66" s="557"/>
      <c r="SLN66" s="557"/>
      <c r="SLO66" s="557"/>
      <c r="SLP66" s="557"/>
      <c r="SLQ66" s="557"/>
      <c r="SLR66" s="557"/>
      <c r="SLS66" s="557"/>
      <c r="SLT66" s="557"/>
      <c r="SLU66" s="557"/>
      <c r="SLV66" s="557"/>
      <c r="SLW66" s="661"/>
      <c r="SLX66" s="556"/>
      <c r="SLY66" s="557"/>
      <c r="SLZ66" s="557"/>
      <c r="SMA66" s="557"/>
      <c r="SMB66" s="557"/>
      <c r="SMC66" s="557"/>
      <c r="SMD66" s="557"/>
      <c r="SME66" s="557"/>
      <c r="SMF66" s="557"/>
      <c r="SMG66" s="557"/>
      <c r="SMH66" s="557"/>
      <c r="SMI66" s="557"/>
      <c r="SMJ66" s="557"/>
      <c r="SMK66" s="557"/>
      <c r="SML66" s="557"/>
      <c r="SMM66" s="557"/>
      <c r="SMN66" s="557"/>
      <c r="SMO66" s="557"/>
      <c r="SMP66" s="557"/>
      <c r="SMQ66" s="661"/>
      <c r="SMR66" s="556"/>
      <c r="SMS66" s="557"/>
      <c r="SMT66" s="557"/>
      <c r="SMU66" s="557"/>
      <c r="SMV66" s="557"/>
      <c r="SMW66" s="557"/>
      <c r="SMX66" s="557"/>
      <c r="SMY66" s="557"/>
      <c r="SMZ66" s="557"/>
      <c r="SNA66" s="557"/>
      <c r="SNB66" s="557"/>
      <c r="SNC66" s="557"/>
      <c r="SND66" s="557"/>
      <c r="SNE66" s="557"/>
      <c r="SNF66" s="557"/>
      <c r="SNG66" s="557"/>
      <c r="SNH66" s="557"/>
      <c r="SNI66" s="557"/>
      <c r="SNJ66" s="557"/>
      <c r="SNK66" s="661"/>
      <c r="SNL66" s="556"/>
      <c r="SNM66" s="557"/>
      <c r="SNN66" s="557"/>
      <c r="SNO66" s="557"/>
      <c r="SNP66" s="557"/>
      <c r="SNQ66" s="557"/>
      <c r="SNR66" s="557"/>
      <c r="SNS66" s="557"/>
      <c r="SNT66" s="557"/>
      <c r="SNU66" s="557"/>
      <c r="SNV66" s="557"/>
      <c r="SNW66" s="557"/>
      <c r="SNX66" s="557"/>
      <c r="SNY66" s="557"/>
      <c r="SNZ66" s="557"/>
      <c r="SOA66" s="557"/>
      <c r="SOB66" s="557"/>
      <c r="SOC66" s="557"/>
      <c r="SOD66" s="557"/>
      <c r="SOE66" s="661"/>
      <c r="SOF66" s="556"/>
      <c r="SOG66" s="557"/>
      <c r="SOH66" s="557"/>
      <c r="SOI66" s="557"/>
      <c r="SOJ66" s="557"/>
      <c r="SOK66" s="557"/>
      <c r="SOL66" s="557"/>
      <c r="SOM66" s="557"/>
      <c r="SON66" s="557"/>
      <c r="SOO66" s="557"/>
      <c r="SOP66" s="557"/>
      <c r="SOQ66" s="557"/>
      <c r="SOR66" s="557"/>
      <c r="SOS66" s="557"/>
      <c r="SOT66" s="557"/>
      <c r="SOU66" s="557"/>
      <c r="SOV66" s="557"/>
      <c r="SOW66" s="557"/>
      <c r="SOX66" s="557"/>
      <c r="SOY66" s="661"/>
      <c r="SOZ66" s="556"/>
      <c r="SPA66" s="557"/>
      <c r="SPB66" s="557"/>
      <c r="SPC66" s="557"/>
      <c r="SPD66" s="557"/>
      <c r="SPE66" s="557"/>
      <c r="SPF66" s="557"/>
      <c r="SPG66" s="557"/>
      <c r="SPH66" s="557"/>
      <c r="SPI66" s="557"/>
      <c r="SPJ66" s="557"/>
      <c r="SPK66" s="557"/>
      <c r="SPL66" s="557"/>
      <c r="SPM66" s="557"/>
      <c r="SPN66" s="557"/>
      <c r="SPO66" s="557"/>
      <c r="SPP66" s="557"/>
      <c r="SPQ66" s="557"/>
      <c r="SPR66" s="557"/>
      <c r="SPS66" s="661"/>
      <c r="SPT66" s="556"/>
      <c r="SPU66" s="557"/>
      <c r="SPV66" s="557"/>
      <c r="SPW66" s="557"/>
      <c r="SPX66" s="557"/>
      <c r="SPY66" s="557"/>
      <c r="SPZ66" s="557"/>
      <c r="SQA66" s="557"/>
      <c r="SQB66" s="557"/>
      <c r="SQC66" s="557"/>
      <c r="SQD66" s="557"/>
      <c r="SQE66" s="557"/>
      <c r="SQF66" s="557"/>
      <c r="SQG66" s="557"/>
      <c r="SQH66" s="557"/>
      <c r="SQI66" s="557"/>
      <c r="SQJ66" s="557"/>
      <c r="SQK66" s="557"/>
      <c r="SQL66" s="557"/>
      <c r="SQM66" s="661"/>
      <c r="SQN66" s="556"/>
      <c r="SQO66" s="557"/>
      <c r="SQP66" s="557"/>
      <c r="SQQ66" s="557"/>
      <c r="SQR66" s="557"/>
      <c r="SQS66" s="557"/>
      <c r="SQT66" s="557"/>
      <c r="SQU66" s="557"/>
      <c r="SQV66" s="557"/>
      <c r="SQW66" s="557"/>
      <c r="SQX66" s="557"/>
      <c r="SQY66" s="557"/>
      <c r="SQZ66" s="557"/>
      <c r="SRA66" s="557"/>
      <c r="SRB66" s="557"/>
      <c r="SRC66" s="557"/>
      <c r="SRD66" s="557"/>
      <c r="SRE66" s="557"/>
      <c r="SRF66" s="557"/>
      <c r="SRG66" s="661"/>
      <c r="SRH66" s="556"/>
      <c r="SRI66" s="557"/>
      <c r="SRJ66" s="557"/>
      <c r="SRK66" s="557"/>
      <c r="SRL66" s="557"/>
      <c r="SRM66" s="557"/>
      <c r="SRN66" s="557"/>
      <c r="SRO66" s="557"/>
      <c r="SRP66" s="557"/>
      <c r="SRQ66" s="557"/>
      <c r="SRR66" s="557"/>
      <c r="SRS66" s="557"/>
      <c r="SRT66" s="557"/>
      <c r="SRU66" s="557"/>
      <c r="SRV66" s="557"/>
      <c r="SRW66" s="557"/>
      <c r="SRX66" s="557"/>
      <c r="SRY66" s="557"/>
      <c r="SRZ66" s="557"/>
      <c r="SSA66" s="661"/>
      <c r="SSB66" s="556"/>
      <c r="SSC66" s="557"/>
      <c r="SSD66" s="557"/>
      <c r="SSE66" s="557"/>
      <c r="SSF66" s="557"/>
      <c r="SSG66" s="557"/>
      <c r="SSH66" s="557"/>
      <c r="SSI66" s="557"/>
      <c r="SSJ66" s="557"/>
      <c r="SSK66" s="557"/>
      <c r="SSL66" s="557"/>
      <c r="SSM66" s="557"/>
      <c r="SSN66" s="557"/>
      <c r="SSO66" s="557"/>
      <c r="SSP66" s="557"/>
      <c r="SSQ66" s="557"/>
      <c r="SSR66" s="557"/>
      <c r="SSS66" s="557"/>
      <c r="SST66" s="557"/>
      <c r="SSU66" s="661"/>
      <c r="SSV66" s="556"/>
      <c r="SSW66" s="557"/>
      <c r="SSX66" s="557"/>
      <c r="SSY66" s="557"/>
      <c r="SSZ66" s="557"/>
      <c r="STA66" s="557"/>
      <c r="STB66" s="557"/>
      <c r="STC66" s="557"/>
      <c r="STD66" s="557"/>
      <c r="STE66" s="557"/>
      <c r="STF66" s="557"/>
      <c r="STG66" s="557"/>
      <c r="STH66" s="557"/>
      <c r="STI66" s="557"/>
      <c r="STJ66" s="557"/>
      <c r="STK66" s="557"/>
      <c r="STL66" s="557"/>
      <c r="STM66" s="557"/>
      <c r="STN66" s="557"/>
      <c r="STO66" s="661"/>
      <c r="STP66" s="556"/>
      <c r="STQ66" s="557"/>
      <c r="STR66" s="557"/>
      <c r="STS66" s="557"/>
      <c r="STT66" s="557"/>
      <c r="STU66" s="557"/>
      <c r="STV66" s="557"/>
      <c r="STW66" s="557"/>
      <c r="STX66" s="557"/>
      <c r="STY66" s="557"/>
      <c r="STZ66" s="557"/>
      <c r="SUA66" s="557"/>
      <c r="SUB66" s="557"/>
      <c r="SUC66" s="557"/>
      <c r="SUD66" s="557"/>
      <c r="SUE66" s="557"/>
      <c r="SUF66" s="557"/>
      <c r="SUG66" s="557"/>
      <c r="SUH66" s="557"/>
      <c r="SUI66" s="661"/>
      <c r="SUJ66" s="556"/>
      <c r="SUK66" s="557"/>
      <c r="SUL66" s="557"/>
      <c r="SUM66" s="557"/>
      <c r="SUN66" s="557"/>
      <c r="SUO66" s="557"/>
      <c r="SUP66" s="557"/>
      <c r="SUQ66" s="557"/>
      <c r="SUR66" s="557"/>
      <c r="SUS66" s="557"/>
      <c r="SUT66" s="557"/>
      <c r="SUU66" s="557"/>
      <c r="SUV66" s="557"/>
      <c r="SUW66" s="557"/>
      <c r="SUX66" s="557"/>
      <c r="SUY66" s="557"/>
      <c r="SUZ66" s="557"/>
      <c r="SVA66" s="557"/>
      <c r="SVB66" s="557"/>
      <c r="SVC66" s="661"/>
      <c r="SVD66" s="556"/>
      <c r="SVE66" s="557"/>
      <c r="SVF66" s="557"/>
      <c r="SVG66" s="557"/>
      <c r="SVH66" s="557"/>
      <c r="SVI66" s="557"/>
      <c r="SVJ66" s="557"/>
      <c r="SVK66" s="557"/>
      <c r="SVL66" s="557"/>
      <c r="SVM66" s="557"/>
      <c r="SVN66" s="557"/>
      <c r="SVO66" s="557"/>
      <c r="SVP66" s="557"/>
      <c r="SVQ66" s="557"/>
      <c r="SVR66" s="557"/>
      <c r="SVS66" s="557"/>
      <c r="SVT66" s="557"/>
      <c r="SVU66" s="557"/>
      <c r="SVV66" s="557"/>
      <c r="SVW66" s="661"/>
      <c r="SVX66" s="556"/>
      <c r="SVY66" s="557"/>
      <c r="SVZ66" s="557"/>
      <c r="SWA66" s="557"/>
      <c r="SWB66" s="557"/>
      <c r="SWC66" s="557"/>
      <c r="SWD66" s="557"/>
      <c r="SWE66" s="557"/>
      <c r="SWF66" s="557"/>
      <c r="SWG66" s="557"/>
      <c r="SWH66" s="557"/>
      <c r="SWI66" s="557"/>
      <c r="SWJ66" s="557"/>
      <c r="SWK66" s="557"/>
      <c r="SWL66" s="557"/>
      <c r="SWM66" s="557"/>
      <c r="SWN66" s="557"/>
      <c r="SWO66" s="557"/>
      <c r="SWP66" s="557"/>
      <c r="SWQ66" s="661"/>
      <c r="SWR66" s="556"/>
      <c r="SWS66" s="557"/>
      <c r="SWT66" s="557"/>
      <c r="SWU66" s="557"/>
      <c r="SWV66" s="557"/>
      <c r="SWW66" s="557"/>
      <c r="SWX66" s="557"/>
      <c r="SWY66" s="557"/>
      <c r="SWZ66" s="557"/>
      <c r="SXA66" s="557"/>
      <c r="SXB66" s="557"/>
      <c r="SXC66" s="557"/>
      <c r="SXD66" s="557"/>
      <c r="SXE66" s="557"/>
      <c r="SXF66" s="557"/>
      <c r="SXG66" s="557"/>
      <c r="SXH66" s="557"/>
      <c r="SXI66" s="557"/>
      <c r="SXJ66" s="557"/>
      <c r="SXK66" s="661"/>
      <c r="SXL66" s="556"/>
      <c r="SXM66" s="557"/>
      <c r="SXN66" s="557"/>
      <c r="SXO66" s="557"/>
      <c r="SXP66" s="557"/>
      <c r="SXQ66" s="557"/>
      <c r="SXR66" s="557"/>
      <c r="SXS66" s="557"/>
      <c r="SXT66" s="557"/>
      <c r="SXU66" s="557"/>
      <c r="SXV66" s="557"/>
      <c r="SXW66" s="557"/>
      <c r="SXX66" s="557"/>
      <c r="SXY66" s="557"/>
      <c r="SXZ66" s="557"/>
      <c r="SYA66" s="557"/>
      <c r="SYB66" s="557"/>
      <c r="SYC66" s="557"/>
      <c r="SYD66" s="557"/>
      <c r="SYE66" s="661"/>
      <c r="SYF66" s="556"/>
      <c r="SYG66" s="557"/>
      <c r="SYH66" s="557"/>
      <c r="SYI66" s="557"/>
      <c r="SYJ66" s="557"/>
      <c r="SYK66" s="557"/>
      <c r="SYL66" s="557"/>
      <c r="SYM66" s="557"/>
      <c r="SYN66" s="557"/>
      <c r="SYO66" s="557"/>
      <c r="SYP66" s="557"/>
      <c r="SYQ66" s="557"/>
      <c r="SYR66" s="557"/>
      <c r="SYS66" s="557"/>
      <c r="SYT66" s="557"/>
      <c r="SYU66" s="557"/>
      <c r="SYV66" s="557"/>
      <c r="SYW66" s="557"/>
      <c r="SYX66" s="557"/>
      <c r="SYY66" s="661"/>
      <c r="SYZ66" s="556"/>
      <c r="SZA66" s="557"/>
      <c r="SZB66" s="557"/>
      <c r="SZC66" s="557"/>
      <c r="SZD66" s="557"/>
      <c r="SZE66" s="557"/>
      <c r="SZF66" s="557"/>
      <c r="SZG66" s="557"/>
      <c r="SZH66" s="557"/>
      <c r="SZI66" s="557"/>
      <c r="SZJ66" s="557"/>
      <c r="SZK66" s="557"/>
      <c r="SZL66" s="557"/>
      <c r="SZM66" s="557"/>
      <c r="SZN66" s="557"/>
      <c r="SZO66" s="557"/>
      <c r="SZP66" s="557"/>
      <c r="SZQ66" s="557"/>
      <c r="SZR66" s="557"/>
      <c r="SZS66" s="661"/>
      <c r="SZT66" s="556"/>
      <c r="SZU66" s="557"/>
      <c r="SZV66" s="557"/>
      <c r="SZW66" s="557"/>
      <c r="SZX66" s="557"/>
      <c r="SZY66" s="557"/>
      <c r="SZZ66" s="557"/>
      <c r="TAA66" s="557"/>
      <c r="TAB66" s="557"/>
      <c r="TAC66" s="557"/>
      <c r="TAD66" s="557"/>
      <c r="TAE66" s="557"/>
      <c r="TAF66" s="557"/>
      <c r="TAG66" s="557"/>
      <c r="TAH66" s="557"/>
      <c r="TAI66" s="557"/>
      <c r="TAJ66" s="557"/>
      <c r="TAK66" s="557"/>
      <c r="TAL66" s="557"/>
      <c r="TAM66" s="661"/>
      <c r="TAN66" s="556"/>
      <c r="TAO66" s="557"/>
      <c r="TAP66" s="557"/>
      <c r="TAQ66" s="557"/>
      <c r="TAR66" s="557"/>
      <c r="TAS66" s="557"/>
      <c r="TAT66" s="557"/>
      <c r="TAU66" s="557"/>
      <c r="TAV66" s="557"/>
      <c r="TAW66" s="557"/>
      <c r="TAX66" s="557"/>
      <c r="TAY66" s="557"/>
      <c r="TAZ66" s="557"/>
      <c r="TBA66" s="557"/>
      <c r="TBB66" s="557"/>
      <c r="TBC66" s="557"/>
      <c r="TBD66" s="557"/>
      <c r="TBE66" s="557"/>
      <c r="TBF66" s="557"/>
      <c r="TBG66" s="661"/>
      <c r="TBH66" s="556"/>
      <c r="TBI66" s="557"/>
      <c r="TBJ66" s="557"/>
      <c r="TBK66" s="557"/>
      <c r="TBL66" s="557"/>
      <c r="TBM66" s="557"/>
      <c r="TBN66" s="557"/>
      <c r="TBO66" s="557"/>
      <c r="TBP66" s="557"/>
      <c r="TBQ66" s="557"/>
      <c r="TBR66" s="557"/>
      <c r="TBS66" s="557"/>
      <c r="TBT66" s="557"/>
      <c r="TBU66" s="557"/>
      <c r="TBV66" s="557"/>
      <c r="TBW66" s="557"/>
      <c r="TBX66" s="557"/>
      <c r="TBY66" s="557"/>
      <c r="TBZ66" s="557"/>
      <c r="TCA66" s="661"/>
      <c r="TCB66" s="556"/>
      <c r="TCC66" s="557"/>
      <c r="TCD66" s="557"/>
      <c r="TCE66" s="557"/>
      <c r="TCF66" s="557"/>
      <c r="TCG66" s="557"/>
      <c r="TCH66" s="557"/>
      <c r="TCI66" s="557"/>
      <c r="TCJ66" s="557"/>
      <c r="TCK66" s="557"/>
      <c r="TCL66" s="557"/>
      <c r="TCM66" s="557"/>
      <c r="TCN66" s="557"/>
      <c r="TCO66" s="557"/>
      <c r="TCP66" s="557"/>
      <c r="TCQ66" s="557"/>
      <c r="TCR66" s="557"/>
      <c r="TCS66" s="557"/>
      <c r="TCT66" s="557"/>
      <c r="TCU66" s="661"/>
      <c r="TCV66" s="556"/>
      <c r="TCW66" s="557"/>
      <c r="TCX66" s="557"/>
      <c r="TCY66" s="557"/>
      <c r="TCZ66" s="557"/>
      <c r="TDA66" s="557"/>
      <c r="TDB66" s="557"/>
      <c r="TDC66" s="557"/>
      <c r="TDD66" s="557"/>
      <c r="TDE66" s="557"/>
      <c r="TDF66" s="557"/>
      <c r="TDG66" s="557"/>
      <c r="TDH66" s="557"/>
      <c r="TDI66" s="557"/>
      <c r="TDJ66" s="557"/>
      <c r="TDK66" s="557"/>
      <c r="TDL66" s="557"/>
      <c r="TDM66" s="557"/>
      <c r="TDN66" s="557"/>
      <c r="TDO66" s="661"/>
      <c r="TDP66" s="556"/>
      <c r="TDQ66" s="557"/>
      <c r="TDR66" s="557"/>
      <c r="TDS66" s="557"/>
      <c r="TDT66" s="557"/>
      <c r="TDU66" s="557"/>
      <c r="TDV66" s="557"/>
      <c r="TDW66" s="557"/>
      <c r="TDX66" s="557"/>
      <c r="TDY66" s="557"/>
      <c r="TDZ66" s="557"/>
      <c r="TEA66" s="557"/>
      <c r="TEB66" s="557"/>
      <c r="TEC66" s="557"/>
      <c r="TED66" s="557"/>
      <c r="TEE66" s="557"/>
      <c r="TEF66" s="557"/>
      <c r="TEG66" s="557"/>
      <c r="TEH66" s="557"/>
      <c r="TEI66" s="661"/>
      <c r="TEJ66" s="556"/>
      <c r="TEK66" s="557"/>
      <c r="TEL66" s="557"/>
      <c r="TEM66" s="557"/>
      <c r="TEN66" s="557"/>
      <c r="TEO66" s="557"/>
      <c r="TEP66" s="557"/>
      <c r="TEQ66" s="557"/>
      <c r="TER66" s="557"/>
      <c r="TES66" s="557"/>
      <c r="TET66" s="557"/>
      <c r="TEU66" s="557"/>
      <c r="TEV66" s="557"/>
      <c r="TEW66" s="557"/>
      <c r="TEX66" s="557"/>
      <c r="TEY66" s="557"/>
      <c r="TEZ66" s="557"/>
      <c r="TFA66" s="557"/>
      <c r="TFB66" s="557"/>
      <c r="TFC66" s="661"/>
      <c r="TFD66" s="556"/>
      <c r="TFE66" s="557"/>
      <c r="TFF66" s="557"/>
      <c r="TFG66" s="557"/>
      <c r="TFH66" s="557"/>
      <c r="TFI66" s="557"/>
      <c r="TFJ66" s="557"/>
      <c r="TFK66" s="557"/>
      <c r="TFL66" s="557"/>
      <c r="TFM66" s="557"/>
      <c r="TFN66" s="557"/>
      <c r="TFO66" s="557"/>
      <c r="TFP66" s="557"/>
      <c r="TFQ66" s="557"/>
      <c r="TFR66" s="557"/>
      <c r="TFS66" s="557"/>
      <c r="TFT66" s="557"/>
      <c r="TFU66" s="557"/>
      <c r="TFV66" s="557"/>
      <c r="TFW66" s="661"/>
      <c r="TFX66" s="556"/>
      <c r="TFY66" s="557"/>
      <c r="TFZ66" s="557"/>
      <c r="TGA66" s="557"/>
      <c r="TGB66" s="557"/>
      <c r="TGC66" s="557"/>
      <c r="TGD66" s="557"/>
      <c r="TGE66" s="557"/>
      <c r="TGF66" s="557"/>
      <c r="TGG66" s="557"/>
      <c r="TGH66" s="557"/>
      <c r="TGI66" s="557"/>
      <c r="TGJ66" s="557"/>
      <c r="TGK66" s="557"/>
      <c r="TGL66" s="557"/>
      <c r="TGM66" s="557"/>
      <c r="TGN66" s="557"/>
      <c r="TGO66" s="557"/>
      <c r="TGP66" s="557"/>
      <c r="TGQ66" s="661"/>
      <c r="TGR66" s="556"/>
      <c r="TGS66" s="557"/>
      <c r="TGT66" s="557"/>
      <c r="TGU66" s="557"/>
      <c r="TGV66" s="557"/>
      <c r="TGW66" s="557"/>
      <c r="TGX66" s="557"/>
      <c r="TGY66" s="557"/>
      <c r="TGZ66" s="557"/>
      <c r="THA66" s="557"/>
      <c r="THB66" s="557"/>
      <c r="THC66" s="557"/>
      <c r="THD66" s="557"/>
      <c r="THE66" s="557"/>
      <c r="THF66" s="557"/>
      <c r="THG66" s="557"/>
      <c r="THH66" s="557"/>
      <c r="THI66" s="557"/>
      <c r="THJ66" s="557"/>
      <c r="THK66" s="661"/>
      <c r="THL66" s="556"/>
      <c r="THM66" s="557"/>
      <c r="THN66" s="557"/>
      <c r="THO66" s="557"/>
      <c r="THP66" s="557"/>
      <c r="THQ66" s="557"/>
      <c r="THR66" s="557"/>
      <c r="THS66" s="557"/>
      <c r="THT66" s="557"/>
      <c r="THU66" s="557"/>
      <c r="THV66" s="557"/>
      <c r="THW66" s="557"/>
      <c r="THX66" s="557"/>
      <c r="THY66" s="557"/>
      <c r="THZ66" s="557"/>
      <c r="TIA66" s="557"/>
      <c r="TIB66" s="557"/>
      <c r="TIC66" s="557"/>
      <c r="TID66" s="557"/>
      <c r="TIE66" s="661"/>
      <c r="TIF66" s="556"/>
      <c r="TIG66" s="557"/>
      <c r="TIH66" s="557"/>
      <c r="TII66" s="557"/>
      <c r="TIJ66" s="557"/>
      <c r="TIK66" s="557"/>
      <c r="TIL66" s="557"/>
      <c r="TIM66" s="557"/>
      <c r="TIN66" s="557"/>
      <c r="TIO66" s="557"/>
      <c r="TIP66" s="557"/>
      <c r="TIQ66" s="557"/>
      <c r="TIR66" s="557"/>
      <c r="TIS66" s="557"/>
      <c r="TIT66" s="557"/>
      <c r="TIU66" s="557"/>
      <c r="TIV66" s="557"/>
      <c r="TIW66" s="557"/>
      <c r="TIX66" s="557"/>
      <c r="TIY66" s="661"/>
      <c r="TIZ66" s="556"/>
      <c r="TJA66" s="557"/>
      <c r="TJB66" s="557"/>
      <c r="TJC66" s="557"/>
      <c r="TJD66" s="557"/>
      <c r="TJE66" s="557"/>
      <c r="TJF66" s="557"/>
      <c r="TJG66" s="557"/>
      <c r="TJH66" s="557"/>
      <c r="TJI66" s="557"/>
      <c r="TJJ66" s="557"/>
      <c r="TJK66" s="557"/>
      <c r="TJL66" s="557"/>
      <c r="TJM66" s="557"/>
      <c r="TJN66" s="557"/>
      <c r="TJO66" s="557"/>
      <c r="TJP66" s="557"/>
      <c r="TJQ66" s="557"/>
      <c r="TJR66" s="557"/>
      <c r="TJS66" s="661"/>
      <c r="TJT66" s="556"/>
      <c r="TJU66" s="557"/>
      <c r="TJV66" s="557"/>
      <c r="TJW66" s="557"/>
      <c r="TJX66" s="557"/>
      <c r="TJY66" s="557"/>
      <c r="TJZ66" s="557"/>
      <c r="TKA66" s="557"/>
      <c r="TKB66" s="557"/>
      <c r="TKC66" s="557"/>
      <c r="TKD66" s="557"/>
      <c r="TKE66" s="557"/>
      <c r="TKF66" s="557"/>
      <c r="TKG66" s="557"/>
      <c r="TKH66" s="557"/>
      <c r="TKI66" s="557"/>
      <c r="TKJ66" s="557"/>
      <c r="TKK66" s="557"/>
      <c r="TKL66" s="557"/>
      <c r="TKM66" s="661"/>
      <c r="TKN66" s="556"/>
      <c r="TKO66" s="557"/>
      <c r="TKP66" s="557"/>
      <c r="TKQ66" s="557"/>
      <c r="TKR66" s="557"/>
      <c r="TKS66" s="557"/>
      <c r="TKT66" s="557"/>
      <c r="TKU66" s="557"/>
      <c r="TKV66" s="557"/>
      <c r="TKW66" s="557"/>
      <c r="TKX66" s="557"/>
      <c r="TKY66" s="557"/>
      <c r="TKZ66" s="557"/>
      <c r="TLA66" s="557"/>
      <c r="TLB66" s="557"/>
      <c r="TLC66" s="557"/>
      <c r="TLD66" s="557"/>
      <c r="TLE66" s="557"/>
      <c r="TLF66" s="557"/>
      <c r="TLG66" s="661"/>
      <c r="TLH66" s="556"/>
      <c r="TLI66" s="557"/>
      <c r="TLJ66" s="557"/>
      <c r="TLK66" s="557"/>
      <c r="TLL66" s="557"/>
      <c r="TLM66" s="557"/>
      <c r="TLN66" s="557"/>
      <c r="TLO66" s="557"/>
      <c r="TLP66" s="557"/>
      <c r="TLQ66" s="557"/>
      <c r="TLR66" s="557"/>
      <c r="TLS66" s="557"/>
      <c r="TLT66" s="557"/>
      <c r="TLU66" s="557"/>
      <c r="TLV66" s="557"/>
      <c r="TLW66" s="557"/>
      <c r="TLX66" s="557"/>
      <c r="TLY66" s="557"/>
      <c r="TLZ66" s="557"/>
      <c r="TMA66" s="661"/>
      <c r="TMB66" s="556"/>
      <c r="TMC66" s="557"/>
      <c r="TMD66" s="557"/>
      <c r="TME66" s="557"/>
      <c r="TMF66" s="557"/>
      <c r="TMG66" s="557"/>
      <c r="TMH66" s="557"/>
      <c r="TMI66" s="557"/>
      <c r="TMJ66" s="557"/>
      <c r="TMK66" s="557"/>
      <c r="TML66" s="557"/>
      <c r="TMM66" s="557"/>
      <c r="TMN66" s="557"/>
      <c r="TMO66" s="557"/>
      <c r="TMP66" s="557"/>
      <c r="TMQ66" s="557"/>
      <c r="TMR66" s="557"/>
      <c r="TMS66" s="557"/>
      <c r="TMT66" s="557"/>
      <c r="TMU66" s="661"/>
      <c r="TMV66" s="556"/>
      <c r="TMW66" s="557"/>
      <c r="TMX66" s="557"/>
      <c r="TMY66" s="557"/>
      <c r="TMZ66" s="557"/>
      <c r="TNA66" s="557"/>
      <c r="TNB66" s="557"/>
      <c r="TNC66" s="557"/>
      <c r="TND66" s="557"/>
      <c r="TNE66" s="557"/>
      <c r="TNF66" s="557"/>
      <c r="TNG66" s="557"/>
      <c r="TNH66" s="557"/>
      <c r="TNI66" s="557"/>
      <c r="TNJ66" s="557"/>
      <c r="TNK66" s="557"/>
      <c r="TNL66" s="557"/>
      <c r="TNM66" s="557"/>
      <c r="TNN66" s="557"/>
      <c r="TNO66" s="661"/>
      <c r="TNP66" s="556"/>
      <c r="TNQ66" s="557"/>
      <c r="TNR66" s="557"/>
      <c r="TNS66" s="557"/>
      <c r="TNT66" s="557"/>
      <c r="TNU66" s="557"/>
      <c r="TNV66" s="557"/>
      <c r="TNW66" s="557"/>
      <c r="TNX66" s="557"/>
      <c r="TNY66" s="557"/>
      <c r="TNZ66" s="557"/>
      <c r="TOA66" s="557"/>
      <c r="TOB66" s="557"/>
      <c r="TOC66" s="557"/>
      <c r="TOD66" s="557"/>
      <c r="TOE66" s="557"/>
      <c r="TOF66" s="557"/>
      <c r="TOG66" s="557"/>
      <c r="TOH66" s="557"/>
      <c r="TOI66" s="661"/>
      <c r="TOJ66" s="556"/>
      <c r="TOK66" s="557"/>
      <c r="TOL66" s="557"/>
      <c r="TOM66" s="557"/>
      <c r="TON66" s="557"/>
      <c r="TOO66" s="557"/>
      <c r="TOP66" s="557"/>
      <c r="TOQ66" s="557"/>
      <c r="TOR66" s="557"/>
      <c r="TOS66" s="557"/>
      <c r="TOT66" s="557"/>
      <c r="TOU66" s="557"/>
      <c r="TOV66" s="557"/>
      <c r="TOW66" s="557"/>
      <c r="TOX66" s="557"/>
      <c r="TOY66" s="557"/>
      <c r="TOZ66" s="557"/>
      <c r="TPA66" s="557"/>
      <c r="TPB66" s="557"/>
      <c r="TPC66" s="661"/>
      <c r="TPD66" s="556"/>
      <c r="TPE66" s="557"/>
      <c r="TPF66" s="557"/>
      <c r="TPG66" s="557"/>
      <c r="TPH66" s="557"/>
      <c r="TPI66" s="557"/>
      <c r="TPJ66" s="557"/>
      <c r="TPK66" s="557"/>
      <c r="TPL66" s="557"/>
      <c r="TPM66" s="557"/>
      <c r="TPN66" s="557"/>
      <c r="TPO66" s="557"/>
      <c r="TPP66" s="557"/>
      <c r="TPQ66" s="557"/>
      <c r="TPR66" s="557"/>
      <c r="TPS66" s="557"/>
      <c r="TPT66" s="557"/>
      <c r="TPU66" s="557"/>
      <c r="TPV66" s="557"/>
      <c r="TPW66" s="661"/>
      <c r="TPX66" s="556"/>
      <c r="TPY66" s="557"/>
      <c r="TPZ66" s="557"/>
      <c r="TQA66" s="557"/>
      <c r="TQB66" s="557"/>
      <c r="TQC66" s="557"/>
      <c r="TQD66" s="557"/>
      <c r="TQE66" s="557"/>
      <c r="TQF66" s="557"/>
      <c r="TQG66" s="557"/>
      <c r="TQH66" s="557"/>
      <c r="TQI66" s="557"/>
      <c r="TQJ66" s="557"/>
      <c r="TQK66" s="557"/>
      <c r="TQL66" s="557"/>
      <c r="TQM66" s="557"/>
      <c r="TQN66" s="557"/>
      <c r="TQO66" s="557"/>
      <c r="TQP66" s="557"/>
      <c r="TQQ66" s="661"/>
      <c r="TQR66" s="556"/>
      <c r="TQS66" s="557"/>
      <c r="TQT66" s="557"/>
      <c r="TQU66" s="557"/>
      <c r="TQV66" s="557"/>
      <c r="TQW66" s="557"/>
      <c r="TQX66" s="557"/>
      <c r="TQY66" s="557"/>
      <c r="TQZ66" s="557"/>
      <c r="TRA66" s="557"/>
      <c r="TRB66" s="557"/>
      <c r="TRC66" s="557"/>
      <c r="TRD66" s="557"/>
      <c r="TRE66" s="557"/>
      <c r="TRF66" s="557"/>
      <c r="TRG66" s="557"/>
      <c r="TRH66" s="557"/>
      <c r="TRI66" s="557"/>
      <c r="TRJ66" s="557"/>
      <c r="TRK66" s="661"/>
      <c r="TRL66" s="556"/>
      <c r="TRM66" s="557"/>
      <c r="TRN66" s="557"/>
      <c r="TRO66" s="557"/>
      <c r="TRP66" s="557"/>
      <c r="TRQ66" s="557"/>
      <c r="TRR66" s="557"/>
      <c r="TRS66" s="557"/>
      <c r="TRT66" s="557"/>
      <c r="TRU66" s="557"/>
      <c r="TRV66" s="557"/>
      <c r="TRW66" s="557"/>
      <c r="TRX66" s="557"/>
      <c r="TRY66" s="557"/>
      <c r="TRZ66" s="557"/>
      <c r="TSA66" s="557"/>
      <c r="TSB66" s="557"/>
      <c r="TSC66" s="557"/>
      <c r="TSD66" s="557"/>
      <c r="TSE66" s="661"/>
      <c r="TSF66" s="556"/>
      <c r="TSG66" s="557"/>
      <c r="TSH66" s="557"/>
      <c r="TSI66" s="557"/>
      <c r="TSJ66" s="557"/>
      <c r="TSK66" s="557"/>
      <c r="TSL66" s="557"/>
      <c r="TSM66" s="557"/>
      <c r="TSN66" s="557"/>
      <c r="TSO66" s="557"/>
      <c r="TSP66" s="557"/>
      <c r="TSQ66" s="557"/>
      <c r="TSR66" s="557"/>
      <c r="TSS66" s="557"/>
      <c r="TST66" s="557"/>
      <c r="TSU66" s="557"/>
      <c r="TSV66" s="557"/>
      <c r="TSW66" s="557"/>
      <c r="TSX66" s="557"/>
      <c r="TSY66" s="661"/>
      <c r="TSZ66" s="556"/>
      <c r="TTA66" s="557"/>
      <c r="TTB66" s="557"/>
      <c r="TTC66" s="557"/>
      <c r="TTD66" s="557"/>
      <c r="TTE66" s="557"/>
      <c r="TTF66" s="557"/>
      <c r="TTG66" s="557"/>
      <c r="TTH66" s="557"/>
      <c r="TTI66" s="557"/>
      <c r="TTJ66" s="557"/>
      <c r="TTK66" s="557"/>
      <c r="TTL66" s="557"/>
      <c r="TTM66" s="557"/>
      <c r="TTN66" s="557"/>
      <c r="TTO66" s="557"/>
      <c r="TTP66" s="557"/>
      <c r="TTQ66" s="557"/>
      <c r="TTR66" s="557"/>
      <c r="TTS66" s="661"/>
      <c r="TTT66" s="556"/>
      <c r="TTU66" s="557"/>
      <c r="TTV66" s="557"/>
      <c r="TTW66" s="557"/>
      <c r="TTX66" s="557"/>
      <c r="TTY66" s="557"/>
      <c r="TTZ66" s="557"/>
      <c r="TUA66" s="557"/>
      <c r="TUB66" s="557"/>
      <c r="TUC66" s="557"/>
      <c r="TUD66" s="557"/>
      <c r="TUE66" s="557"/>
      <c r="TUF66" s="557"/>
      <c r="TUG66" s="557"/>
      <c r="TUH66" s="557"/>
      <c r="TUI66" s="557"/>
      <c r="TUJ66" s="557"/>
      <c r="TUK66" s="557"/>
      <c r="TUL66" s="557"/>
      <c r="TUM66" s="661"/>
      <c r="TUN66" s="556"/>
      <c r="TUO66" s="557"/>
      <c r="TUP66" s="557"/>
      <c r="TUQ66" s="557"/>
      <c r="TUR66" s="557"/>
      <c r="TUS66" s="557"/>
      <c r="TUT66" s="557"/>
      <c r="TUU66" s="557"/>
      <c r="TUV66" s="557"/>
      <c r="TUW66" s="557"/>
      <c r="TUX66" s="557"/>
      <c r="TUY66" s="557"/>
      <c r="TUZ66" s="557"/>
      <c r="TVA66" s="557"/>
      <c r="TVB66" s="557"/>
      <c r="TVC66" s="557"/>
      <c r="TVD66" s="557"/>
      <c r="TVE66" s="557"/>
      <c r="TVF66" s="557"/>
      <c r="TVG66" s="661"/>
      <c r="TVH66" s="556"/>
      <c r="TVI66" s="557"/>
      <c r="TVJ66" s="557"/>
      <c r="TVK66" s="557"/>
      <c r="TVL66" s="557"/>
      <c r="TVM66" s="557"/>
      <c r="TVN66" s="557"/>
      <c r="TVO66" s="557"/>
      <c r="TVP66" s="557"/>
      <c r="TVQ66" s="557"/>
      <c r="TVR66" s="557"/>
      <c r="TVS66" s="557"/>
      <c r="TVT66" s="557"/>
      <c r="TVU66" s="557"/>
      <c r="TVV66" s="557"/>
      <c r="TVW66" s="557"/>
      <c r="TVX66" s="557"/>
      <c r="TVY66" s="557"/>
      <c r="TVZ66" s="557"/>
      <c r="TWA66" s="661"/>
      <c r="TWB66" s="556"/>
      <c r="TWC66" s="557"/>
      <c r="TWD66" s="557"/>
      <c r="TWE66" s="557"/>
      <c r="TWF66" s="557"/>
      <c r="TWG66" s="557"/>
      <c r="TWH66" s="557"/>
      <c r="TWI66" s="557"/>
      <c r="TWJ66" s="557"/>
      <c r="TWK66" s="557"/>
      <c r="TWL66" s="557"/>
      <c r="TWM66" s="557"/>
      <c r="TWN66" s="557"/>
      <c r="TWO66" s="557"/>
      <c r="TWP66" s="557"/>
      <c r="TWQ66" s="557"/>
      <c r="TWR66" s="557"/>
      <c r="TWS66" s="557"/>
      <c r="TWT66" s="557"/>
      <c r="TWU66" s="661"/>
      <c r="TWV66" s="556"/>
      <c r="TWW66" s="557"/>
      <c r="TWX66" s="557"/>
      <c r="TWY66" s="557"/>
      <c r="TWZ66" s="557"/>
      <c r="TXA66" s="557"/>
      <c r="TXB66" s="557"/>
      <c r="TXC66" s="557"/>
      <c r="TXD66" s="557"/>
      <c r="TXE66" s="557"/>
      <c r="TXF66" s="557"/>
      <c r="TXG66" s="557"/>
      <c r="TXH66" s="557"/>
      <c r="TXI66" s="557"/>
      <c r="TXJ66" s="557"/>
      <c r="TXK66" s="557"/>
      <c r="TXL66" s="557"/>
      <c r="TXM66" s="557"/>
      <c r="TXN66" s="557"/>
      <c r="TXO66" s="661"/>
      <c r="TXP66" s="556"/>
      <c r="TXQ66" s="557"/>
      <c r="TXR66" s="557"/>
      <c r="TXS66" s="557"/>
      <c r="TXT66" s="557"/>
      <c r="TXU66" s="557"/>
      <c r="TXV66" s="557"/>
      <c r="TXW66" s="557"/>
      <c r="TXX66" s="557"/>
      <c r="TXY66" s="557"/>
      <c r="TXZ66" s="557"/>
      <c r="TYA66" s="557"/>
      <c r="TYB66" s="557"/>
      <c r="TYC66" s="557"/>
      <c r="TYD66" s="557"/>
      <c r="TYE66" s="557"/>
      <c r="TYF66" s="557"/>
      <c r="TYG66" s="557"/>
      <c r="TYH66" s="557"/>
      <c r="TYI66" s="661"/>
      <c r="TYJ66" s="556"/>
      <c r="TYK66" s="557"/>
      <c r="TYL66" s="557"/>
      <c r="TYM66" s="557"/>
      <c r="TYN66" s="557"/>
      <c r="TYO66" s="557"/>
      <c r="TYP66" s="557"/>
      <c r="TYQ66" s="557"/>
      <c r="TYR66" s="557"/>
      <c r="TYS66" s="557"/>
      <c r="TYT66" s="557"/>
      <c r="TYU66" s="557"/>
      <c r="TYV66" s="557"/>
      <c r="TYW66" s="557"/>
      <c r="TYX66" s="557"/>
      <c r="TYY66" s="557"/>
      <c r="TYZ66" s="557"/>
      <c r="TZA66" s="557"/>
      <c r="TZB66" s="557"/>
      <c r="TZC66" s="661"/>
      <c r="TZD66" s="556"/>
      <c r="TZE66" s="557"/>
      <c r="TZF66" s="557"/>
      <c r="TZG66" s="557"/>
      <c r="TZH66" s="557"/>
      <c r="TZI66" s="557"/>
      <c r="TZJ66" s="557"/>
      <c r="TZK66" s="557"/>
      <c r="TZL66" s="557"/>
      <c r="TZM66" s="557"/>
      <c r="TZN66" s="557"/>
      <c r="TZO66" s="557"/>
      <c r="TZP66" s="557"/>
      <c r="TZQ66" s="557"/>
      <c r="TZR66" s="557"/>
      <c r="TZS66" s="557"/>
      <c r="TZT66" s="557"/>
      <c r="TZU66" s="557"/>
      <c r="TZV66" s="557"/>
      <c r="TZW66" s="661"/>
      <c r="TZX66" s="556"/>
      <c r="TZY66" s="557"/>
      <c r="TZZ66" s="557"/>
      <c r="UAA66" s="557"/>
      <c r="UAB66" s="557"/>
      <c r="UAC66" s="557"/>
      <c r="UAD66" s="557"/>
      <c r="UAE66" s="557"/>
      <c r="UAF66" s="557"/>
      <c r="UAG66" s="557"/>
      <c r="UAH66" s="557"/>
      <c r="UAI66" s="557"/>
      <c r="UAJ66" s="557"/>
      <c r="UAK66" s="557"/>
      <c r="UAL66" s="557"/>
      <c r="UAM66" s="557"/>
      <c r="UAN66" s="557"/>
      <c r="UAO66" s="557"/>
      <c r="UAP66" s="557"/>
      <c r="UAQ66" s="661"/>
      <c r="UAR66" s="556"/>
      <c r="UAS66" s="557"/>
      <c r="UAT66" s="557"/>
      <c r="UAU66" s="557"/>
      <c r="UAV66" s="557"/>
      <c r="UAW66" s="557"/>
      <c r="UAX66" s="557"/>
      <c r="UAY66" s="557"/>
      <c r="UAZ66" s="557"/>
      <c r="UBA66" s="557"/>
      <c r="UBB66" s="557"/>
      <c r="UBC66" s="557"/>
      <c r="UBD66" s="557"/>
      <c r="UBE66" s="557"/>
      <c r="UBF66" s="557"/>
      <c r="UBG66" s="557"/>
      <c r="UBH66" s="557"/>
      <c r="UBI66" s="557"/>
      <c r="UBJ66" s="557"/>
      <c r="UBK66" s="661"/>
      <c r="UBL66" s="556"/>
      <c r="UBM66" s="557"/>
      <c r="UBN66" s="557"/>
      <c r="UBO66" s="557"/>
      <c r="UBP66" s="557"/>
      <c r="UBQ66" s="557"/>
      <c r="UBR66" s="557"/>
      <c r="UBS66" s="557"/>
      <c r="UBT66" s="557"/>
      <c r="UBU66" s="557"/>
      <c r="UBV66" s="557"/>
      <c r="UBW66" s="557"/>
      <c r="UBX66" s="557"/>
      <c r="UBY66" s="557"/>
      <c r="UBZ66" s="557"/>
      <c r="UCA66" s="557"/>
      <c r="UCB66" s="557"/>
      <c r="UCC66" s="557"/>
      <c r="UCD66" s="557"/>
      <c r="UCE66" s="661"/>
      <c r="UCF66" s="556"/>
      <c r="UCG66" s="557"/>
      <c r="UCH66" s="557"/>
      <c r="UCI66" s="557"/>
      <c r="UCJ66" s="557"/>
      <c r="UCK66" s="557"/>
      <c r="UCL66" s="557"/>
      <c r="UCM66" s="557"/>
      <c r="UCN66" s="557"/>
      <c r="UCO66" s="557"/>
      <c r="UCP66" s="557"/>
      <c r="UCQ66" s="557"/>
      <c r="UCR66" s="557"/>
      <c r="UCS66" s="557"/>
      <c r="UCT66" s="557"/>
      <c r="UCU66" s="557"/>
      <c r="UCV66" s="557"/>
      <c r="UCW66" s="557"/>
      <c r="UCX66" s="557"/>
      <c r="UCY66" s="661"/>
      <c r="UCZ66" s="556"/>
      <c r="UDA66" s="557"/>
      <c r="UDB66" s="557"/>
      <c r="UDC66" s="557"/>
      <c r="UDD66" s="557"/>
      <c r="UDE66" s="557"/>
      <c r="UDF66" s="557"/>
      <c r="UDG66" s="557"/>
      <c r="UDH66" s="557"/>
      <c r="UDI66" s="557"/>
      <c r="UDJ66" s="557"/>
      <c r="UDK66" s="557"/>
      <c r="UDL66" s="557"/>
      <c r="UDM66" s="557"/>
      <c r="UDN66" s="557"/>
      <c r="UDO66" s="557"/>
      <c r="UDP66" s="557"/>
      <c r="UDQ66" s="557"/>
      <c r="UDR66" s="557"/>
      <c r="UDS66" s="661"/>
      <c r="UDT66" s="556"/>
      <c r="UDU66" s="557"/>
      <c r="UDV66" s="557"/>
      <c r="UDW66" s="557"/>
      <c r="UDX66" s="557"/>
      <c r="UDY66" s="557"/>
      <c r="UDZ66" s="557"/>
      <c r="UEA66" s="557"/>
      <c r="UEB66" s="557"/>
      <c r="UEC66" s="557"/>
      <c r="UED66" s="557"/>
      <c r="UEE66" s="557"/>
      <c r="UEF66" s="557"/>
      <c r="UEG66" s="557"/>
      <c r="UEH66" s="557"/>
      <c r="UEI66" s="557"/>
      <c r="UEJ66" s="557"/>
      <c r="UEK66" s="557"/>
      <c r="UEL66" s="557"/>
      <c r="UEM66" s="661"/>
      <c r="UEN66" s="556"/>
      <c r="UEO66" s="557"/>
      <c r="UEP66" s="557"/>
      <c r="UEQ66" s="557"/>
      <c r="UER66" s="557"/>
      <c r="UES66" s="557"/>
      <c r="UET66" s="557"/>
      <c r="UEU66" s="557"/>
      <c r="UEV66" s="557"/>
      <c r="UEW66" s="557"/>
      <c r="UEX66" s="557"/>
      <c r="UEY66" s="557"/>
      <c r="UEZ66" s="557"/>
      <c r="UFA66" s="557"/>
      <c r="UFB66" s="557"/>
      <c r="UFC66" s="557"/>
      <c r="UFD66" s="557"/>
      <c r="UFE66" s="557"/>
      <c r="UFF66" s="557"/>
      <c r="UFG66" s="661"/>
      <c r="UFH66" s="556"/>
      <c r="UFI66" s="557"/>
      <c r="UFJ66" s="557"/>
      <c r="UFK66" s="557"/>
      <c r="UFL66" s="557"/>
      <c r="UFM66" s="557"/>
      <c r="UFN66" s="557"/>
      <c r="UFO66" s="557"/>
      <c r="UFP66" s="557"/>
      <c r="UFQ66" s="557"/>
      <c r="UFR66" s="557"/>
      <c r="UFS66" s="557"/>
      <c r="UFT66" s="557"/>
      <c r="UFU66" s="557"/>
      <c r="UFV66" s="557"/>
      <c r="UFW66" s="557"/>
      <c r="UFX66" s="557"/>
      <c r="UFY66" s="557"/>
      <c r="UFZ66" s="557"/>
      <c r="UGA66" s="661"/>
      <c r="UGB66" s="556"/>
      <c r="UGC66" s="557"/>
      <c r="UGD66" s="557"/>
      <c r="UGE66" s="557"/>
      <c r="UGF66" s="557"/>
      <c r="UGG66" s="557"/>
      <c r="UGH66" s="557"/>
      <c r="UGI66" s="557"/>
      <c r="UGJ66" s="557"/>
      <c r="UGK66" s="557"/>
      <c r="UGL66" s="557"/>
      <c r="UGM66" s="557"/>
      <c r="UGN66" s="557"/>
      <c r="UGO66" s="557"/>
      <c r="UGP66" s="557"/>
      <c r="UGQ66" s="557"/>
      <c r="UGR66" s="557"/>
      <c r="UGS66" s="557"/>
      <c r="UGT66" s="557"/>
      <c r="UGU66" s="661"/>
      <c r="UGV66" s="556"/>
      <c r="UGW66" s="557"/>
      <c r="UGX66" s="557"/>
      <c r="UGY66" s="557"/>
      <c r="UGZ66" s="557"/>
      <c r="UHA66" s="557"/>
      <c r="UHB66" s="557"/>
      <c r="UHC66" s="557"/>
      <c r="UHD66" s="557"/>
      <c r="UHE66" s="557"/>
      <c r="UHF66" s="557"/>
      <c r="UHG66" s="557"/>
      <c r="UHH66" s="557"/>
      <c r="UHI66" s="557"/>
      <c r="UHJ66" s="557"/>
      <c r="UHK66" s="557"/>
      <c r="UHL66" s="557"/>
      <c r="UHM66" s="557"/>
      <c r="UHN66" s="557"/>
      <c r="UHO66" s="661"/>
      <c r="UHP66" s="556"/>
      <c r="UHQ66" s="557"/>
      <c r="UHR66" s="557"/>
      <c r="UHS66" s="557"/>
      <c r="UHT66" s="557"/>
      <c r="UHU66" s="557"/>
      <c r="UHV66" s="557"/>
      <c r="UHW66" s="557"/>
      <c r="UHX66" s="557"/>
      <c r="UHY66" s="557"/>
      <c r="UHZ66" s="557"/>
      <c r="UIA66" s="557"/>
      <c r="UIB66" s="557"/>
      <c r="UIC66" s="557"/>
      <c r="UID66" s="557"/>
      <c r="UIE66" s="557"/>
      <c r="UIF66" s="557"/>
      <c r="UIG66" s="557"/>
      <c r="UIH66" s="557"/>
      <c r="UII66" s="661"/>
      <c r="UIJ66" s="556"/>
      <c r="UIK66" s="557"/>
      <c r="UIL66" s="557"/>
      <c r="UIM66" s="557"/>
      <c r="UIN66" s="557"/>
      <c r="UIO66" s="557"/>
      <c r="UIP66" s="557"/>
      <c r="UIQ66" s="557"/>
      <c r="UIR66" s="557"/>
      <c r="UIS66" s="557"/>
      <c r="UIT66" s="557"/>
      <c r="UIU66" s="557"/>
      <c r="UIV66" s="557"/>
      <c r="UIW66" s="557"/>
      <c r="UIX66" s="557"/>
      <c r="UIY66" s="557"/>
      <c r="UIZ66" s="557"/>
      <c r="UJA66" s="557"/>
      <c r="UJB66" s="557"/>
      <c r="UJC66" s="661"/>
      <c r="UJD66" s="556"/>
      <c r="UJE66" s="557"/>
      <c r="UJF66" s="557"/>
      <c r="UJG66" s="557"/>
      <c r="UJH66" s="557"/>
      <c r="UJI66" s="557"/>
      <c r="UJJ66" s="557"/>
      <c r="UJK66" s="557"/>
      <c r="UJL66" s="557"/>
      <c r="UJM66" s="557"/>
      <c r="UJN66" s="557"/>
      <c r="UJO66" s="557"/>
      <c r="UJP66" s="557"/>
      <c r="UJQ66" s="557"/>
      <c r="UJR66" s="557"/>
      <c r="UJS66" s="557"/>
      <c r="UJT66" s="557"/>
      <c r="UJU66" s="557"/>
      <c r="UJV66" s="557"/>
      <c r="UJW66" s="661"/>
      <c r="UJX66" s="556"/>
      <c r="UJY66" s="557"/>
      <c r="UJZ66" s="557"/>
      <c r="UKA66" s="557"/>
      <c r="UKB66" s="557"/>
      <c r="UKC66" s="557"/>
      <c r="UKD66" s="557"/>
      <c r="UKE66" s="557"/>
      <c r="UKF66" s="557"/>
      <c r="UKG66" s="557"/>
      <c r="UKH66" s="557"/>
      <c r="UKI66" s="557"/>
      <c r="UKJ66" s="557"/>
      <c r="UKK66" s="557"/>
      <c r="UKL66" s="557"/>
      <c r="UKM66" s="557"/>
      <c r="UKN66" s="557"/>
      <c r="UKO66" s="557"/>
      <c r="UKP66" s="557"/>
      <c r="UKQ66" s="661"/>
      <c r="UKR66" s="556"/>
      <c r="UKS66" s="557"/>
      <c r="UKT66" s="557"/>
      <c r="UKU66" s="557"/>
      <c r="UKV66" s="557"/>
      <c r="UKW66" s="557"/>
      <c r="UKX66" s="557"/>
      <c r="UKY66" s="557"/>
      <c r="UKZ66" s="557"/>
      <c r="ULA66" s="557"/>
      <c r="ULB66" s="557"/>
      <c r="ULC66" s="557"/>
      <c r="ULD66" s="557"/>
      <c r="ULE66" s="557"/>
      <c r="ULF66" s="557"/>
      <c r="ULG66" s="557"/>
      <c r="ULH66" s="557"/>
      <c r="ULI66" s="557"/>
      <c r="ULJ66" s="557"/>
      <c r="ULK66" s="661"/>
      <c r="ULL66" s="556"/>
      <c r="ULM66" s="557"/>
      <c r="ULN66" s="557"/>
      <c r="ULO66" s="557"/>
      <c r="ULP66" s="557"/>
      <c r="ULQ66" s="557"/>
      <c r="ULR66" s="557"/>
      <c r="ULS66" s="557"/>
      <c r="ULT66" s="557"/>
      <c r="ULU66" s="557"/>
      <c r="ULV66" s="557"/>
      <c r="ULW66" s="557"/>
      <c r="ULX66" s="557"/>
      <c r="ULY66" s="557"/>
      <c r="ULZ66" s="557"/>
      <c r="UMA66" s="557"/>
      <c r="UMB66" s="557"/>
      <c r="UMC66" s="557"/>
      <c r="UMD66" s="557"/>
      <c r="UME66" s="661"/>
      <c r="UMF66" s="556"/>
      <c r="UMG66" s="557"/>
      <c r="UMH66" s="557"/>
      <c r="UMI66" s="557"/>
      <c r="UMJ66" s="557"/>
      <c r="UMK66" s="557"/>
      <c r="UML66" s="557"/>
      <c r="UMM66" s="557"/>
      <c r="UMN66" s="557"/>
      <c r="UMO66" s="557"/>
      <c r="UMP66" s="557"/>
      <c r="UMQ66" s="557"/>
      <c r="UMR66" s="557"/>
      <c r="UMS66" s="557"/>
      <c r="UMT66" s="557"/>
      <c r="UMU66" s="557"/>
      <c r="UMV66" s="557"/>
      <c r="UMW66" s="557"/>
      <c r="UMX66" s="557"/>
      <c r="UMY66" s="661"/>
      <c r="UMZ66" s="556"/>
      <c r="UNA66" s="557"/>
      <c r="UNB66" s="557"/>
      <c r="UNC66" s="557"/>
      <c r="UND66" s="557"/>
      <c r="UNE66" s="557"/>
      <c r="UNF66" s="557"/>
      <c r="UNG66" s="557"/>
      <c r="UNH66" s="557"/>
      <c r="UNI66" s="557"/>
      <c r="UNJ66" s="557"/>
      <c r="UNK66" s="557"/>
      <c r="UNL66" s="557"/>
      <c r="UNM66" s="557"/>
      <c r="UNN66" s="557"/>
      <c r="UNO66" s="557"/>
      <c r="UNP66" s="557"/>
      <c r="UNQ66" s="557"/>
      <c r="UNR66" s="557"/>
      <c r="UNS66" s="661"/>
      <c r="UNT66" s="556"/>
      <c r="UNU66" s="557"/>
      <c r="UNV66" s="557"/>
      <c r="UNW66" s="557"/>
      <c r="UNX66" s="557"/>
      <c r="UNY66" s="557"/>
      <c r="UNZ66" s="557"/>
      <c r="UOA66" s="557"/>
      <c r="UOB66" s="557"/>
      <c r="UOC66" s="557"/>
      <c r="UOD66" s="557"/>
      <c r="UOE66" s="557"/>
      <c r="UOF66" s="557"/>
      <c r="UOG66" s="557"/>
      <c r="UOH66" s="557"/>
      <c r="UOI66" s="557"/>
      <c r="UOJ66" s="557"/>
      <c r="UOK66" s="557"/>
      <c r="UOL66" s="557"/>
      <c r="UOM66" s="661"/>
      <c r="UON66" s="556"/>
      <c r="UOO66" s="557"/>
      <c r="UOP66" s="557"/>
      <c r="UOQ66" s="557"/>
      <c r="UOR66" s="557"/>
      <c r="UOS66" s="557"/>
      <c r="UOT66" s="557"/>
      <c r="UOU66" s="557"/>
      <c r="UOV66" s="557"/>
      <c r="UOW66" s="557"/>
      <c r="UOX66" s="557"/>
      <c r="UOY66" s="557"/>
      <c r="UOZ66" s="557"/>
      <c r="UPA66" s="557"/>
      <c r="UPB66" s="557"/>
      <c r="UPC66" s="557"/>
      <c r="UPD66" s="557"/>
      <c r="UPE66" s="557"/>
      <c r="UPF66" s="557"/>
      <c r="UPG66" s="661"/>
      <c r="UPH66" s="556"/>
      <c r="UPI66" s="557"/>
      <c r="UPJ66" s="557"/>
      <c r="UPK66" s="557"/>
      <c r="UPL66" s="557"/>
      <c r="UPM66" s="557"/>
      <c r="UPN66" s="557"/>
      <c r="UPO66" s="557"/>
      <c r="UPP66" s="557"/>
      <c r="UPQ66" s="557"/>
      <c r="UPR66" s="557"/>
      <c r="UPS66" s="557"/>
      <c r="UPT66" s="557"/>
      <c r="UPU66" s="557"/>
      <c r="UPV66" s="557"/>
      <c r="UPW66" s="557"/>
      <c r="UPX66" s="557"/>
      <c r="UPY66" s="557"/>
      <c r="UPZ66" s="557"/>
      <c r="UQA66" s="661"/>
      <c r="UQB66" s="556"/>
      <c r="UQC66" s="557"/>
      <c r="UQD66" s="557"/>
      <c r="UQE66" s="557"/>
      <c r="UQF66" s="557"/>
      <c r="UQG66" s="557"/>
      <c r="UQH66" s="557"/>
      <c r="UQI66" s="557"/>
      <c r="UQJ66" s="557"/>
      <c r="UQK66" s="557"/>
      <c r="UQL66" s="557"/>
      <c r="UQM66" s="557"/>
      <c r="UQN66" s="557"/>
      <c r="UQO66" s="557"/>
      <c r="UQP66" s="557"/>
      <c r="UQQ66" s="557"/>
      <c r="UQR66" s="557"/>
      <c r="UQS66" s="557"/>
      <c r="UQT66" s="557"/>
      <c r="UQU66" s="661"/>
      <c r="UQV66" s="556"/>
      <c r="UQW66" s="557"/>
      <c r="UQX66" s="557"/>
      <c r="UQY66" s="557"/>
      <c r="UQZ66" s="557"/>
      <c r="URA66" s="557"/>
      <c r="URB66" s="557"/>
      <c r="URC66" s="557"/>
      <c r="URD66" s="557"/>
      <c r="URE66" s="557"/>
      <c r="URF66" s="557"/>
      <c r="URG66" s="557"/>
      <c r="URH66" s="557"/>
      <c r="URI66" s="557"/>
      <c r="URJ66" s="557"/>
      <c r="URK66" s="557"/>
      <c r="URL66" s="557"/>
      <c r="URM66" s="557"/>
      <c r="URN66" s="557"/>
      <c r="URO66" s="661"/>
      <c r="URP66" s="556"/>
      <c r="URQ66" s="557"/>
      <c r="URR66" s="557"/>
      <c r="URS66" s="557"/>
      <c r="URT66" s="557"/>
      <c r="URU66" s="557"/>
      <c r="URV66" s="557"/>
      <c r="URW66" s="557"/>
      <c r="URX66" s="557"/>
      <c r="URY66" s="557"/>
      <c r="URZ66" s="557"/>
      <c r="USA66" s="557"/>
      <c r="USB66" s="557"/>
      <c r="USC66" s="557"/>
      <c r="USD66" s="557"/>
      <c r="USE66" s="557"/>
      <c r="USF66" s="557"/>
      <c r="USG66" s="557"/>
      <c r="USH66" s="557"/>
      <c r="USI66" s="661"/>
      <c r="USJ66" s="556"/>
      <c r="USK66" s="557"/>
      <c r="USL66" s="557"/>
      <c r="USM66" s="557"/>
      <c r="USN66" s="557"/>
      <c r="USO66" s="557"/>
      <c r="USP66" s="557"/>
      <c r="USQ66" s="557"/>
      <c r="USR66" s="557"/>
      <c r="USS66" s="557"/>
      <c r="UST66" s="557"/>
      <c r="USU66" s="557"/>
      <c r="USV66" s="557"/>
      <c r="USW66" s="557"/>
      <c r="USX66" s="557"/>
      <c r="USY66" s="557"/>
      <c r="USZ66" s="557"/>
      <c r="UTA66" s="557"/>
      <c r="UTB66" s="557"/>
      <c r="UTC66" s="661"/>
      <c r="UTD66" s="556"/>
      <c r="UTE66" s="557"/>
      <c r="UTF66" s="557"/>
      <c r="UTG66" s="557"/>
      <c r="UTH66" s="557"/>
      <c r="UTI66" s="557"/>
      <c r="UTJ66" s="557"/>
      <c r="UTK66" s="557"/>
      <c r="UTL66" s="557"/>
      <c r="UTM66" s="557"/>
      <c r="UTN66" s="557"/>
      <c r="UTO66" s="557"/>
      <c r="UTP66" s="557"/>
      <c r="UTQ66" s="557"/>
      <c r="UTR66" s="557"/>
      <c r="UTS66" s="557"/>
      <c r="UTT66" s="557"/>
      <c r="UTU66" s="557"/>
      <c r="UTV66" s="557"/>
      <c r="UTW66" s="661"/>
      <c r="UTX66" s="556"/>
      <c r="UTY66" s="557"/>
      <c r="UTZ66" s="557"/>
      <c r="UUA66" s="557"/>
      <c r="UUB66" s="557"/>
      <c r="UUC66" s="557"/>
      <c r="UUD66" s="557"/>
      <c r="UUE66" s="557"/>
      <c r="UUF66" s="557"/>
      <c r="UUG66" s="557"/>
      <c r="UUH66" s="557"/>
      <c r="UUI66" s="557"/>
      <c r="UUJ66" s="557"/>
      <c r="UUK66" s="557"/>
      <c r="UUL66" s="557"/>
      <c r="UUM66" s="557"/>
      <c r="UUN66" s="557"/>
      <c r="UUO66" s="557"/>
      <c r="UUP66" s="557"/>
      <c r="UUQ66" s="661"/>
      <c r="UUR66" s="556"/>
      <c r="UUS66" s="557"/>
      <c r="UUT66" s="557"/>
      <c r="UUU66" s="557"/>
      <c r="UUV66" s="557"/>
      <c r="UUW66" s="557"/>
      <c r="UUX66" s="557"/>
      <c r="UUY66" s="557"/>
      <c r="UUZ66" s="557"/>
      <c r="UVA66" s="557"/>
      <c r="UVB66" s="557"/>
      <c r="UVC66" s="557"/>
      <c r="UVD66" s="557"/>
      <c r="UVE66" s="557"/>
      <c r="UVF66" s="557"/>
      <c r="UVG66" s="557"/>
      <c r="UVH66" s="557"/>
      <c r="UVI66" s="557"/>
      <c r="UVJ66" s="557"/>
      <c r="UVK66" s="661"/>
      <c r="UVL66" s="556"/>
      <c r="UVM66" s="557"/>
      <c r="UVN66" s="557"/>
      <c r="UVO66" s="557"/>
      <c r="UVP66" s="557"/>
      <c r="UVQ66" s="557"/>
      <c r="UVR66" s="557"/>
      <c r="UVS66" s="557"/>
      <c r="UVT66" s="557"/>
      <c r="UVU66" s="557"/>
      <c r="UVV66" s="557"/>
      <c r="UVW66" s="557"/>
      <c r="UVX66" s="557"/>
      <c r="UVY66" s="557"/>
      <c r="UVZ66" s="557"/>
      <c r="UWA66" s="557"/>
      <c r="UWB66" s="557"/>
      <c r="UWC66" s="557"/>
      <c r="UWD66" s="557"/>
      <c r="UWE66" s="661"/>
      <c r="UWF66" s="556"/>
      <c r="UWG66" s="557"/>
      <c r="UWH66" s="557"/>
      <c r="UWI66" s="557"/>
      <c r="UWJ66" s="557"/>
      <c r="UWK66" s="557"/>
      <c r="UWL66" s="557"/>
      <c r="UWM66" s="557"/>
      <c r="UWN66" s="557"/>
      <c r="UWO66" s="557"/>
      <c r="UWP66" s="557"/>
      <c r="UWQ66" s="557"/>
      <c r="UWR66" s="557"/>
      <c r="UWS66" s="557"/>
      <c r="UWT66" s="557"/>
      <c r="UWU66" s="557"/>
      <c r="UWV66" s="557"/>
      <c r="UWW66" s="557"/>
      <c r="UWX66" s="557"/>
      <c r="UWY66" s="661"/>
      <c r="UWZ66" s="556"/>
      <c r="UXA66" s="557"/>
      <c r="UXB66" s="557"/>
      <c r="UXC66" s="557"/>
      <c r="UXD66" s="557"/>
      <c r="UXE66" s="557"/>
      <c r="UXF66" s="557"/>
      <c r="UXG66" s="557"/>
      <c r="UXH66" s="557"/>
      <c r="UXI66" s="557"/>
      <c r="UXJ66" s="557"/>
      <c r="UXK66" s="557"/>
      <c r="UXL66" s="557"/>
      <c r="UXM66" s="557"/>
      <c r="UXN66" s="557"/>
      <c r="UXO66" s="557"/>
      <c r="UXP66" s="557"/>
      <c r="UXQ66" s="557"/>
      <c r="UXR66" s="557"/>
      <c r="UXS66" s="661"/>
      <c r="UXT66" s="556"/>
      <c r="UXU66" s="557"/>
      <c r="UXV66" s="557"/>
      <c r="UXW66" s="557"/>
      <c r="UXX66" s="557"/>
      <c r="UXY66" s="557"/>
      <c r="UXZ66" s="557"/>
      <c r="UYA66" s="557"/>
      <c r="UYB66" s="557"/>
      <c r="UYC66" s="557"/>
      <c r="UYD66" s="557"/>
      <c r="UYE66" s="557"/>
      <c r="UYF66" s="557"/>
      <c r="UYG66" s="557"/>
      <c r="UYH66" s="557"/>
      <c r="UYI66" s="557"/>
      <c r="UYJ66" s="557"/>
      <c r="UYK66" s="557"/>
      <c r="UYL66" s="557"/>
      <c r="UYM66" s="661"/>
      <c r="UYN66" s="556"/>
      <c r="UYO66" s="557"/>
      <c r="UYP66" s="557"/>
      <c r="UYQ66" s="557"/>
      <c r="UYR66" s="557"/>
      <c r="UYS66" s="557"/>
      <c r="UYT66" s="557"/>
      <c r="UYU66" s="557"/>
      <c r="UYV66" s="557"/>
      <c r="UYW66" s="557"/>
      <c r="UYX66" s="557"/>
      <c r="UYY66" s="557"/>
      <c r="UYZ66" s="557"/>
      <c r="UZA66" s="557"/>
      <c r="UZB66" s="557"/>
      <c r="UZC66" s="557"/>
      <c r="UZD66" s="557"/>
      <c r="UZE66" s="557"/>
      <c r="UZF66" s="557"/>
      <c r="UZG66" s="661"/>
      <c r="UZH66" s="556"/>
      <c r="UZI66" s="557"/>
      <c r="UZJ66" s="557"/>
      <c r="UZK66" s="557"/>
      <c r="UZL66" s="557"/>
      <c r="UZM66" s="557"/>
      <c r="UZN66" s="557"/>
      <c r="UZO66" s="557"/>
      <c r="UZP66" s="557"/>
      <c r="UZQ66" s="557"/>
      <c r="UZR66" s="557"/>
      <c r="UZS66" s="557"/>
      <c r="UZT66" s="557"/>
      <c r="UZU66" s="557"/>
      <c r="UZV66" s="557"/>
      <c r="UZW66" s="557"/>
      <c r="UZX66" s="557"/>
      <c r="UZY66" s="557"/>
      <c r="UZZ66" s="557"/>
      <c r="VAA66" s="661"/>
      <c r="VAB66" s="556"/>
      <c r="VAC66" s="557"/>
      <c r="VAD66" s="557"/>
      <c r="VAE66" s="557"/>
      <c r="VAF66" s="557"/>
      <c r="VAG66" s="557"/>
      <c r="VAH66" s="557"/>
      <c r="VAI66" s="557"/>
      <c r="VAJ66" s="557"/>
      <c r="VAK66" s="557"/>
      <c r="VAL66" s="557"/>
      <c r="VAM66" s="557"/>
      <c r="VAN66" s="557"/>
      <c r="VAO66" s="557"/>
      <c r="VAP66" s="557"/>
      <c r="VAQ66" s="557"/>
      <c r="VAR66" s="557"/>
      <c r="VAS66" s="557"/>
      <c r="VAT66" s="557"/>
      <c r="VAU66" s="661"/>
      <c r="VAV66" s="556"/>
      <c r="VAW66" s="557"/>
      <c r="VAX66" s="557"/>
      <c r="VAY66" s="557"/>
      <c r="VAZ66" s="557"/>
      <c r="VBA66" s="557"/>
      <c r="VBB66" s="557"/>
      <c r="VBC66" s="557"/>
      <c r="VBD66" s="557"/>
      <c r="VBE66" s="557"/>
      <c r="VBF66" s="557"/>
      <c r="VBG66" s="557"/>
      <c r="VBH66" s="557"/>
      <c r="VBI66" s="557"/>
      <c r="VBJ66" s="557"/>
      <c r="VBK66" s="557"/>
      <c r="VBL66" s="557"/>
      <c r="VBM66" s="557"/>
      <c r="VBN66" s="557"/>
      <c r="VBO66" s="661"/>
      <c r="VBP66" s="556"/>
      <c r="VBQ66" s="557"/>
      <c r="VBR66" s="557"/>
      <c r="VBS66" s="557"/>
      <c r="VBT66" s="557"/>
      <c r="VBU66" s="557"/>
      <c r="VBV66" s="557"/>
      <c r="VBW66" s="557"/>
      <c r="VBX66" s="557"/>
      <c r="VBY66" s="557"/>
      <c r="VBZ66" s="557"/>
      <c r="VCA66" s="557"/>
      <c r="VCB66" s="557"/>
      <c r="VCC66" s="557"/>
      <c r="VCD66" s="557"/>
      <c r="VCE66" s="557"/>
      <c r="VCF66" s="557"/>
      <c r="VCG66" s="557"/>
      <c r="VCH66" s="557"/>
      <c r="VCI66" s="661"/>
      <c r="VCJ66" s="556"/>
      <c r="VCK66" s="557"/>
      <c r="VCL66" s="557"/>
      <c r="VCM66" s="557"/>
      <c r="VCN66" s="557"/>
      <c r="VCO66" s="557"/>
      <c r="VCP66" s="557"/>
      <c r="VCQ66" s="557"/>
      <c r="VCR66" s="557"/>
      <c r="VCS66" s="557"/>
      <c r="VCT66" s="557"/>
      <c r="VCU66" s="557"/>
      <c r="VCV66" s="557"/>
      <c r="VCW66" s="557"/>
      <c r="VCX66" s="557"/>
      <c r="VCY66" s="557"/>
      <c r="VCZ66" s="557"/>
      <c r="VDA66" s="557"/>
      <c r="VDB66" s="557"/>
      <c r="VDC66" s="661"/>
      <c r="VDD66" s="556"/>
      <c r="VDE66" s="557"/>
      <c r="VDF66" s="557"/>
      <c r="VDG66" s="557"/>
      <c r="VDH66" s="557"/>
      <c r="VDI66" s="557"/>
      <c r="VDJ66" s="557"/>
      <c r="VDK66" s="557"/>
      <c r="VDL66" s="557"/>
      <c r="VDM66" s="557"/>
      <c r="VDN66" s="557"/>
      <c r="VDO66" s="557"/>
      <c r="VDP66" s="557"/>
      <c r="VDQ66" s="557"/>
      <c r="VDR66" s="557"/>
      <c r="VDS66" s="557"/>
      <c r="VDT66" s="557"/>
      <c r="VDU66" s="557"/>
      <c r="VDV66" s="557"/>
      <c r="VDW66" s="661"/>
      <c r="VDX66" s="556"/>
      <c r="VDY66" s="557"/>
      <c r="VDZ66" s="557"/>
      <c r="VEA66" s="557"/>
      <c r="VEB66" s="557"/>
      <c r="VEC66" s="557"/>
      <c r="VED66" s="557"/>
      <c r="VEE66" s="557"/>
      <c r="VEF66" s="557"/>
      <c r="VEG66" s="557"/>
      <c r="VEH66" s="557"/>
      <c r="VEI66" s="557"/>
      <c r="VEJ66" s="557"/>
      <c r="VEK66" s="557"/>
      <c r="VEL66" s="557"/>
      <c r="VEM66" s="557"/>
      <c r="VEN66" s="557"/>
      <c r="VEO66" s="557"/>
      <c r="VEP66" s="557"/>
      <c r="VEQ66" s="661"/>
      <c r="VER66" s="556"/>
      <c r="VES66" s="557"/>
      <c r="VET66" s="557"/>
      <c r="VEU66" s="557"/>
      <c r="VEV66" s="557"/>
      <c r="VEW66" s="557"/>
      <c r="VEX66" s="557"/>
      <c r="VEY66" s="557"/>
      <c r="VEZ66" s="557"/>
      <c r="VFA66" s="557"/>
      <c r="VFB66" s="557"/>
      <c r="VFC66" s="557"/>
      <c r="VFD66" s="557"/>
      <c r="VFE66" s="557"/>
      <c r="VFF66" s="557"/>
      <c r="VFG66" s="557"/>
      <c r="VFH66" s="557"/>
      <c r="VFI66" s="557"/>
      <c r="VFJ66" s="557"/>
      <c r="VFK66" s="661"/>
      <c r="VFL66" s="556"/>
      <c r="VFM66" s="557"/>
      <c r="VFN66" s="557"/>
      <c r="VFO66" s="557"/>
      <c r="VFP66" s="557"/>
      <c r="VFQ66" s="557"/>
      <c r="VFR66" s="557"/>
      <c r="VFS66" s="557"/>
      <c r="VFT66" s="557"/>
      <c r="VFU66" s="557"/>
      <c r="VFV66" s="557"/>
      <c r="VFW66" s="557"/>
      <c r="VFX66" s="557"/>
      <c r="VFY66" s="557"/>
      <c r="VFZ66" s="557"/>
      <c r="VGA66" s="557"/>
      <c r="VGB66" s="557"/>
      <c r="VGC66" s="557"/>
      <c r="VGD66" s="557"/>
      <c r="VGE66" s="661"/>
      <c r="VGF66" s="556"/>
      <c r="VGG66" s="557"/>
      <c r="VGH66" s="557"/>
      <c r="VGI66" s="557"/>
      <c r="VGJ66" s="557"/>
      <c r="VGK66" s="557"/>
      <c r="VGL66" s="557"/>
      <c r="VGM66" s="557"/>
      <c r="VGN66" s="557"/>
      <c r="VGO66" s="557"/>
      <c r="VGP66" s="557"/>
      <c r="VGQ66" s="557"/>
      <c r="VGR66" s="557"/>
      <c r="VGS66" s="557"/>
      <c r="VGT66" s="557"/>
      <c r="VGU66" s="557"/>
      <c r="VGV66" s="557"/>
      <c r="VGW66" s="557"/>
      <c r="VGX66" s="557"/>
      <c r="VGY66" s="661"/>
      <c r="VGZ66" s="556"/>
      <c r="VHA66" s="557"/>
      <c r="VHB66" s="557"/>
      <c r="VHC66" s="557"/>
      <c r="VHD66" s="557"/>
      <c r="VHE66" s="557"/>
      <c r="VHF66" s="557"/>
      <c r="VHG66" s="557"/>
      <c r="VHH66" s="557"/>
      <c r="VHI66" s="557"/>
      <c r="VHJ66" s="557"/>
      <c r="VHK66" s="557"/>
      <c r="VHL66" s="557"/>
      <c r="VHM66" s="557"/>
      <c r="VHN66" s="557"/>
      <c r="VHO66" s="557"/>
      <c r="VHP66" s="557"/>
      <c r="VHQ66" s="557"/>
      <c r="VHR66" s="557"/>
      <c r="VHS66" s="661"/>
      <c r="VHT66" s="556"/>
      <c r="VHU66" s="557"/>
      <c r="VHV66" s="557"/>
      <c r="VHW66" s="557"/>
      <c r="VHX66" s="557"/>
      <c r="VHY66" s="557"/>
      <c r="VHZ66" s="557"/>
      <c r="VIA66" s="557"/>
      <c r="VIB66" s="557"/>
      <c r="VIC66" s="557"/>
      <c r="VID66" s="557"/>
      <c r="VIE66" s="557"/>
      <c r="VIF66" s="557"/>
      <c r="VIG66" s="557"/>
      <c r="VIH66" s="557"/>
      <c r="VII66" s="557"/>
      <c r="VIJ66" s="557"/>
      <c r="VIK66" s="557"/>
      <c r="VIL66" s="557"/>
      <c r="VIM66" s="661"/>
      <c r="VIN66" s="556"/>
      <c r="VIO66" s="557"/>
      <c r="VIP66" s="557"/>
      <c r="VIQ66" s="557"/>
      <c r="VIR66" s="557"/>
      <c r="VIS66" s="557"/>
      <c r="VIT66" s="557"/>
      <c r="VIU66" s="557"/>
      <c r="VIV66" s="557"/>
      <c r="VIW66" s="557"/>
      <c r="VIX66" s="557"/>
      <c r="VIY66" s="557"/>
      <c r="VIZ66" s="557"/>
      <c r="VJA66" s="557"/>
      <c r="VJB66" s="557"/>
      <c r="VJC66" s="557"/>
      <c r="VJD66" s="557"/>
      <c r="VJE66" s="557"/>
      <c r="VJF66" s="557"/>
      <c r="VJG66" s="661"/>
      <c r="VJH66" s="556"/>
      <c r="VJI66" s="557"/>
      <c r="VJJ66" s="557"/>
      <c r="VJK66" s="557"/>
      <c r="VJL66" s="557"/>
      <c r="VJM66" s="557"/>
      <c r="VJN66" s="557"/>
      <c r="VJO66" s="557"/>
      <c r="VJP66" s="557"/>
      <c r="VJQ66" s="557"/>
      <c r="VJR66" s="557"/>
      <c r="VJS66" s="557"/>
      <c r="VJT66" s="557"/>
      <c r="VJU66" s="557"/>
      <c r="VJV66" s="557"/>
      <c r="VJW66" s="557"/>
      <c r="VJX66" s="557"/>
      <c r="VJY66" s="557"/>
      <c r="VJZ66" s="557"/>
      <c r="VKA66" s="661"/>
      <c r="VKB66" s="556"/>
      <c r="VKC66" s="557"/>
      <c r="VKD66" s="557"/>
      <c r="VKE66" s="557"/>
      <c r="VKF66" s="557"/>
      <c r="VKG66" s="557"/>
      <c r="VKH66" s="557"/>
      <c r="VKI66" s="557"/>
      <c r="VKJ66" s="557"/>
      <c r="VKK66" s="557"/>
      <c r="VKL66" s="557"/>
      <c r="VKM66" s="557"/>
      <c r="VKN66" s="557"/>
      <c r="VKO66" s="557"/>
      <c r="VKP66" s="557"/>
      <c r="VKQ66" s="557"/>
      <c r="VKR66" s="557"/>
      <c r="VKS66" s="557"/>
      <c r="VKT66" s="557"/>
      <c r="VKU66" s="661"/>
      <c r="VKV66" s="556"/>
      <c r="VKW66" s="557"/>
      <c r="VKX66" s="557"/>
      <c r="VKY66" s="557"/>
      <c r="VKZ66" s="557"/>
      <c r="VLA66" s="557"/>
      <c r="VLB66" s="557"/>
      <c r="VLC66" s="557"/>
      <c r="VLD66" s="557"/>
      <c r="VLE66" s="557"/>
      <c r="VLF66" s="557"/>
      <c r="VLG66" s="557"/>
      <c r="VLH66" s="557"/>
      <c r="VLI66" s="557"/>
      <c r="VLJ66" s="557"/>
      <c r="VLK66" s="557"/>
      <c r="VLL66" s="557"/>
      <c r="VLM66" s="557"/>
      <c r="VLN66" s="557"/>
      <c r="VLO66" s="661"/>
      <c r="VLP66" s="556"/>
      <c r="VLQ66" s="557"/>
      <c r="VLR66" s="557"/>
      <c r="VLS66" s="557"/>
      <c r="VLT66" s="557"/>
      <c r="VLU66" s="557"/>
      <c r="VLV66" s="557"/>
      <c r="VLW66" s="557"/>
      <c r="VLX66" s="557"/>
      <c r="VLY66" s="557"/>
      <c r="VLZ66" s="557"/>
      <c r="VMA66" s="557"/>
      <c r="VMB66" s="557"/>
      <c r="VMC66" s="557"/>
      <c r="VMD66" s="557"/>
      <c r="VME66" s="557"/>
      <c r="VMF66" s="557"/>
      <c r="VMG66" s="557"/>
      <c r="VMH66" s="557"/>
      <c r="VMI66" s="661"/>
      <c r="VMJ66" s="556"/>
      <c r="VMK66" s="557"/>
      <c r="VML66" s="557"/>
      <c r="VMM66" s="557"/>
      <c r="VMN66" s="557"/>
      <c r="VMO66" s="557"/>
      <c r="VMP66" s="557"/>
      <c r="VMQ66" s="557"/>
      <c r="VMR66" s="557"/>
      <c r="VMS66" s="557"/>
      <c r="VMT66" s="557"/>
      <c r="VMU66" s="557"/>
      <c r="VMV66" s="557"/>
      <c r="VMW66" s="557"/>
      <c r="VMX66" s="557"/>
      <c r="VMY66" s="557"/>
      <c r="VMZ66" s="557"/>
      <c r="VNA66" s="557"/>
      <c r="VNB66" s="557"/>
      <c r="VNC66" s="661"/>
      <c r="VND66" s="556"/>
      <c r="VNE66" s="557"/>
      <c r="VNF66" s="557"/>
      <c r="VNG66" s="557"/>
      <c r="VNH66" s="557"/>
      <c r="VNI66" s="557"/>
      <c r="VNJ66" s="557"/>
      <c r="VNK66" s="557"/>
      <c r="VNL66" s="557"/>
      <c r="VNM66" s="557"/>
      <c r="VNN66" s="557"/>
      <c r="VNO66" s="557"/>
      <c r="VNP66" s="557"/>
      <c r="VNQ66" s="557"/>
      <c r="VNR66" s="557"/>
      <c r="VNS66" s="557"/>
      <c r="VNT66" s="557"/>
      <c r="VNU66" s="557"/>
      <c r="VNV66" s="557"/>
      <c r="VNW66" s="661"/>
      <c r="VNX66" s="556"/>
      <c r="VNY66" s="557"/>
      <c r="VNZ66" s="557"/>
      <c r="VOA66" s="557"/>
      <c r="VOB66" s="557"/>
      <c r="VOC66" s="557"/>
      <c r="VOD66" s="557"/>
      <c r="VOE66" s="557"/>
      <c r="VOF66" s="557"/>
      <c r="VOG66" s="557"/>
      <c r="VOH66" s="557"/>
      <c r="VOI66" s="557"/>
      <c r="VOJ66" s="557"/>
      <c r="VOK66" s="557"/>
      <c r="VOL66" s="557"/>
      <c r="VOM66" s="557"/>
      <c r="VON66" s="557"/>
      <c r="VOO66" s="557"/>
      <c r="VOP66" s="557"/>
      <c r="VOQ66" s="661"/>
      <c r="VOR66" s="556"/>
      <c r="VOS66" s="557"/>
      <c r="VOT66" s="557"/>
      <c r="VOU66" s="557"/>
      <c r="VOV66" s="557"/>
      <c r="VOW66" s="557"/>
      <c r="VOX66" s="557"/>
      <c r="VOY66" s="557"/>
      <c r="VOZ66" s="557"/>
      <c r="VPA66" s="557"/>
      <c r="VPB66" s="557"/>
      <c r="VPC66" s="557"/>
      <c r="VPD66" s="557"/>
      <c r="VPE66" s="557"/>
      <c r="VPF66" s="557"/>
      <c r="VPG66" s="557"/>
      <c r="VPH66" s="557"/>
      <c r="VPI66" s="557"/>
      <c r="VPJ66" s="557"/>
      <c r="VPK66" s="661"/>
      <c r="VPL66" s="556"/>
      <c r="VPM66" s="557"/>
      <c r="VPN66" s="557"/>
      <c r="VPO66" s="557"/>
      <c r="VPP66" s="557"/>
      <c r="VPQ66" s="557"/>
      <c r="VPR66" s="557"/>
      <c r="VPS66" s="557"/>
      <c r="VPT66" s="557"/>
      <c r="VPU66" s="557"/>
      <c r="VPV66" s="557"/>
      <c r="VPW66" s="557"/>
      <c r="VPX66" s="557"/>
      <c r="VPY66" s="557"/>
      <c r="VPZ66" s="557"/>
      <c r="VQA66" s="557"/>
      <c r="VQB66" s="557"/>
      <c r="VQC66" s="557"/>
      <c r="VQD66" s="557"/>
      <c r="VQE66" s="661"/>
      <c r="VQF66" s="556"/>
      <c r="VQG66" s="557"/>
      <c r="VQH66" s="557"/>
      <c r="VQI66" s="557"/>
      <c r="VQJ66" s="557"/>
      <c r="VQK66" s="557"/>
      <c r="VQL66" s="557"/>
      <c r="VQM66" s="557"/>
      <c r="VQN66" s="557"/>
      <c r="VQO66" s="557"/>
      <c r="VQP66" s="557"/>
      <c r="VQQ66" s="557"/>
      <c r="VQR66" s="557"/>
      <c r="VQS66" s="557"/>
      <c r="VQT66" s="557"/>
      <c r="VQU66" s="557"/>
      <c r="VQV66" s="557"/>
      <c r="VQW66" s="557"/>
      <c r="VQX66" s="557"/>
      <c r="VQY66" s="661"/>
      <c r="VQZ66" s="556"/>
      <c r="VRA66" s="557"/>
      <c r="VRB66" s="557"/>
      <c r="VRC66" s="557"/>
      <c r="VRD66" s="557"/>
      <c r="VRE66" s="557"/>
      <c r="VRF66" s="557"/>
      <c r="VRG66" s="557"/>
      <c r="VRH66" s="557"/>
      <c r="VRI66" s="557"/>
      <c r="VRJ66" s="557"/>
      <c r="VRK66" s="557"/>
      <c r="VRL66" s="557"/>
      <c r="VRM66" s="557"/>
      <c r="VRN66" s="557"/>
      <c r="VRO66" s="557"/>
      <c r="VRP66" s="557"/>
      <c r="VRQ66" s="557"/>
      <c r="VRR66" s="557"/>
      <c r="VRS66" s="661"/>
      <c r="VRT66" s="556"/>
      <c r="VRU66" s="557"/>
      <c r="VRV66" s="557"/>
      <c r="VRW66" s="557"/>
      <c r="VRX66" s="557"/>
      <c r="VRY66" s="557"/>
      <c r="VRZ66" s="557"/>
      <c r="VSA66" s="557"/>
      <c r="VSB66" s="557"/>
      <c r="VSC66" s="557"/>
      <c r="VSD66" s="557"/>
      <c r="VSE66" s="557"/>
      <c r="VSF66" s="557"/>
      <c r="VSG66" s="557"/>
      <c r="VSH66" s="557"/>
      <c r="VSI66" s="557"/>
      <c r="VSJ66" s="557"/>
      <c r="VSK66" s="557"/>
      <c r="VSL66" s="557"/>
      <c r="VSM66" s="661"/>
      <c r="VSN66" s="556"/>
      <c r="VSO66" s="557"/>
      <c r="VSP66" s="557"/>
      <c r="VSQ66" s="557"/>
      <c r="VSR66" s="557"/>
      <c r="VSS66" s="557"/>
      <c r="VST66" s="557"/>
      <c r="VSU66" s="557"/>
      <c r="VSV66" s="557"/>
      <c r="VSW66" s="557"/>
      <c r="VSX66" s="557"/>
      <c r="VSY66" s="557"/>
      <c r="VSZ66" s="557"/>
      <c r="VTA66" s="557"/>
      <c r="VTB66" s="557"/>
      <c r="VTC66" s="557"/>
      <c r="VTD66" s="557"/>
      <c r="VTE66" s="557"/>
      <c r="VTF66" s="557"/>
      <c r="VTG66" s="661"/>
      <c r="VTH66" s="556"/>
      <c r="VTI66" s="557"/>
      <c r="VTJ66" s="557"/>
      <c r="VTK66" s="557"/>
      <c r="VTL66" s="557"/>
      <c r="VTM66" s="557"/>
      <c r="VTN66" s="557"/>
      <c r="VTO66" s="557"/>
      <c r="VTP66" s="557"/>
      <c r="VTQ66" s="557"/>
      <c r="VTR66" s="557"/>
      <c r="VTS66" s="557"/>
      <c r="VTT66" s="557"/>
      <c r="VTU66" s="557"/>
      <c r="VTV66" s="557"/>
      <c r="VTW66" s="557"/>
      <c r="VTX66" s="557"/>
      <c r="VTY66" s="557"/>
      <c r="VTZ66" s="557"/>
      <c r="VUA66" s="661"/>
      <c r="VUB66" s="556"/>
      <c r="VUC66" s="557"/>
      <c r="VUD66" s="557"/>
      <c r="VUE66" s="557"/>
      <c r="VUF66" s="557"/>
      <c r="VUG66" s="557"/>
      <c r="VUH66" s="557"/>
      <c r="VUI66" s="557"/>
      <c r="VUJ66" s="557"/>
      <c r="VUK66" s="557"/>
      <c r="VUL66" s="557"/>
      <c r="VUM66" s="557"/>
      <c r="VUN66" s="557"/>
      <c r="VUO66" s="557"/>
      <c r="VUP66" s="557"/>
      <c r="VUQ66" s="557"/>
      <c r="VUR66" s="557"/>
      <c r="VUS66" s="557"/>
      <c r="VUT66" s="557"/>
      <c r="VUU66" s="661"/>
      <c r="VUV66" s="556"/>
      <c r="VUW66" s="557"/>
      <c r="VUX66" s="557"/>
      <c r="VUY66" s="557"/>
      <c r="VUZ66" s="557"/>
      <c r="VVA66" s="557"/>
      <c r="VVB66" s="557"/>
      <c r="VVC66" s="557"/>
      <c r="VVD66" s="557"/>
      <c r="VVE66" s="557"/>
      <c r="VVF66" s="557"/>
      <c r="VVG66" s="557"/>
      <c r="VVH66" s="557"/>
      <c r="VVI66" s="557"/>
      <c r="VVJ66" s="557"/>
      <c r="VVK66" s="557"/>
      <c r="VVL66" s="557"/>
      <c r="VVM66" s="557"/>
      <c r="VVN66" s="557"/>
      <c r="VVO66" s="661"/>
      <c r="VVP66" s="556"/>
      <c r="VVQ66" s="557"/>
      <c r="VVR66" s="557"/>
      <c r="VVS66" s="557"/>
      <c r="VVT66" s="557"/>
      <c r="VVU66" s="557"/>
      <c r="VVV66" s="557"/>
      <c r="VVW66" s="557"/>
      <c r="VVX66" s="557"/>
      <c r="VVY66" s="557"/>
      <c r="VVZ66" s="557"/>
      <c r="VWA66" s="557"/>
      <c r="VWB66" s="557"/>
      <c r="VWC66" s="557"/>
      <c r="VWD66" s="557"/>
      <c r="VWE66" s="557"/>
      <c r="VWF66" s="557"/>
      <c r="VWG66" s="557"/>
      <c r="VWH66" s="557"/>
      <c r="VWI66" s="661"/>
      <c r="VWJ66" s="556"/>
      <c r="VWK66" s="557"/>
      <c r="VWL66" s="557"/>
      <c r="VWM66" s="557"/>
      <c r="VWN66" s="557"/>
      <c r="VWO66" s="557"/>
      <c r="VWP66" s="557"/>
      <c r="VWQ66" s="557"/>
      <c r="VWR66" s="557"/>
      <c r="VWS66" s="557"/>
      <c r="VWT66" s="557"/>
      <c r="VWU66" s="557"/>
      <c r="VWV66" s="557"/>
      <c r="VWW66" s="557"/>
      <c r="VWX66" s="557"/>
      <c r="VWY66" s="557"/>
      <c r="VWZ66" s="557"/>
      <c r="VXA66" s="557"/>
      <c r="VXB66" s="557"/>
      <c r="VXC66" s="661"/>
      <c r="VXD66" s="556"/>
      <c r="VXE66" s="557"/>
      <c r="VXF66" s="557"/>
      <c r="VXG66" s="557"/>
      <c r="VXH66" s="557"/>
      <c r="VXI66" s="557"/>
      <c r="VXJ66" s="557"/>
      <c r="VXK66" s="557"/>
      <c r="VXL66" s="557"/>
      <c r="VXM66" s="557"/>
      <c r="VXN66" s="557"/>
      <c r="VXO66" s="557"/>
      <c r="VXP66" s="557"/>
      <c r="VXQ66" s="557"/>
      <c r="VXR66" s="557"/>
      <c r="VXS66" s="557"/>
      <c r="VXT66" s="557"/>
      <c r="VXU66" s="557"/>
      <c r="VXV66" s="557"/>
      <c r="VXW66" s="661"/>
      <c r="VXX66" s="556"/>
      <c r="VXY66" s="557"/>
      <c r="VXZ66" s="557"/>
      <c r="VYA66" s="557"/>
      <c r="VYB66" s="557"/>
      <c r="VYC66" s="557"/>
      <c r="VYD66" s="557"/>
      <c r="VYE66" s="557"/>
      <c r="VYF66" s="557"/>
      <c r="VYG66" s="557"/>
      <c r="VYH66" s="557"/>
      <c r="VYI66" s="557"/>
      <c r="VYJ66" s="557"/>
      <c r="VYK66" s="557"/>
      <c r="VYL66" s="557"/>
      <c r="VYM66" s="557"/>
      <c r="VYN66" s="557"/>
      <c r="VYO66" s="557"/>
      <c r="VYP66" s="557"/>
      <c r="VYQ66" s="661"/>
      <c r="VYR66" s="556"/>
      <c r="VYS66" s="557"/>
      <c r="VYT66" s="557"/>
      <c r="VYU66" s="557"/>
      <c r="VYV66" s="557"/>
      <c r="VYW66" s="557"/>
      <c r="VYX66" s="557"/>
      <c r="VYY66" s="557"/>
      <c r="VYZ66" s="557"/>
      <c r="VZA66" s="557"/>
      <c r="VZB66" s="557"/>
      <c r="VZC66" s="557"/>
      <c r="VZD66" s="557"/>
      <c r="VZE66" s="557"/>
      <c r="VZF66" s="557"/>
      <c r="VZG66" s="557"/>
      <c r="VZH66" s="557"/>
      <c r="VZI66" s="557"/>
      <c r="VZJ66" s="557"/>
      <c r="VZK66" s="661"/>
      <c r="VZL66" s="556"/>
      <c r="VZM66" s="557"/>
      <c r="VZN66" s="557"/>
      <c r="VZO66" s="557"/>
      <c r="VZP66" s="557"/>
      <c r="VZQ66" s="557"/>
      <c r="VZR66" s="557"/>
      <c r="VZS66" s="557"/>
      <c r="VZT66" s="557"/>
      <c r="VZU66" s="557"/>
      <c r="VZV66" s="557"/>
      <c r="VZW66" s="557"/>
      <c r="VZX66" s="557"/>
      <c r="VZY66" s="557"/>
      <c r="VZZ66" s="557"/>
      <c r="WAA66" s="557"/>
      <c r="WAB66" s="557"/>
      <c r="WAC66" s="557"/>
      <c r="WAD66" s="557"/>
      <c r="WAE66" s="661"/>
      <c r="WAF66" s="556"/>
      <c r="WAG66" s="557"/>
      <c r="WAH66" s="557"/>
      <c r="WAI66" s="557"/>
      <c r="WAJ66" s="557"/>
      <c r="WAK66" s="557"/>
      <c r="WAL66" s="557"/>
      <c r="WAM66" s="557"/>
      <c r="WAN66" s="557"/>
      <c r="WAO66" s="557"/>
      <c r="WAP66" s="557"/>
      <c r="WAQ66" s="557"/>
      <c r="WAR66" s="557"/>
      <c r="WAS66" s="557"/>
      <c r="WAT66" s="557"/>
      <c r="WAU66" s="557"/>
      <c r="WAV66" s="557"/>
      <c r="WAW66" s="557"/>
      <c r="WAX66" s="557"/>
      <c r="WAY66" s="661"/>
      <c r="WAZ66" s="556"/>
      <c r="WBA66" s="557"/>
      <c r="WBB66" s="557"/>
      <c r="WBC66" s="557"/>
      <c r="WBD66" s="557"/>
      <c r="WBE66" s="557"/>
      <c r="WBF66" s="557"/>
      <c r="WBG66" s="557"/>
      <c r="WBH66" s="557"/>
      <c r="WBI66" s="557"/>
      <c r="WBJ66" s="557"/>
      <c r="WBK66" s="557"/>
      <c r="WBL66" s="557"/>
      <c r="WBM66" s="557"/>
      <c r="WBN66" s="557"/>
      <c r="WBO66" s="557"/>
      <c r="WBP66" s="557"/>
      <c r="WBQ66" s="557"/>
      <c r="WBR66" s="557"/>
      <c r="WBS66" s="661"/>
      <c r="WBT66" s="556"/>
      <c r="WBU66" s="557"/>
      <c r="WBV66" s="557"/>
      <c r="WBW66" s="557"/>
      <c r="WBX66" s="557"/>
      <c r="WBY66" s="557"/>
      <c r="WBZ66" s="557"/>
      <c r="WCA66" s="557"/>
      <c r="WCB66" s="557"/>
      <c r="WCC66" s="557"/>
      <c r="WCD66" s="557"/>
      <c r="WCE66" s="557"/>
      <c r="WCF66" s="557"/>
      <c r="WCG66" s="557"/>
      <c r="WCH66" s="557"/>
      <c r="WCI66" s="557"/>
      <c r="WCJ66" s="557"/>
      <c r="WCK66" s="557"/>
      <c r="WCL66" s="557"/>
      <c r="WCM66" s="661"/>
      <c r="WCN66" s="556"/>
      <c r="WCO66" s="557"/>
      <c r="WCP66" s="557"/>
      <c r="WCQ66" s="557"/>
      <c r="WCR66" s="557"/>
      <c r="WCS66" s="557"/>
      <c r="WCT66" s="557"/>
      <c r="WCU66" s="557"/>
      <c r="WCV66" s="557"/>
      <c r="WCW66" s="557"/>
      <c r="WCX66" s="557"/>
      <c r="WCY66" s="557"/>
      <c r="WCZ66" s="557"/>
      <c r="WDA66" s="557"/>
      <c r="WDB66" s="557"/>
      <c r="WDC66" s="557"/>
      <c r="WDD66" s="557"/>
      <c r="WDE66" s="557"/>
      <c r="WDF66" s="557"/>
      <c r="WDG66" s="661"/>
      <c r="WDH66" s="556"/>
      <c r="WDI66" s="557"/>
      <c r="WDJ66" s="557"/>
      <c r="WDK66" s="557"/>
      <c r="WDL66" s="557"/>
      <c r="WDM66" s="557"/>
      <c r="WDN66" s="557"/>
      <c r="WDO66" s="557"/>
      <c r="WDP66" s="557"/>
      <c r="WDQ66" s="557"/>
      <c r="WDR66" s="557"/>
      <c r="WDS66" s="557"/>
      <c r="WDT66" s="557"/>
      <c r="WDU66" s="557"/>
      <c r="WDV66" s="557"/>
      <c r="WDW66" s="557"/>
      <c r="WDX66" s="557"/>
      <c r="WDY66" s="557"/>
      <c r="WDZ66" s="557"/>
      <c r="WEA66" s="661"/>
      <c r="WEB66" s="556"/>
      <c r="WEC66" s="557"/>
      <c r="WED66" s="557"/>
      <c r="WEE66" s="557"/>
      <c r="WEF66" s="557"/>
      <c r="WEG66" s="557"/>
      <c r="WEH66" s="557"/>
      <c r="WEI66" s="557"/>
      <c r="WEJ66" s="557"/>
      <c r="WEK66" s="557"/>
      <c r="WEL66" s="557"/>
      <c r="WEM66" s="557"/>
      <c r="WEN66" s="557"/>
      <c r="WEO66" s="557"/>
      <c r="WEP66" s="557"/>
      <c r="WEQ66" s="557"/>
      <c r="WER66" s="557"/>
      <c r="WES66" s="557"/>
      <c r="WET66" s="557"/>
      <c r="WEU66" s="661"/>
      <c r="WEV66" s="556"/>
      <c r="WEW66" s="557"/>
      <c r="WEX66" s="557"/>
      <c r="WEY66" s="557"/>
      <c r="WEZ66" s="557"/>
      <c r="WFA66" s="557"/>
      <c r="WFB66" s="557"/>
      <c r="WFC66" s="557"/>
      <c r="WFD66" s="557"/>
      <c r="WFE66" s="557"/>
      <c r="WFF66" s="557"/>
      <c r="WFG66" s="557"/>
      <c r="WFH66" s="557"/>
      <c r="WFI66" s="557"/>
      <c r="WFJ66" s="557"/>
      <c r="WFK66" s="557"/>
      <c r="WFL66" s="557"/>
      <c r="WFM66" s="557"/>
      <c r="WFN66" s="557"/>
      <c r="WFO66" s="661"/>
      <c r="WFP66" s="556"/>
      <c r="WFQ66" s="557"/>
      <c r="WFR66" s="557"/>
      <c r="WFS66" s="557"/>
      <c r="WFT66" s="557"/>
      <c r="WFU66" s="557"/>
      <c r="WFV66" s="557"/>
      <c r="WFW66" s="557"/>
      <c r="WFX66" s="557"/>
      <c r="WFY66" s="557"/>
      <c r="WFZ66" s="557"/>
      <c r="WGA66" s="557"/>
      <c r="WGB66" s="557"/>
      <c r="WGC66" s="557"/>
      <c r="WGD66" s="557"/>
      <c r="WGE66" s="557"/>
      <c r="WGF66" s="557"/>
      <c r="WGG66" s="557"/>
      <c r="WGH66" s="557"/>
      <c r="WGI66" s="661"/>
      <c r="WGJ66" s="556"/>
      <c r="WGK66" s="557"/>
      <c r="WGL66" s="557"/>
      <c r="WGM66" s="557"/>
      <c r="WGN66" s="557"/>
      <c r="WGO66" s="557"/>
      <c r="WGP66" s="557"/>
      <c r="WGQ66" s="557"/>
      <c r="WGR66" s="557"/>
      <c r="WGS66" s="557"/>
      <c r="WGT66" s="557"/>
      <c r="WGU66" s="557"/>
      <c r="WGV66" s="557"/>
      <c r="WGW66" s="557"/>
      <c r="WGX66" s="557"/>
      <c r="WGY66" s="557"/>
      <c r="WGZ66" s="557"/>
      <c r="WHA66" s="557"/>
      <c r="WHB66" s="557"/>
      <c r="WHC66" s="661"/>
      <c r="WHD66" s="556"/>
      <c r="WHE66" s="557"/>
      <c r="WHF66" s="557"/>
      <c r="WHG66" s="557"/>
      <c r="WHH66" s="557"/>
      <c r="WHI66" s="557"/>
      <c r="WHJ66" s="557"/>
      <c r="WHK66" s="557"/>
      <c r="WHL66" s="557"/>
      <c r="WHM66" s="557"/>
      <c r="WHN66" s="557"/>
      <c r="WHO66" s="557"/>
      <c r="WHP66" s="557"/>
      <c r="WHQ66" s="557"/>
      <c r="WHR66" s="557"/>
      <c r="WHS66" s="557"/>
      <c r="WHT66" s="557"/>
      <c r="WHU66" s="557"/>
      <c r="WHV66" s="557"/>
      <c r="WHW66" s="661"/>
      <c r="WHX66" s="556"/>
      <c r="WHY66" s="557"/>
      <c r="WHZ66" s="557"/>
      <c r="WIA66" s="557"/>
      <c r="WIB66" s="557"/>
      <c r="WIC66" s="557"/>
      <c r="WID66" s="557"/>
      <c r="WIE66" s="557"/>
      <c r="WIF66" s="557"/>
      <c r="WIG66" s="557"/>
      <c r="WIH66" s="557"/>
      <c r="WII66" s="557"/>
      <c r="WIJ66" s="557"/>
      <c r="WIK66" s="557"/>
      <c r="WIL66" s="557"/>
      <c r="WIM66" s="557"/>
      <c r="WIN66" s="557"/>
      <c r="WIO66" s="557"/>
      <c r="WIP66" s="557"/>
      <c r="WIQ66" s="661"/>
      <c r="WIR66" s="556"/>
      <c r="WIS66" s="557"/>
      <c r="WIT66" s="557"/>
      <c r="WIU66" s="557"/>
      <c r="WIV66" s="557"/>
      <c r="WIW66" s="557"/>
      <c r="WIX66" s="557"/>
      <c r="WIY66" s="557"/>
      <c r="WIZ66" s="557"/>
      <c r="WJA66" s="557"/>
      <c r="WJB66" s="557"/>
      <c r="WJC66" s="557"/>
      <c r="WJD66" s="557"/>
      <c r="WJE66" s="557"/>
      <c r="WJF66" s="557"/>
      <c r="WJG66" s="557"/>
      <c r="WJH66" s="557"/>
      <c r="WJI66" s="557"/>
      <c r="WJJ66" s="557"/>
      <c r="WJK66" s="661"/>
      <c r="WJL66" s="556"/>
      <c r="WJM66" s="557"/>
      <c r="WJN66" s="557"/>
      <c r="WJO66" s="557"/>
      <c r="WJP66" s="557"/>
      <c r="WJQ66" s="557"/>
      <c r="WJR66" s="557"/>
      <c r="WJS66" s="557"/>
      <c r="WJT66" s="557"/>
      <c r="WJU66" s="557"/>
      <c r="WJV66" s="557"/>
      <c r="WJW66" s="557"/>
      <c r="WJX66" s="557"/>
      <c r="WJY66" s="557"/>
      <c r="WJZ66" s="557"/>
      <c r="WKA66" s="557"/>
      <c r="WKB66" s="557"/>
      <c r="WKC66" s="557"/>
      <c r="WKD66" s="557"/>
      <c r="WKE66" s="661"/>
      <c r="WKF66" s="556"/>
      <c r="WKG66" s="557"/>
      <c r="WKH66" s="557"/>
      <c r="WKI66" s="557"/>
      <c r="WKJ66" s="557"/>
      <c r="WKK66" s="557"/>
      <c r="WKL66" s="557"/>
      <c r="WKM66" s="557"/>
      <c r="WKN66" s="557"/>
      <c r="WKO66" s="557"/>
      <c r="WKP66" s="557"/>
      <c r="WKQ66" s="557"/>
      <c r="WKR66" s="557"/>
      <c r="WKS66" s="557"/>
      <c r="WKT66" s="557"/>
      <c r="WKU66" s="557"/>
      <c r="WKV66" s="557"/>
      <c r="WKW66" s="557"/>
      <c r="WKX66" s="557"/>
      <c r="WKY66" s="661"/>
      <c r="WKZ66" s="556"/>
      <c r="WLA66" s="557"/>
      <c r="WLB66" s="557"/>
      <c r="WLC66" s="557"/>
      <c r="WLD66" s="557"/>
      <c r="WLE66" s="557"/>
      <c r="WLF66" s="557"/>
      <c r="WLG66" s="557"/>
      <c r="WLH66" s="557"/>
      <c r="WLI66" s="557"/>
      <c r="WLJ66" s="557"/>
      <c r="WLK66" s="557"/>
      <c r="WLL66" s="557"/>
      <c r="WLM66" s="557"/>
      <c r="WLN66" s="557"/>
      <c r="WLO66" s="557"/>
      <c r="WLP66" s="557"/>
      <c r="WLQ66" s="557"/>
      <c r="WLR66" s="557"/>
      <c r="WLS66" s="661"/>
      <c r="WLT66" s="556"/>
      <c r="WLU66" s="557"/>
      <c r="WLV66" s="557"/>
      <c r="WLW66" s="557"/>
      <c r="WLX66" s="557"/>
      <c r="WLY66" s="557"/>
      <c r="WLZ66" s="557"/>
      <c r="WMA66" s="557"/>
      <c r="WMB66" s="557"/>
      <c r="WMC66" s="557"/>
      <c r="WMD66" s="557"/>
      <c r="WME66" s="557"/>
      <c r="WMF66" s="557"/>
      <c r="WMG66" s="557"/>
      <c r="WMH66" s="557"/>
      <c r="WMI66" s="557"/>
      <c r="WMJ66" s="557"/>
      <c r="WMK66" s="557"/>
      <c r="WML66" s="557"/>
      <c r="WMM66" s="661"/>
      <c r="WMN66" s="556"/>
      <c r="WMO66" s="557"/>
      <c r="WMP66" s="557"/>
      <c r="WMQ66" s="557"/>
      <c r="WMR66" s="557"/>
      <c r="WMS66" s="557"/>
      <c r="WMT66" s="557"/>
      <c r="WMU66" s="557"/>
      <c r="WMV66" s="557"/>
      <c r="WMW66" s="557"/>
      <c r="WMX66" s="557"/>
      <c r="WMY66" s="557"/>
      <c r="WMZ66" s="557"/>
      <c r="WNA66" s="557"/>
      <c r="WNB66" s="557"/>
      <c r="WNC66" s="557"/>
      <c r="WND66" s="557"/>
      <c r="WNE66" s="557"/>
      <c r="WNF66" s="557"/>
      <c r="WNG66" s="661"/>
      <c r="WNH66" s="556"/>
      <c r="WNI66" s="557"/>
      <c r="WNJ66" s="557"/>
      <c r="WNK66" s="557"/>
      <c r="WNL66" s="557"/>
      <c r="WNM66" s="557"/>
      <c r="WNN66" s="557"/>
      <c r="WNO66" s="557"/>
      <c r="WNP66" s="557"/>
      <c r="WNQ66" s="557"/>
      <c r="WNR66" s="557"/>
      <c r="WNS66" s="557"/>
      <c r="WNT66" s="557"/>
      <c r="WNU66" s="557"/>
      <c r="WNV66" s="557"/>
      <c r="WNW66" s="557"/>
      <c r="WNX66" s="557"/>
      <c r="WNY66" s="557"/>
      <c r="WNZ66" s="557"/>
      <c r="WOA66" s="661"/>
      <c r="WOB66" s="556"/>
      <c r="WOC66" s="557"/>
      <c r="WOD66" s="557"/>
      <c r="WOE66" s="557"/>
      <c r="WOF66" s="557"/>
      <c r="WOG66" s="557"/>
      <c r="WOH66" s="557"/>
      <c r="WOI66" s="557"/>
      <c r="WOJ66" s="557"/>
      <c r="WOK66" s="557"/>
      <c r="WOL66" s="557"/>
      <c r="WOM66" s="557"/>
      <c r="WON66" s="557"/>
      <c r="WOO66" s="557"/>
      <c r="WOP66" s="557"/>
      <c r="WOQ66" s="557"/>
      <c r="WOR66" s="557"/>
      <c r="WOS66" s="557"/>
      <c r="WOT66" s="557"/>
      <c r="WOU66" s="661"/>
      <c r="WOV66" s="556"/>
      <c r="WOW66" s="557"/>
      <c r="WOX66" s="557"/>
      <c r="WOY66" s="557"/>
      <c r="WOZ66" s="557"/>
      <c r="WPA66" s="557"/>
      <c r="WPB66" s="557"/>
      <c r="WPC66" s="557"/>
      <c r="WPD66" s="557"/>
      <c r="WPE66" s="557"/>
      <c r="WPF66" s="557"/>
      <c r="WPG66" s="557"/>
      <c r="WPH66" s="557"/>
      <c r="WPI66" s="557"/>
      <c r="WPJ66" s="557"/>
      <c r="WPK66" s="557"/>
      <c r="WPL66" s="557"/>
      <c r="WPM66" s="557"/>
      <c r="WPN66" s="557"/>
      <c r="WPO66" s="661"/>
      <c r="WPP66" s="556"/>
      <c r="WPQ66" s="557"/>
      <c r="WPR66" s="557"/>
      <c r="WPS66" s="557"/>
      <c r="WPT66" s="557"/>
      <c r="WPU66" s="557"/>
      <c r="WPV66" s="557"/>
      <c r="WPW66" s="557"/>
      <c r="WPX66" s="557"/>
      <c r="WPY66" s="557"/>
      <c r="WPZ66" s="557"/>
      <c r="WQA66" s="557"/>
      <c r="WQB66" s="557"/>
      <c r="WQC66" s="557"/>
      <c r="WQD66" s="557"/>
      <c r="WQE66" s="557"/>
      <c r="WQF66" s="557"/>
      <c r="WQG66" s="557"/>
      <c r="WQH66" s="557"/>
      <c r="WQI66" s="661"/>
      <c r="WQJ66" s="556"/>
      <c r="WQK66" s="557"/>
      <c r="WQL66" s="557"/>
      <c r="WQM66" s="557"/>
      <c r="WQN66" s="557"/>
      <c r="WQO66" s="557"/>
      <c r="WQP66" s="557"/>
      <c r="WQQ66" s="557"/>
      <c r="WQR66" s="557"/>
      <c r="WQS66" s="557"/>
      <c r="WQT66" s="557"/>
      <c r="WQU66" s="557"/>
      <c r="WQV66" s="557"/>
      <c r="WQW66" s="557"/>
      <c r="WQX66" s="557"/>
      <c r="WQY66" s="557"/>
      <c r="WQZ66" s="557"/>
      <c r="WRA66" s="557"/>
      <c r="WRB66" s="557"/>
      <c r="WRC66" s="661"/>
      <c r="WRD66" s="556"/>
      <c r="WRE66" s="557"/>
      <c r="WRF66" s="557"/>
      <c r="WRG66" s="557"/>
      <c r="WRH66" s="557"/>
      <c r="WRI66" s="557"/>
      <c r="WRJ66" s="557"/>
      <c r="WRK66" s="557"/>
      <c r="WRL66" s="557"/>
      <c r="WRM66" s="557"/>
      <c r="WRN66" s="557"/>
      <c r="WRO66" s="557"/>
      <c r="WRP66" s="557"/>
      <c r="WRQ66" s="557"/>
      <c r="WRR66" s="557"/>
      <c r="WRS66" s="557"/>
      <c r="WRT66" s="557"/>
      <c r="WRU66" s="557"/>
      <c r="WRV66" s="557"/>
      <c r="WRW66" s="661"/>
      <c r="WRX66" s="556"/>
      <c r="WRY66" s="557"/>
      <c r="WRZ66" s="557"/>
      <c r="WSA66" s="557"/>
      <c r="WSB66" s="557"/>
      <c r="WSC66" s="557"/>
      <c r="WSD66" s="557"/>
      <c r="WSE66" s="557"/>
      <c r="WSF66" s="557"/>
      <c r="WSG66" s="557"/>
      <c r="WSH66" s="557"/>
      <c r="WSI66" s="557"/>
      <c r="WSJ66" s="557"/>
      <c r="WSK66" s="557"/>
      <c r="WSL66" s="557"/>
      <c r="WSM66" s="557"/>
      <c r="WSN66" s="557"/>
      <c r="WSO66" s="557"/>
      <c r="WSP66" s="557"/>
      <c r="WSQ66" s="661"/>
      <c r="WSR66" s="556"/>
      <c r="WSS66" s="557"/>
      <c r="WST66" s="557"/>
      <c r="WSU66" s="557"/>
      <c r="WSV66" s="557"/>
      <c r="WSW66" s="557"/>
      <c r="WSX66" s="557"/>
      <c r="WSY66" s="557"/>
      <c r="WSZ66" s="557"/>
      <c r="WTA66" s="557"/>
      <c r="WTB66" s="557"/>
      <c r="WTC66" s="557"/>
      <c r="WTD66" s="557"/>
      <c r="WTE66" s="557"/>
      <c r="WTF66" s="557"/>
      <c r="WTG66" s="557"/>
      <c r="WTH66" s="557"/>
      <c r="WTI66" s="557"/>
      <c r="WTJ66" s="557"/>
      <c r="WTK66" s="661"/>
      <c r="WTL66" s="556"/>
      <c r="WTM66" s="557"/>
      <c r="WTN66" s="557"/>
      <c r="WTO66" s="557"/>
      <c r="WTP66" s="557"/>
      <c r="WTQ66" s="557"/>
      <c r="WTR66" s="557"/>
      <c r="WTS66" s="557"/>
      <c r="WTT66" s="557"/>
      <c r="WTU66" s="557"/>
      <c r="WTV66" s="557"/>
      <c r="WTW66" s="557"/>
      <c r="WTX66" s="557"/>
      <c r="WTY66" s="557"/>
      <c r="WTZ66" s="557"/>
      <c r="WUA66" s="557"/>
      <c r="WUB66" s="557"/>
      <c r="WUC66" s="557"/>
      <c r="WUD66" s="557"/>
      <c r="WUE66" s="661"/>
      <c r="WUF66" s="556"/>
      <c r="WUG66" s="557"/>
      <c r="WUH66" s="557"/>
      <c r="WUI66" s="557"/>
      <c r="WUJ66" s="557"/>
      <c r="WUK66" s="557"/>
      <c r="WUL66" s="557"/>
      <c r="WUM66" s="557"/>
      <c r="WUN66" s="557"/>
      <c r="WUO66" s="557"/>
      <c r="WUP66" s="557"/>
      <c r="WUQ66" s="557"/>
      <c r="WUR66" s="557"/>
      <c r="WUS66" s="557"/>
      <c r="WUT66" s="557"/>
      <c r="WUU66" s="557"/>
      <c r="WUV66" s="557"/>
      <c r="WUW66" s="557"/>
      <c r="WUX66" s="557"/>
      <c r="WUY66" s="661"/>
      <c r="WUZ66" s="556"/>
      <c r="WVA66" s="557"/>
      <c r="WVB66" s="557"/>
      <c r="WVC66" s="557"/>
      <c r="WVD66" s="557"/>
      <c r="WVE66" s="557"/>
      <c r="WVF66" s="557"/>
      <c r="WVG66" s="557"/>
      <c r="WVH66" s="557"/>
      <c r="WVI66" s="557"/>
      <c r="WVJ66" s="557"/>
      <c r="WVK66" s="557"/>
      <c r="WVL66" s="557"/>
      <c r="WVM66" s="557"/>
      <c r="WVN66" s="557"/>
      <c r="WVO66" s="557"/>
      <c r="WVP66" s="557"/>
      <c r="WVQ66" s="557"/>
      <c r="WVR66" s="557"/>
      <c r="WVS66" s="661"/>
      <c r="WVT66" s="556"/>
      <c r="WVU66" s="557"/>
      <c r="WVV66" s="557"/>
      <c r="WVW66" s="557"/>
      <c r="WVX66" s="557"/>
      <c r="WVY66" s="557"/>
      <c r="WVZ66" s="557"/>
      <c r="WWA66" s="557"/>
      <c r="WWB66" s="557"/>
      <c r="WWC66" s="557"/>
      <c r="WWD66" s="557"/>
      <c r="WWE66" s="557"/>
      <c r="WWF66" s="557"/>
      <c r="WWG66" s="557"/>
      <c r="WWH66" s="557"/>
      <c r="WWI66" s="557"/>
      <c r="WWJ66" s="557"/>
      <c r="WWK66" s="557"/>
      <c r="WWL66" s="557"/>
      <c r="WWM66" s="661"/>
      <c r="WWN66" s="556"/>
      <c r="WWO66" s="557"/>
      <c r="WWP66" s="557"/>
      <c r="WWQ66" s="557"/>
      <c r="WWR66" s="557"/>
      <c r="WWS66" s="557"/>
      <c r="WWT66" s="557"/>
      <c r="WWU66" s="557"/>
      <c r="WWV66" s="557"/>
      <c r="WWW66" s="557"/>
      <c r="WWX66" s="557"/>
      <c r="WWY66" s="557"/>
      <c r="WWZ66" s="557"/>
      <c r="WXA66" s="557"/>
      <c r="WXB66" s="557"/>
      <c r="WXC66" s="557"/>
      <c r="WXD66" s="557"/>
      <c r="WXE66" s="557"/>
      <c r="WXF66" s="557"/>
      <c r="WXG66" s="661"/>
      <c r="WXH66" s="556"/>
      <c r="WXI66" s="557"/>
      <c r="WXJ66" s="557"/>
      <c r="WXK66" s="557"/>
      <c r="WXL66" s="557"/>
      <c r="WXM66" s="557"/>
      <c r="WXN66" s="557"/>
      <c r="WXO66" s="557"/>
      <c r="WXP66" s="557"/>
      <c r="WXQ66" s="557"/>
      <c r="WXR66" s="557"/>
      <c r="WXS66" s="557"/>
      <c r="WXT66" s="557"/>
      <c r="WXU66" s="557"/>
      <c r="WXV66" s="557"/>
      <c r="WXW66" s="557"/>
      <c r="WXX66" s="557"/>
      <c r="WXY66" s="557"/>
      <c r="WXZ66" s="557"/>
      <c r="WYA66" s="661"/>
      <c r="WYB66" s="556"/>
      <c r="WYC66" s="557"/>
      <c r="WYD66" s="557"/>
      <c r="WYE66" s="557"/>
      <c r="WYF66" s="557"/>
      <c r="WYG66" s="557"/>
      <c r="WYH66" s="557"/>
      <c r="WYI66" s="557"/>
      <c r="WYJ66" s="557"/>
      <c r="WYK66" s="557"/>
      <c r="WYL66" s="557"/>
      <c r="WYM66" s="557"/>
      <c r="WYN66" s="557"/>
      <c r="WYO66" s="557"/>
      <c r="WYP66" s="557"/>
      <c r="WYQ66" s="557"/>
      <c r="WYR66" s="557"/>
      <c r="WYS66" s="557"/>
      <c r="WYT66" s="557"/>
      <c r="WYU66" s="661"/>
      <c r="WYV66" s="556"/>
      <c r="WYW66" s="557"/>
      <c r="WYX66" s="557"/>
      <c r="WYY66" s="557"/>
      <c r="WYZ66" s="557"/>
      <c r="WZA66" s="557"/>
      <c r="WZB66" s="557"/>
      <c r="WZC66" s="557"/>
      <c r="WZD66" s="557"/>
      <c r="WZE66" s="557"/>
      <c r="WZF66" s="557"/>
      <c r="WZG66" s="557"/>
      <c r="WZH66" s="557"/>
      <c r="WZI66" s="557"/>
      <c r="WZJ66" s="557"/>
      <c r="WZK66" s="557"/>
      <c r="WZL66" s="557"/>
      <c r="WZM66" s="557"/>
      <c r="WZN66" s="557"/>
      <c r="WZO66" s="661"/>
      <c r="WZP66" s="556"/>
      <c r="WZQ66" s="557"/>
      <c r="WZR66" s="557"/>
      <c r="WZS66" s="557"/>
      <c r="WZT66" s="557"/>
      <c r="WZU66" s="557"/>
      <c r="WZV66" s="557"/>
      <c r="WZW66" s="557"/>
      <c r="WZX66" s="557"/>
      <c r="WZY66" s="557"/>
      <c r="WZZ66" s="557"/>
      <c r="XAA66" s="557"/>
      <c r="XAB66" s="557"/>
      <c r="XAC66" s="557"/>
      <c r="XAD66" s="557"/>
      <c r="XAE66" s="557"/>
      <c r="XAF66" s="557"/>
      <c r="XAG66" s="557"/>
      <c r="XAH66" s="557"/>
      <c r="XAI66" s="661"/>
      <c r="XAJ66" s="556"/>
      <c r="XAK66" s="557"/>
      <c r="XAL66" s="557"/>
      <c r="XAM66" s="557"/>
      <c r="XAN66" s="557"/>
      <c r="XAO66" s="557"/>
      <c r="XAP66" s="557"/>
      <c r="XAQ66" s="557"/>
      <c r="XAR66" s="557"/>
      <c r="XAS66" s="557"/>
      <c r="XAT66" s="557"/>
      <c r="XAU66" s="557"/>
      <c r="XAV66" s="557"/>
      <c r="XAW66" s="557"/>
      <c r="XAX66" s="557"/>
      <c r="XAY66" s="557"/>
      <c r="XAZ66" s="557"/>
      <c r="XBA66" s="557"/>
      <c r="XBB66" s="557"/>
      <c r="XBC66" s="661"/>
      <c r="XBD66" s="556"/>
      <c r="XBE66" s="557"/>
      <c r="XBF66" s="557"/>
      <c r="XBG66" s="557"/>
      <c r="XBH66" s="557"/>
      <c r="XBI66" s="557"/>
      <c r="XBJ66" s="557"/>
      <c r="XBK66" s="557"/>
      <c r="XBL66" s="557"/>
      <c r="XBM66" s="557"/>
      <c r="XBN66" s="557"/>
      <c r="XBO66" s="557"/>
      <c r="XBP66" s="557"/>
      <c r="XBQ66" s="557"/>
      <c r="XBR66" s="557"/>
      <c r="XBS66" s="557"/>
      <c r="XBT66" s="557"/>
      <c r="XBU66" s="557"/>
      <c r="XBV66" s="557"/>
      <c r="XBW66" s="661"/>
      <c r="XBX66" s="556"/>
      <c r="XBY66" s="557"/>
      <c r="XBZ66" s="557"/>
      <c r="XCA66" s="557"/>
      <c r="XCB66" s="557"/>
      <c r="XCC66" s="557"/>
      <c r="XCD66" s="557"/>
      <c r="XCE66" s="557"/>
      <c r="XCF66" s="557"/>
      <c r="XCG66" s="557"/>
      <c r="XCH66" s="557"/>
      <c r="XCI66" s="557"/>
      <c r="XCJ66" s="557"/>
      <c r="XCK66" s="557"/>
      <c r="XCL66" s="557"/>
      <c r="XCM66" s="557"/>
      <c r="XCN66" s="557"/>
      <c r="XCO66" s="557"/>
      <c r="XCP66" s="557"/>
      <c r="XCQ66" s="661"/>
      <c r="XCR66" s="556"/>
      <c r="XCS66" s="557"/>
      <c r="XCT66" s="557"/>
      <c r="XCU66" s="557"/>
      <c r="XCV66" s="557"/>
      <c r="XCW66" s="557"/>
      <c r="XCX66" s="557"/>
      <c r="XCY66" s="557"/>
      <c r="XCZ66" s="557"/>
      <c r="XDA66" s="557"/>
      <c r="XDB66" s="557"/>
      <c r="XDC66" s="557"/>
      <c r="XDD66" s="557"/>
      <c r="XDE66" s="557"/>
      <c r="XDF66" s="557"/>
      <c r="XDG66" s="557"/>
      <c r="XDH66" s="557"/>
      <c r="XDI66" s="557"/>
      <c r="XDJ66" s="557"/>
      <c r="XDK66" s="661"/>
      <c r="XDL66" s="556"/>
      <c r="XDM66" s="557"/>
      <c r="XDN66" s="557"/>
      <c r="XDO66" s="557"/>
      <c r="XDP66" s="557"/>
      <c r="XDQ66" s="557"/>
      <c r="XDR66" s="557"/>
      <c r="XDS66" s="557"/>
      <c r="XDT66" s="557"/>
      <c r="XDU66" s="557"/>
      <c r="XDV66" s="557"/>
      <c r="XDW66" s="557"/>
      <c r="XDX66" s="557"/>
      <c r="XDY66" s="557"/>
      <c r="XDZ66" s="557"/>
      <c r="XEA66" s="557"/>
      <c r="XEB66" s="557"/>
      <c r="XEC66" s="557"/>
      <c r="XED66" s="557"/>
      <c r="XEE66" s="661"/>
      <c r="XEF66" s="556"/>
      <c r="XEG66" s="557"/>
      <c r="XEH66" s="557"/>
      <c r="XEI66" s="557"/>
      <c r="XEJ66" s="557"/>
      <c r="XEK66" s="557"/>
      <c r="XEL66" s="557"/>
      <c r="XEM66" s="557"/>
      <c r="XEN66" s="557"/>
      <c r="XEO66" s="557"/>
      <c r="XEP66" s="557"/>
      <c r="XEQ66" s="557"/>
      <c r="XER66" s="557"/>
      <c r="XES66" s="557"/>
      <c r="XET66" s="557"/>
      <c r="XEU66" s="557"/>
      <c r="XEV66" s="557"/>
      <c r="XEW66" s="557"/>
      <c r="XEX66" s="557"/>
      <c r="XEY66" s="661"/>
      <c r="XEZ66" s="556"/>
      <c r="XFA66" s="556"/>
      <c r="XFB66" s="556"/>
      <c r="XFC66" s="556"/>
    </row>
    <row r="67" spans="1:16383" ht="15" customHeight="1" x14ac:dyDescent="0.2">
      <c r="A67" s="593">
        <v>10</v>
      </c>
      <c r="B67" s="585" t="s">
        <v>1161</v>
      </c>
      <c r="C67" s="597" t="s">
        <v>1147</v>
      </c>
      <c r="D67" s="597">
        <v>23008</v>
      </c>
      <c r="E67" s="597" t="s">
        <v>36</v>
      </c>
      <c r="F67" s="597" t="s">
        <v>54</v>
      </c>
      <c r="G67" s="356" t="s">
        <v>1151</v>
      </c>
      <c r="H67" s="357" t="e">
        <f>O67+P67</f>
        <v>#VALUE!</v>
      </c>
      <c r="I67" s="358" t="s">
        <v>847</v>
      </c>
      <c r="J67" s="358">
        <v>4880</v>
      </c>
      <c r="K67" s="359">
        <v>1</v>
      </c>
      <c r="L67" s="358">
        <f>J67*K67</f>
        <v>4880</v>
      </c>
      <c r="M67" s="358">
        <f>L67*1.17</f>
        <v>5709.5999999999995</v>
      </c>
      <c r="N67" s="356" t="s">
        <v>1111</v>
      </c>
      <c r="O67" s="560" t="s">
        <v>722</v>
      </c>
      <c r="P67" s="560" t="s">
        <v>1149</v>
      </c>
      <c r="Q67" s="330"/>
      <c r="R67" s="657"/>
      <c r="S67" s="659" t="s">
        <v>18</v>
      </c>
    </row>
    <row r="68" spans="1:16383" ht="14.25" x14ac:dyDescent="0.2">
      <c r="A68" s="594"/>
      <c r="B68" s="586"/>
      <c r="C68" s="598"/>
      <c r="D68" s="682"/>
      <c r="E68" s="682"/>
      <c r="F68" s="678"/>
      <c r="G68" s="329" t="s">
        <v>1150</v>
      </c>
      <c r="H68" s="332">
        <f t="shared" ref="H68:H70" si="0">O68+P68</f>
        <v>0</v>
      </c>
      <c r="I68" s="34" t="s">
        <v>847</v>
      </c>
      <c r="J68" s="34">
        <v>6500</v>
      </c>
      <c r="K68" s="329">
        <v>1</v>
      </c>
      <c r="L68" s="34">
        <f t="shared" ref="L68:L70" si="1">J68*K68</f>
        <v>6500</v>
      </c>
      <c r="M68" s="34">
        <f t="shared" ref="M68:M70" si="2">L68*1.17</f>
        <v>7604.9999999999991</v>
      </c>
      <c r="N68" s="329" t="s">
        <v>1111</v>
      </c>
      <c r="O68" s="561"/>
      <c r="P68" s="561"/>
      <c r="Q68" s="331"/>
      <c r="R68" s="673"/>
      <c r="S68" s="674"/>
    </row>
    <row r="69" spans="1:16383" ht="14.25" x14ac:dyDescent="0.2">
      <c r="A69" s="594"/>
      <c r="B69" s="586"/>
      <c r="C69" s="598"/>
      <c r="D69" s="682"/>
      <c r="E69" s="682"/>
      <c r="F69" s="678"/>
      <c r="G69" s="329" t="s">
        <v>1152</v>
      </c>
      <c r="H69" s="332">
        <f t="shared" si="0"/>
        <v>0</v>
      </c>
      <c r="I69" s="34" t="s">
        <v>847</v>
      </c>
      <c r="J69" s="34">
        <v>7980</v>
      </c>
      <c r="K69" s="329">
        <v>1</v>
      </c>
      <c r="L69" s="34">
        <f t="shared" si="1"/>
        <v>7980</v>
      </c>
      <c r="M69" s="34">
        <f t="shared" si="2"/>
        <v>9336.5999999999985</v>
      </c>
      <c r="N69" s="329" t="s">
        <v>1143</v>
      </c>
      <c r="O69" s="561"/>
      <c r="P69" s="561"/>
      <c r="Q69" s="331"/>
      <c r="R69" s="673"/>
      <c r="S69" s="674"/>
    </row>
    <row r="70" spans="1:16383" ht="14.25" x14ac:dyDescent="0.2">
      <c r="A70" s="594"/>
      <c r="B70" s="586"/>
      <c r="C70" s="598"/>
      <c r="D70" s="682"/>
      <c r="E70" s="682"/>
      <c r="F70" s="678"/>
      <c r="G70" s="329" t="s">
        <v>1148</v>
      </c>
      <c r="H70" s="332">
        <f t="shared" si="0"/>
        <v>0</v>
      </c>
      <c r="I70" s="34" t="s">
        <v>847</v>
      </c>
      <c r="J70" s="34">
        <v>8400</v>
      </c>
      <c r="K70" s="329">
        <v>1</v>
      </c>
      <c r="L70" s="34">
        <f t="shared" si="1"/>
        <v>8400</v>
      </c>
      <c r="M70" s="34">
        <f t="shared" si="2"/>
        <v>9828</v>
      </c>
      <c r="N70" s="329" t="s">
        <v>1143</v>
      </c>
      <c r="O70" s="561"/>
      <c r="P70" s="561"/>
      <c r="Q70" s="331"/>
      <c r="R70" s="673"/>
      <c r="S70" s="674"/>
    </row>
    <row r="71" spans="1:16383" ht="14.25" x14ac:dyDescent="0.2">
      <c r="A71" s="594"/>
      <c r="B71" s="586"/>
      <c r="C71" s="598"/>
      <c r="D71" s="683"/>
      <c r="E71" s="683"/>
      <c r="F71" s="679"/>
      <c r="G71" s="329"/>
      <c r="H71" s="332"/>
      <c r="I71" s="34"/>
      <c r="J71" s="34"/>
      <c r="K71" s="329"/>
      <c r="L71" s="34"/>
      <c r="M71" s="34"/>
      <c r="N71" s="329"/>
      <c r="O71" s="562"/>
      <c r="P71" s="562"/>
      <c r="Q71" s="331"/>
      <c r="R71" s="673"/>
      <c r="S71" s="674"/>
    </row>
    <row r="72" spans="1:16383" ht="14.25" x14ac:dyDescent="0.2">
      <c r="A72" s="595"/>
      <c r="B72" s="581"/>
      <c r="C72" s="582"/>
      <c r="D72" s="582"/>
      <c r="E72" s="582"/>
      <c r="F72" s="582"/>
      <c r="G72" s="582"/>
      <c r="H72" s="582"/>
      <c r="I72" s="582"/>
      <c r="J72" s="582"/>
      <c r="K72" s="582"/>
      <c r="L72" s="582"/>
      <c r="M72" s="582"/>
      <c r="N72" s="582"/>
      <c r="O72" s="582"/>
      <c r="P72" s="582"/>
      <c r="Q72" s="582"/>
      <c r="R72" s="582"/>
      <c r="S72" s="582"/>
    </row>
    <row r="73" spans="1:16383" ht="15.75" x14ac:dyDescent="0.2">
      <c r="A73" s="556" t="s">
        <v>1162</v>
      </c>
      <c r="B73" s="557"/>
      <c r="C73" s="557"/>
      <c r="D73" s="557"/>
      <c r="E73" s="557"/>
      <c r="F73" s="557"/>
      <c r="G73" s="557"/>
      <c r="H73" s="557"/>
      <c r="I73" s="557"/>
      <c r="J73" s="557"/>
      <c r="K73" s="557"/>
      <c r="L73" s="557"/>
      <c r="M73" s="557"/>
      <c r="N73" s="557"/>
      <c r="O73" s="557"/>
      <c r="P73" s="557"/>
      <c r="Q73" s="557"/>
      <c r="R73" s="557"/>
      <c r="S73" s="557"/>
      <c r="T73" s="556"/>
      <c r="U73" s="557"/>
      <c r="V73" s="557"/>
      <c r="W73" s="557"/>
      <c r="X73" s="557"/>
      <c r="Y73" s="557"/>
      <c r="Z73" s="557"/>
      <c r="AA73" s="557"/>
      <c r="AB73" s="557"/>
      <c r="AC73" s="557"/>
      <c r="AD73" s="557"/>
      <c r="AE73" s="557"/>
      <c r="AF73" s="557"/>
      <c r="AG73" s="557"/>
      <c r="AH73" s="557"/>
      <c r="AI73" s="557"/>
      <c r="AJ73" s="557"/>
      <c r="AK73" s="557"/>
      <c r="AL73" s="557"/>
      <c r="AM73" s="661"/>
      <c r="AN73" s="556"/>
      <c r="AO73" s="557"/>
      <c r="AP73" s="557"/>
      <c r="AQ73" s="557"/>
      <c r="AR73" s="557"/>
      <c r="AS73" s="557"/>
      <c r="AT73" s="557"/>
      <c r="AU73" s="557"/>
      <c r="AV73" s="557"/>
      <c r="AW73" s="557"/>
      <c r="AX73" s="557"/>
      <c r="AY73" s="557"/>
      <c r="AZ73" s="557"/>
      <c r="BA73" s="557"/>
      <c r="BB73" s="557"/>
      <c r="BC73" s="557"/>
      <c r="BD73" s="557"/>
      <c r="BE73" s="557"/>
      <c r="BF73" s="557"/>
      <c r="BG73" s="661"/>
      <c r="BH73" s="556"/>
      <c r="BI73" s="557"/>
      <c r="BJ73" s="557"/>
      <c r="BK73" s="557"/>
      <c r="BL73" s="557"/>
      <c r="BM73" s="557"/>
      <c r="BN73" s="557"/>
      <c r="BO73" s="557"/>
      <c r="BP73" s="557"/>
      <c r="BQ73" s="557"/>
      <c r="BR73" s="557"/>
      <c r="BS73" s="557"/>
      <c r="BT73" s="557"/>
      <c r="BU73" s="557"/>
      <c r="BV73" s="557"/>
      <c r="BW73" s="557"/>
      <c r="BX73" s="557"/>
      <c r="BY73" s="557"/>
      <c r="BZ73" s="557"/>
      <c r="CA73" s="661"/>
      <c r="CB73" s="556"/>
      <c r="CC73" s="557"/>
      <c r="CD73" s="557"/>
      <c r="CE73" s="557"/>
      <c r="CF73" s="557"/>
      <c r="CG73" s="557"/>
      <c r="CH73" s="557"/>
      <c r="CI73" s="557"/>
      <c r="CJ73" s="557"/>
      <c r="CK73" s="557"/>
      <c r="CL73" s="557"/>
      <c r="CM73" s="557"/>
      <c r="CN73" s="557"/>
      <c r="CO73" s="557"/>
      <c r="CP73" s="557"/>
      <c r="CQ73" s="557"/>
      <c r="CR73" s="557"/>
      <c r="CS73" s="557"/>
      <c r="CT73" s="557"/>
      <c r="CU73" s="661"/>
      <c r="CV73" s="556"/>
      <c r="CW73" s="557"/>
      <c r="CX73" s="557"/>
      <c r="CY73" s="557"/>
      <c r="CZ73" s="557"/>
      <c r="DA73" s="557"/>
      <c r="DB73" s="557"/>
      <c r="DC73" s="557"/>
      <c r="DD73" s="557"/>
      <c r="DE73" s="557"/>
      <c r="DF73" s="557"/>
      <c r="DG73" s="557"/>
      <c r="DH73" s="557"/>
      <c r="DI73" s="557"/>
      <c r="DJ73" s="557"/>
      <c r="DK73" s="557"/>
      <c r="DL73" s="557"/>
      <c r="DM73" s="557"/>
      <c r="DN73" s="557"/>
      <c r="DO73" s="661"/>
      <c r="DP73" s="556"/>
      <c r="DQ73" s="557"/>
      <c r="DR73" s="557"/>
      <c r="DS73" s="557"/>
      <c r="DT73" s="557"/>
      <c r="DU73" s="557"/>
      <c r="DV73" s="557"/>
      <c r="DW73" s="557"/>
      <c r="DX73" s="557"/>
      <c r="DY73" s="557"/>
      <c r="DZ73" s="557"/>
      <c r="EA73" s="557"/>
      <c r="EB73" s="557"/>
      <c r="EC73" s="557"/>
      <c r="ED73" s="557"/>
      <c r="EE73" s="557"/>
      <c r="EF73" s="557"/>
      <c r="EG73" s="557"/>
      <c r="EH73" s="557"/>
      <c r="EI73" s="661"/>
      <c r="EJ73" s="556"/>
      <c r="EK73" s="557"/>
      <c r="EL73" s="557"/>
      <c r="EM73" s="557"/>
      <c r="EN73" s="557"/>
      <c r="EO73" s="557"/>
      <c r="EP73" s="557"/>
      <c r="EQ73" s="557"/>
      <c r="ER73" s="557"/>
      <c r="ES73" s="557"/>
      <c r="ET73" s="557"/>
      <c r="EU73" s="557"/>
      <c r="EV73" s="557"/>
      <c r="EW73" s="557"/>
      <c r="EX73" s="557"/>
      <c r="EY73" s="557"/>
      <c r="EZ73" s="557"/>
      <c r="FA73" s="557"/>
      <c r="FB73" s="557"/>
      <c r="FC73" s="661"/>
      <c r="FD73" s="556"/>
      <c r="FE73" s="557"/>
      <c r="FF73" s="557"/>
      <c r="FG73" s="557"/>
      <c r="FH73" s="557"/>
      <c r="FI73" s="557"/>
      <c r="FJ73" s="557"/>
      <c r="FK73" s="557"/>
      <c r="FL73" s="557"/>
      <c r="FM73" s="557"/>
      <c r="FN73" s="557"/>
      <c r="FO73" s="557"/>
      <c r="FP73" s="557"/>
      <c r="FQ73" s="557"/>
      <c r="FR73" s="557"/>
      <c r="FS73" s="557"/>
      <c r="FT73" s="557"/>
      <c r="FU73" s="557"/>
      <c r="FV73" s="557"/>
      <c r="FW73" s="661"/>
      <c r="FX73" s="556"/>
      <c r="FY73" s="557"/>
      <c r="FZ73" s="557"/>
      <c r="GA73" s="557"/>
      <c r="GB73" s="557"/>
      <c r="GC73" s="557"/>
      <c r="GD73" s="557"/>
      <c r="GE73" s="557"/>
      <c r="GF73" s="557"/>
      <c r="GG73" s="557"/>
      <c r="GH73" s="557"/>
      <c r="GI73" s="557"/>
      <c r="GJ73" s="557"/>
      <c r="GK73" s="557"/>
      <c r="GL73" s="557"/>
      <c r="GM73" s="557"/>
      <c r="GN73" s="557"/>
      <c r="GO73" s="557"/>
      <c r="GP73" s="557"/>
      <c r="GQ73" s="661"/>
      <c r="GR73" s="556"/>
      <c r="GS73" s="557"/>
      <c r="GT73" s="557"/>
      <c r="GU73" s="557"/>
      <c r="GV73" s="557"/>
      <c r="GW73" s="557"/>
      <c r="GX73" s="557"/>
      <c r="GY73" s="557"/>
      <c r="GZ73" s="557"/>
      <c r="HA73" s="557"/>
      <c r="HB73" s="557"/>
      <c r="HC73" s="557"/>
      <c r="HD73" s="557"/>
      <c r="HE73" s="557"/>
      <c r="HF73" s="557"/>
      <c r="HG73" s="557"/>
      <c r="HH73" s="557"/>
      <c r="HI73" s="557"/>
      <c r="HJ73" s="557"/>
      <c r="HK73" s="661"/>
      <c r="HL73" s="556"/>
      <c r="HM73" s="557"/>
      <c r="HN73" s="557"/>
      <c r="HO73" s="557"/>
      <c r="HP73" s="557"/>
      <c r="HQ73" s="557"/>
      <c r="HR73" s="557"/>
      <c r="HS73" s="557"/>
      <c r="HT73" s="557"/>
      <c r="HU73" s="557"/>
      <c r="HV73" s="557"/>
      <c r="HW73" s="557"/>
      <c r="HX73" s="557"/>
      <c r="HY73" s="557"/>
      <c r="HZ73" s="557"/>
      <c r="IA73" s="557"/>
      <c r="IB73" s="557"/>
      <c r="IC73" s="557"/>
      <c r="ID73" s="557"/>
      <c r="IE73" s="661"/>
      <c r="IF73" s="556"/>
      <c r="IG73" s="557"/>
      <c r="IH73" s="557"/>
      <c r="II73" s="557"/>
      <c r="IJ73" s="557"/>
      <c r="IK73" s="557"/>
      <c r="IL73" s="557"/>
      <c r="IM73" s="557"/>
      <c r="IN73" s="557"/>
      <c r="IO73" s="557"/>
      <c r="IP73" s="557"/>
      <c r="IQ73" s="557"/>
      <c r="IR73" s="557"/>
      <c r="IS73" s="557"/>
      <c r="IT73" s="557"/>
      <c r="IU73" s="557"/>
      <c r="IV73" s="557"/>
      <c r="IW73" s="557"/>
      <c r="IX73" s="557"/>
      <c r="IY73" s="661"/>
      <c r="IZ73" s="556"/>
      <c r="JA73" s="557"/>
      <c r="JB73" s="557"/>
      <c r="JC73" s="557"/>
      <c r="JD73" s="557"/>
      <c r="JE73" s="557"/>
      <c r="JF73" s="557"/>
      <c r="JG73" s="557"/>
      <c r="JH73" s="557"/>
      <c r="JI73" s="557"/>
      <c r="JJ73" s="557"/>
      <c r="JK73" s="557"/>
      <c r="JL73" s="557"/>
      <c r="JM73" s="557"/>
      <c r="JN73" s="557"/>
      <c r="JO73" s="557"/>
      <c r="JP73" s="557"/>
      <c r="JQ73" s="557"/>
      <c r="JR73" s="557"/>
      <c r="JS73" s="661"/>
      <c r="JT73" s="556"/>
      <c r="JU73" s="557"/>
      <c r="JV73" s="557"/>
      <c r="JW73" s="557"/>
      <c r="JX73" s="557"/>
      <c r="JY73" s="557"/>
      <c r="JZ73" s="557"/>
      <c r="KA73" s="557"/>
      <c r="KB73" s="557"/>
      <c r="KC73" s="557"/>
      <c r="KD73" s="557"/>
      <c r="KE73" s="557"/>
      <c r="KF73" s="557"/>
      <c r="KG73" s="557"/>
      <c r="KH73" s="557"/>
      <c r="KI73" s="557"/>
      <c r="KJ73" s="557"/>
      <c r="KK73" s="557"/>
      <c r="KL73" s="557"/>
      <c r="KM73" s="661"/>
      <c r="KN73" s="556"/>
      <c r="KO73" s="557"/>
      <c r="KP73" s="557"/>
      <c r="KQ73" s="557"/>
      <c r="KR73" s="557"/>
      <c r="KS73" s="557"/>
      <c r="KT73" s="557"/>
      <c r="KU73" s="557"/>
      <c r="KV73" s="557"/>
      <c r="KW73" s="557"/>
      <c r="KX73" s="557"/>
      <c r="KY73" s="557"/>
      <c r="KZ73" s="557"/>
      <c r="LA73" s="557"/>
      <c r="LB73" s="557"/>
      <c r="LC73" s="557"/>
      <c r="LD73" s="557"/>
      <c r="LE73" s="557"/>
      <c r="LF73" s="557"/>
      <c r="LG73" s="661"/>
      <c r="LH73" s="556"/>
      <c r="LI73" s="557"/>
      <c r="LJ73" s="557"/>
      <c r="LK73" s="557"/>
      <c r="LL73" s="557"/>
      <c r="LM73" s="557"/>
      <c r="LN73" s="557"/>
      <c r="LO73" s="557"/>
      <c r="LP73" s="557"/>
      <c r="LQ73" s="557"/>
      <c r="LR73" s="557"/>
      <c r="LS73" s="557"/>
      <c r="LT73" s="557"/>
      <c r="LU73" s="557"/>
      <c r="LV73" s="557"/>
      <c r="LW73" s="557"/>
      <c r="LX73" s="557"/>
      <c r="LY73" s="557"/>
      <c r="LZ73" s="557"/>
      <c r="MA73" s="661"/>
      <c r="MB73" s="556"/>
      <c r="MC73" s="557"/>
      <c r="MD73" s="557"/>
      <c r="ME73" s="557"/>
      <c r="MF73" s="557"/>
      <c r="MG73" s="557"/>
      <c r="MH73" s="557"/>
      <c r="MI73" s="557"/>
      <c r="MJ73" s="557"/>
      <c r="MK73" s="557"/>
      <c r="ML73" s="557"/>
      <c r="MM73" s="557"/>
      <c r="MN73" s="557"/>
      <c r="MO73" s="557"/>
      <c r="MP73" s="557"/>
      <c r="MQ73" s="557"/>
      <c r="MR73" s="557"/>
      <c r="MS73" s="557"/>
      <c r="MT73" s="557"/>
      <c r="MU73" s="661"/>
      <c r="MV73" s="556"/>
      <c r="MW73" s="557"/>
      <c r="MX73" s="557"/>
      <c r="MY73" s="557"/>
      <c r="MZ73" s="557"/>
      <c r="NA73" s="557"/>
      <c r="NB73" s="557"/>
      <c r="NC73" s="557"/>
      <c r="ND73" s="557"/>
      <c r="NE73" s="557"/>
      <c r="NF73" s="557"/>
      <c r="NG73" s="557"/>
      <c r="NH73" s="557"/>
      <c r="NI73" s="557"/>
      <c r="NJ73" s="557"/>
      <c r="NK73" s="557"/>
      <c r="NL73" s="557"/>
      <c r="NM73" s="557"/>
      <c r="NN73" s="557"/>
      <c r="NO73" s="661"/>
      <c r="NP73" s="556"/>
      <c r="NQ73" s="557"/>
      <c r="NR73" s="557"/>
      <c r="NS73" s="557"/>
      <c r="NT73" s="557"/>
      <c r="NU73" s="557"/>
      <c r="NV73" s="557"/>
      <c r="NW73" s="557"/>
      <c r="NX73" s="557"/>
      <c r="NY73" s="557"/>
      <c r="NZ73" s="557"/>
      <c r="OA73" s="557"/>
      <c r="OB73" s="557"/>
      <c r="OC73" s="557"/>
      <c r="OD73" s="557"/>
      <c r="OE73" s="557"/>
      <c r="OF73" s="557"/>
      <c r="OG73" s="557"/>
      <c r="OH73" s="557"/>
      <c r="OI73" s="661"/>
      <c r="OJ73" s="556"/>
      <c r="OK73" s="557"/>
      <c r="OL73" s="557"/>
      <c r="OM73" s="557"/>
      <c r="ON73" s="557"/>
      <c r="OO73" s="557"/>
      <c r="OP73" s="557"/>
      <c r="OQ73" s="557"/>
      <c r="OR73" s="557"/>
      <c r="OS73" s="557"/>
      <c r="OT73" s="557"/>
      <c r="OU73" s="557"/>
      <c r="OV73" s="557"/>
      <c r="OW73" s="557"/>
      <c r="OX73" s="557"/>
      <c r="OY73" s="557"/>
      <c r="OZ73" s="557"/>
      <c r="PA73" s="557"/>
      <c r="PB73" s="557"/>
      <c r="PC73" s="661"/>
      <c r="PD73" s="556"/>
      <c r="PE73" s="557"/>
      <c r="PF73" s="557"/>
      <c r="PG73" s="557"/>
      <c r="PH73" s="557"/>
      <c r="PI73" s="557"/>
      <c r="PJ73" s="557"/>
      <c r="PK73" s="557"/>
      <c r="PL73" s="557"/>
      <c r="PM73" s="557"/>
      <c r="PN73" s="557"/>
      <c r="PO73" s="557"/>
      <c r="PP73" s="557"/>
      <c r="PQ73" s="557"/>
      <c r="PR73" s="557"/>
      <c r="PS73" s="557"/>
      <c r="PT73" s="557"/>
      <c r="PU73" s="557"/>
      <c r="PV73" s="557"/>
      <c r="PW73" s="661"/>
      <c r="PX73" s="556"/>
      <c r="PY73" s="557"/>
      <c r="PZ73" s="557"/>
      <c r="QA73" s="557"/>
      <c r="QB73" s="557"/>
      <c r="QC73" s="557"/>
      <c r="QD73" s="557"/>
      <c r="QE73" s="557"/>
      <c r="QF73" s="557"/>
      <c r="QG73" s="557"/>
      <c r="QH73" s="557"/>
      <c r="QI73" s="557"/>
      <c r="QJ73" s="557"/>
      <c r="QK73" s="557"/>
      <c r="QL73" s="557"/>
      <c r="QM73" s="557"/>
      <c r="QN73" s="557"/>
      <c r="QO73" s="557"/>
      <c r="QP73" s="557"/>
      <c r="QQ73" s="661"/>
      <c r="QR73" s="556"/>
      <c r="QS73" s="557"/>
      <c r="QT73" s="557"/>
      <c r="QU73" s="557"/>
      <c r="QV73" s="557"/>
      <c r="QW73" s="557"/>
      <c r="QX73" s="557"/>
      <c r="QY73" s="557"/>
      <c r="QZ73" s="557"/>
      <c r="RA73" s="557"/>
      <c r="RB73" s="557"/>
      <c r="RC73" s="557"/>
      <c r="RD73" s="557"/>
      <c r="RE73" s="557"/>
      <c r="RF73" s="557"/>
      <c r="RG73" s="557"/>
      <c r="RH73" s="557"/>
      <c r="RI73" s="557"/>
      <c r="RJ73" s="557"/>
      <c r="RK73" s="661"/>
      <c r="RL73" s="556"/>
      <c r="RM73" s="557"/>
      <c r="RN73" s="557"/>
      <c r="RO73" s="557"/>
      <c r="RP73" s="557"/>
      <c r="RQ73" s="557"/>
      <c r="RR73" s="557"/>
      <c r="RS73" s="557"/>
      <c r="RT73" s="557"/>
      <c r="RU73" s="557"/>
      <c r="RV73" s="557"/>
      <c r="RW73" s="557"/>
      <c r="RX73" s="557"/>
      <c r="RY73" s="557"/>
      <c r="RZ73" s="557"/>
      <c r="SA73" s="557"/>
      <c r="SB73" s="557"/>
      <c r="SC73" s="557"/>
      <c r="SD73" s="557"/>
      <c r="SE73" s="661"/>
      <c r="SF73" s="556"/>
      <c r="SG73" s="557"/>
      <c r="SH73" s="557"/>
      <c r="SI73" s="557"/>
      <c r="SJ73" s="557"/>
      <c r="SK73" s="557"/>
      <c r="SL73" s="557"/>
      <c r="SM73" s="557"/>
      <c r="SN73" s="557"/>
      <c r="SO73" s="557"/>
      <c r="SP73" s="557"/>
      <c r="SQ73" s="557"/>
      <c r="SR73" s="557"/>
      <c r="SS73" s="557"/>
      <c r="ST73" s="557"/>
      <c r="SU73" s="557"/>
      <c r="SV73" s="557"/>
      <c r="SW73" s="557"/>
      <c r="SX73" s="557"/>
      <c r="SY73" s="661"/>
      <c r="SZ73" s="556"/>
      <c r="TA73" s="557"/>
      <c r="TB73" s="557"/>
      <c r="TC73" s="557"/>
      <c r="TD73" s="557"/>
      <c r="TE73" s="557"/>
      <c r="TF73" s="557"/>
      <c r="TG73" s="557"/>
      <c r="TH73" s="557"/>
      <c r="TI73" s="557"/>
      <c r="TJ73" s="557"/>
      <c r="TK73" s="557"/>
      <c r="TL73" s="557"/>
      <c r="TM73" s="557"/>
      <c r="TN73" s="557"/>
      <c r="TO73" s="557"/>
      <c r="TP73" s="557"/>
      <c r="TQ73" s="557"/>
      <c r="TR73" s="557"/>
      <c r="TS73" s="661"/>
      <c r="TT73" s="556"/>
      <c r="TU73" s="557"/>
      <c r="TV73" s="557"/>
      <c r="TW73" s="557"/>
      <c r="TX73" s="557"/>
      <c r="TY73" s="557"/>
      <c r="TZ73" s="557"/>
      <c r="UA73" s="557"/>
      <c r="UB73" s="557"/>
      <c r="UC73" s="557"/>
      <c r="UD73" s="557"/>
      <c r="UE73" s="557"/>
      <c r="UF73" s="557"/>
      <c r="UG73" s="557"/>
      <c r="UH73" s="557"/>
      <c r="UI73" s="557"/>
      <c r="UJ73" s="557"/>
      <c r="UK73" s="557"/>
      <c r="UL73" s="557"/>
      <c r="UM73" s="661"/>
      <c r="UN73" s="556"/>
      <c r="UO73" s="557"/>
      <c r="UP73" s="557"/>
      <c r="UQ73" s="557"/>
      <c r="UR73" s="557"/>
      <c r="US73" s="557"/>
      <c r="UT73" s="557"/>
      <c r="UU73" s="557"/>
      <c r="UV73" s="557"/>
      <c r="UW73" s="557"/>
      <c r="UX73" s="557"/>
      <c r="UY73" s="557"/>
      <c r="UZ73" s="557"/>
      <c r="VA73" s="557"/>
      <c r="VB73" s="557"/>
      <c r="VC73" s="557"/>
      <c r="VD73" s="557"/>
      <c r="VE73" s="557"/>
      <c r="VF73" s="557"/>
      <c r="VG73" s="661"/>
      <c r="VH73" s="556"/>
      <c r="VI73" s="557"/>
      <c r="VJ73" s="557"/>
      <c r="VK73" s="557"/>
      <c r="VL73" s="557"/>
      <c r="VM73" s="557"/>
      <c r="VN73" s="557"/>
      <c r="VO73" s="557"/>
      <c r="VP73" s="557"/>
      <c r="VQ73" s="557"/>
      <c r="VR73" s="557"/>
      <c r="VS73" s="557"/>
      <c r="VT73" s="557"/>
      <c r="VU73" s="557"/>
      <c r="VV73" s="557"/>
      <c r="VW73" s="557"/>
      <c r="VX73" s="557"/>
      <c r="VY73" s="557"/>
      <c r="VZ73" s="557"/>
      <c r="WA73" s="661"/>
      <c r="WB73" s="556"/>
      <c r="WC73" s="557"/>
      <c r="WD73" s="557"/>
      <c r="WE73" s="557"/>
      <c r="WF73" s="557"/>
      <c r="WG73" s="557"/>
      <c r="WH73" s="557"/>
      <c r="WI73" s="557"/>
      <c r="WJ73" s="557"/>
      <c r="WK73" s="557"/>
      <c r="WL73" s="557"/>
      <c r="WM73" s="557"/>
      <c r="WN73" s="557"/>
      <c r="WO73" s="557"/>
      <c r="WP73" s="557"/>
      <c r="WQ73" s="557"/>
      <c r="WR73" s="557"/>
      <c r="WS73" s="557"/>
      <c r="WT73" s="557"/>
      <c r="WU73" s="661"/>
      <c r="WV73" s="556"/>
      <c r="WW73" s="557"/>
      <c r="WX73" s="557"/>
      <c r="WY73" s="557"/>
      <c r="WZ73" s="557"/>
      <c r="XA73" s="557"/>
      <c r="XB73" s="557"/>
      <c r="XC73" s="557"/>
      <c r="XD73" s="557"/>
      <c r="XE73" s="557"/>
      <c r="XF73" s="557"/>
      <c r="XG73" s="557"/>
      <c r="XH73" s="557"/>
      <c r="XI73" s="557"/>
      <c r="XJ73" s="557"/>
      <c r="XK73" s="557"/>
      <c r="XL73" s="557"/>
      <c r="XM73" s="557"/>
      <c r="XN73" s="557"/>
      <c r="XO73" s="661"/>
      <c r="XP73" s="556"/>
      <c r="XQ73" s="557"/>
      <c r="XR73" s="557"/>
      <c r="XS73" s="557"/>
      <c r="XT73" s="557"/>
      <c r="XU73" s="557"/>
      <c r="XV73" s="557"/>
      <c r="XW73" s="557"/>
      <c r="XX73" s="557"/>
      <c r="XY73" s="557"/>
      <c r="XZ73" s="557"/>
      <c r="YA73" s="557"/>
      <c r="YB73" s="557"/>
      <c r="YC73" s="557"/>
      <c r="YD73" s="557"/>
      <c r="YE73" s="557"/>
      <c r="YF73" s="557"/>
      <c r="YG73" s="557"/>
      <c r="YH73" s="557"/>
      <c r="YI73" s="661"/>
      <c r="YJ73" s="556"/>
      <c r="YK73" s="557"/>
      <c r="YL73" s="557"/>
      <c r="YM73" s="557"/>
      <c r="YN73" s="557"/>
      <c r="YO73" s="557"/>
      <c r="YP73" s="557"/>
      <c r="YQ73" s="557"/>
      <c r="YR73" s="557"/>
      <c r="YS73" s="557"/>
      <c r="YT73" s="557"/>
      <c r="YU73" s="557"/>
      <c r="YV73" s="557"/>
      <c r="YW73" s="557"/>
      <c r="YX73" s="557"/>
      <c r="YY73" s="557"/>
      <c r="YZ73" s="557"/>
      <c r="ZA73" s="557"/>
      <c r="ZB73" s="557"/>
      <c r="ZC73" s="661"/>
      <c r="ZD73" s="556"/>
      <c r="ZE73" s="557"/>
      <c r="ZF73" s="557"/>
      <c r="ZG73" s="557"/>
      <c r="ZH73" s="557"/>
      <c r="ZI73" s="557"/>
      <c r="ZJ73" s="557"/>
      <c r="ZK73" s="557"/>
      <c r="ZL73" s="557"/>
      <c r="ZM73" s="557"/>
      <c r="ZN73" s="557"/>
      <c r="ZO73" s="557"/>
      <c r="ZP73" s="557"/>
      <c r="ZQ73" s="557"/>
      <c r="ZR73" s="557"/>
      <c r="ZS73" s="557"/>
      <c r="ZT73" s="557"/>
      <c r="ZU73" s="557"/>
      <c r="ZV73" s="557"/>
      <c r="ZW73" s="661"/>
      <c r="ZX73" s="556"/>
      <c r="ZY73" s="557"/>
      <c r="ZZ73" s="557"/>
      <c r="AAA73" s="557"/>
      <c r="AAB73" s="557"/>
      <c r="AAC73" s="557"/>
      <c r="AAD73" s="557"/>
      <c r="AAE73" s="557"/>
      <c r="AAF73" s="557"/>
      <c r="AAG73" s="557"/>
      <c r="AAH73" s="557"/>
      <c r="AAI73" s="557"/>
      <c r="AAJ73" s="557"/>
      <c r="AAK73" s="557"/>
      <c r="AAL73" s="557"/>
      <c r="AAM73" s="557"/>
      <c r="AAN73" s="557"/>
      <c r="AAO73" s="557"/>
      <c r="AAP73" s="557"/>
      <c r="AAQ73" s="661"/>
      <c r="AAR73" s="556"/>
      <c r="AAS73" s="557"/>
      <c r="AAT73" s="557"/>
      <c r="AAU73" s="557"/>
      <c r="AAV73" s="557"/>
      <c r="AAW73" s="557"/>
      <c r="AAX73" s="557"/>
      <c r="AAY73" s="557"/>
      <c r="AAZ73" s="557"/>
      <c r="ABA73" s="557"/>
      <c r="ABB73" s="557"/>
      <c r="ABC73" s="557"/>
      <c r="ABD73" s="557"/>
      <c r="ABE73" s="557"/>
      <c r="ABF73" s="557"/>
      <c r="ABG73" s="557"/>
      <c r="ABH73" s="557"/>
      <c r="ABI73" s="557"/>
      <c r="ABJ73" s="557"/>
      <c r="ABK73" s="661"/>
      <c r="ABL73" s="556"/>
      <c r="ABM73" s="557"/>
      <c r="ABN73" s="557"/>
      <c r="ABO73" s="557"/>
      <c r="ABP73" s="557"/>
      <c r="ABQ73" s="557"/>
      <c r="ABR73" s="557"/>
      <c r="ABS73" s="557"/>
      <c r="ABT73" s="557"/>
      <c r="ABU73" s="557"/>
      <c r="ABV73" s="557"/>
      <c r="ABW73" s="557"/>
      <c r="ABX73" s="557"/>
      <c r="ABY73" s="557"/>
      <c r="ABZ73" s="557"/>
      <c r="ACA73" s="557"/>
      <c r="ACB73" s="557"/>
      <c r="ACC73" s="557"/>
      <c r="ACD73" s="557"/>
      <c r="ACE73" s="661"/>
      <c r="ACF73" s="556"/>
      <c r="ACG73" s="557"/>
      <c r="ACH73" s="557"/>
      <c r="ACI73" s="557"/>
      <c r="ACJ73" s="557"/>
      <c r="ACK73" s="557"/>
      <c r="ACL73" s="557"/>
      <c r="ACM73" s="557"/>
      <c r="ACN73" s="557"/>
      <c r="ACO73" s="557"/>
      <c r="ACP73" s="557"/>
      <c r="ACQ73" s="557"/>
      <c r="ACR73" s="557"/>
      <c r="ACS73" s="557"/>
      <c r="ACT73" s="557"/>
      <c r="ACU73" s="557"/>
      <c r="ACV73" s="557"/>
      <c r="ACW73" s="557"/>
      <c r="ACX73" s="557"/>
      <c r="ACY73" s="661"/>
      <c r="ACZ73" s="556"/>
      <c r="ADA73" s="557"/>
      <c r="ADB73" s="557"/>
      <c r="ADC73" s="557"/>
      <c r="ADD73" s="557"/>
      <c r="ADE73" s="557"/>
      <c r="ADF73" s="557"/>
      <c r="ADG73" s="557"/>
      <c r="ADH73" s="557"/>
      <c r="ADI73" s="557"/>
      <c r="ADJ73" s="557"/>
      <c r="ADK73" s="557"/>
      <c r="ADL73" s="557"/>
      <c r="ADM73" s="557"/>
      <c r="ADN73" s="557"/>
      <c r="ADO73" s="557"/>
      <c r="ADP73" s="557"/>
      <c r="ADQ73" s="557"/>
      <c r="ADR73" s="557"/>
      <c r="ADS73" s="661"/>
      <c r="ADT73" s="556"/>
      <c r="ADU73" s="557"/>
      <c r="ADV73" s="557"/>
      <c r="ADW73" s="557"/>
      <c r="ADX73" s="557"/>
      <c r="ADY73" s="557"/>
      <c r="ADZ73" s="557"/>
      <c r="AEA73" s="557"/>
      <c r="AEB73" s="557"/>
      <c r="AEC73" s="557"/>
      <c r="AED73" s="557"/>
      <c r="AEE73" s="557"/>
      <c r="AEF73" s="557"/>
      <c r="AEG73" s="557"/>
      <c r="AEH73" s="557"/>
      <c r="AEI73" s="557"/>
      <c r="AEJ73" s="557"/>
      <c r="AEK73" s="557"/>
      <c r="AEL73" s="557"/>
      <c r="AEM73" s="661"/>
      <c r="AEN73" s="556"/>
      <c r="AEO73" s="557"/>
      <c r="AEP73" s="557"/>
      <c r="AEQ73" s="557"/>
      <c r="AER73" s="557"/>
      <c r="AES73" s="557"/>
      <c r="AET73" s="557"/>
      <c r="AEU73" s="557"/>
      <c r="AEV73" s="557"/>
      <c r="AEW73" s="557"/>
      <c r="AEX73" s="557"/>
      <c r="AEY73" s="557"/>
      <c r="AEZ73" s="557"/>
      <c r="AFA73" s="557"/>
      <c r="AFB73" s="557"/>
      <c r="AFC73" s="557"/>
      <c r="AFD73" s="557"/>
      <c r="AFE73" s="557"/>
      <c r="AFF73" s="557"/>
      <c r="AFG73" s="661"/>
      <c r="AFH73" s="556"/>
      <c r="AFI73" s="557"/>
      <c r="AFJ73" s="557"/>
      <c r="AFK73" s="557"/>
      <c r="AFL73" s="557"/>
      <c r="AFM73" s="557"/>
      <c r="AFN73" s="557"/>
      <c r="AFO73" s="557"/>
      <c r="AFP73" s="557"/>
      <c r="AFQ73" s="557"/>
      <c r="AFR73" s="557"/>
      <c r="AFS73" s="557"/>
      <c r="AFT73" s="557"/>
      <c r="AFU73" s="557"/>
      <c r="AFV73" s="557"/>
      <c r="AFW73" s="557"/>
      <c r="AFX73" s="557"/>
      <c r="AFY73" s="557"/>
      <c r="AFZ73" s="557"/>
      <c r="AGA73" s="661"/>
      <c r="AGB73" s="556"/>
      <c r="AGC73" s="557"/>
      <c r="AGD73" s="557"/>
      <c r="AGE73" s="557"/>
      <c r="AGF73" s="557"/>
      <c r="AGG73" s="557"/>
      <c r="AGH73" s="557"/>
      <c r="AGI73" s="557"/>
      <c r="AGJ73" s="557"/>
      <c r="AGK73" s="557"/>
      <c r="AGL73" s="557"/>
      <c r="AGM73" s="557"/>
      <c r="AGN73" s="557"/>
      <c r="AGO73" s="557"/>
      <c r="AGP73" s="557"/>
      <c r="AGQ73" s="557"/>
      <c r="AGR73" s="557"/>
      <c r="AGS73" s="557"/>
      <c r="AGT73" s="557"/>
      <c r="AGU73" s="661"/>
      <c r="AGV73" s="556"/>
      <c r="AGW73" s="557"/>
      <c r="AGX73" s="557"/>
      <c r="AGY73" s="557"/>
      <c r="AGZ73" s="557"/>
      <c r="AHA73" s="557"/>
      <c r="AHB73" s="557"/>
      <c r="AHC73" s="557"/>
      <c r="AHD73" s="557"/>
      <c r="AHE73" s="557"/>
      <c r="AHF73" s="557"/>
      <c r="AHG73" s="557"/>
      <c r="AHH73" s="557"/>
      <c r="AHI73" s="557"/>
      <c r="AHJ73" s="557"/>
      <c r="AHK73" s="557"/>
      <c r="AHL73" s="557"/>
      <c r="AHM73" s="557"/>
      <c r="AHN73" s="557"/>
      <c r="AHO73" s="661"/>
      <c r="AHP73" s="556"/>
      <c r="AHQ73" s="557"/>
      <c r="AHR73" s="557"/>
      <c r="AHS73" s="557"/>
      <c r="AHT73" s="557"/>
      <c r="AHU73" s="557"/>
      <c r="AHV73" s="557"/>
      <c r="AHW73" s="557"/>
      <c r="AHX73" s="557"/>
      <c r="AHY73" s="557"/>
      <c r="AHZ73" s="557"/>
      <c r="AIA73" s="557"/>
      <c r="AIB73" s="557"/>
      <c r="AIC73" s="557"/>
      <c r="AID73" s="557"/>
      <c r="AIE73" s="557"/>
      <c r="AIF73" s="557"/>
      <c r="AIG73" s="557"/>
      <c r="AIH73" s="557"/>
      <c r="AII73" s="661"/>
      <c r="AIJ73" s="556"/>
      <c r="AIK73" s="557"/>
      <c r="AIL73" s="557"/>
      <c r="AIM73" s="557"/>
      <c r="AIN73" s="557"/>
      <c r="AIO73" s="557"/>
      <c r="AIP73" s="557"/>
      <c r="AIQ73" s="557"/>
      <c r="AIR73" s="557"/>
      <c r="AIS73" s="557"/>
      <c r="AIT73" s="557"/>
      <c r="AIU73" s="557"/>
      <c r="AIV73" s="557"/>
      <c r="AIW73" s="557"/>
      <c r="AIX73" s="557"/>
      <c r="AIY73" s="557"/>
      <c r="AIZ73" s="557"/>
      <c r="AJA73" s="557"/>
      <c r="AJB73" s="557"/>
      <c r="AJC73" s="661"/>
      <c r="AJD73" s="556"/>
      <c r="AJE73" s="557"/>
      <c r="AJF73" s="557"/>
      <c r="AJG73" s="557"/>
      <c r="AJH73" s="557"/>
      <c r="AJI73" s="557"/>
      <c r="AJJ73" s="557"/>
      <c r="AJK73" s="557"/>
      <c r="AJL73" s="557"/>
      <c r="AJM73" s="557"/>
      <c r="AJN73" s="557"/>
      <c r="AJO73" s="557"/>
      <c r="AJP73" s="557"/>
      <c r="AJQ73" s="557"/>
      <c r="AJR73" s="557"/>
      <c r="AJS73" s="557"/>
      <c r="AJT73" s="557"/>
      <c r="AJU73" s="557"/>
      <c r="AJV73" s="557"/>
      <c r="AJW73" s="661"/>
      <c r="AJX73" s="556"/>
      <c r="AJY73" s="557"/>
      <c r="AJZ73" s="557"/>
      <c r="AKA73" s="557"/>
      <c r="AKB73" s="557"/>
      <c r="AKC73" s="557"/>
      <c r="AKD73" s="557"/>
      <c r="AKE73" s="557"/>
      <c r="AKF73" s="557"/>
      <c r="AKG73" s="557"/>
      <c r="AKH73" s="557"/>
      <c r="AKI73" s="557"/>
      <c r="AKJ73" s="557"/>
      <c r="AKK73" s="557"/>
      <c r="AKL73" s="557"/>
      <c r="AKM73" s="557"/>
      <c r="AKN73" s="557"/>
      <c r="AKO73" s="557"/>
      <c r="AKP73" s="557"/>
      <c r="AKQ73" s="661"/>
      <c r="AKR73" s="556"/>
      <c r="AKS73" s="557"/>
      <c r="AKT73" s="557"/>
      <c r="AKU73" s="557"/>
      <c r="AKV73" s="557"/>
      <c r="AKW73" s="557"/>
      <c r="AKX73" s="557"/>
      <c r="AKY73" s="557"/>
      <c r="AKZ73" s="557"/>
      <c r="ALA73" s="557"/>
      <c r="ALB73" s="557"/>
      <c r="ALC73" s="557"/>
      <c r="ALD73" s="557"/>
      <c r="ALE73" s="557"/>
      <c r="ALF73" s="557"/>
      <c r="ALG73" s="557"/>
      <c r="ALH73" s="557"/>
      <c r="ALI73" s="557"/>
      <c r="ALJ73" s="557"/>
      <c r="ALK73" s="661"/>
      <c r="ALL73" s="556"/>
      <c r="ALM73" s="557"/>
      <c r="ALN73" s="557"/>
      <c r="ALO73" s="557"/>
      <c r="ALP73" s="557"/>
      <c r="ALQ73" s="557"/>
      <c r="ALR73" s="557"/>
      <c r="ALS73" s="557"/>
      <c r="ALT73" s="557"/>
      <c r="ALU73" s="557"/>
      <c r="ALV73" s="557"/>
      <c r="ALW73" s="557"/>
      <c r="ALX73" s="557"/>
      <c r="ALY73" s="557"/>
      <c r="ALZ73" s="557"/>
      <c r="AMA73" s="557"/>
      <c r="AMB73" s="557"/>
      <c r="AMC73" s="557"/>
      <c r="AMD73" s="557"/>
      <c r="AME73" s="661"/>
      <c r="AMF73" s="556"/>
      <c r="AMG73" s="557"/>
      <c r="AMH73" s="557"/>
      <c r="AMI73" s="557"/>
      <c r="AMJ73" s="557"/>
      <c r="AMK73" s="557"/>
      <c r="AML73" s="557"/>
      <c r="AMM73" s="557"/>
      <c r="AMN73" s="557"/>
      <c r="AMO73" s="557"/>
      <c r="AMP73" s="557"/>
      <c r="AMQ73" s="557"/>
      <c r="AMR73" s="557"/>
      <c r="AMS73" s="557"/>
      <c r="AMT73" s="557"/>
      <c r="AMU73" s="557"/>
      <c r="AMV73" s="557"/>
      <c r="AMW73" s="557"/>
      <c r="AMX73" s="557"/>
      <c r="AMY73" s="661"/>
      <c r="AMZ73" s="556"/>
      <c r="ANA73" s="557"/>
      <c r="ANB73" s="557"/>
      <c r="ANC73" s="557"/>
      <c r="AND73" s="557"/>
      <c r="ANE73" s="557"/>
      <c r="ANF73" s="557"/>
      <c r="ANG73" s="557"/>
      <c r="ANH73" s="557"/>
      <c r="ANI73" s="557"/>
      <c r="ANJ73" s="557"/>
      <c r="ANK73" s="557"/>
      <c r="ANL73" s="557"/>
      <c r="ANM73" s="557"/>
      <c r="ANN73" s="557"/>
      <c r="ANO73" s="557"/>
      <c r="ANP73" s="557"/>
      <c r="ANQ73" s="557"/>
      <c r="ANR73" s="557"/>
      <c r="ANS73" s="661"/>
      <c r="ANT73" s="556"/>
      <c r="ANU73" s="557"/>
      <c r="ANV73" s="557"/>
      <c r="ANW73" s="557"/>
      <c r="ANX73" s="557"/>
      <c r="ANY73" s="557"/>
      <c r="ANZ73" s="557"/>
      <c r="AOA73" s="557"/>
      <c r="AOB73" s="557"/>
      <c r="AOC73" s="557"/>
      <c r="AOD73" s="557"/>
      <c r="AOE73" s="557"/>
      <c r="AOF73" s="557"/>
      <c r="AOG73" s="557"/>
      <c r="AOH73" s="557"/>
      <c r="AOI73" s="557"/>
      <c r="AOJ73" s="557"/>
      <c r="AOK73" s="557"/>
      <c r="AOL73" s="557"/>
      <c r="AOM73" s="661"/>
      <c r="AON73" s="556"/>
      <c r="AOO73" s="557"/>
      <c r="AOP73" s="557"/>
      <c r="AOQ73" s="557"/>
      <c r="AOR73" s="557"/>
      <c r="AOS73" s="557"/>
      <c r="AOT73" s="557"/>
      <c r="AOU73" s="557"/>
      <c r="AOV73" s="557"/>
      <c r="AOW73" s="557"/>
      <c r="AOX73" s="557"/>
      <c r="AOY73" s="557"/>
      <c r="AOZ73" s="557"/>
      <c r="APA73" s="557"/>
      <c r="APB73" s="557"/>
      <c r="APC73" s="557"/>
      <c r="APD73" s="557"/>
      <c r="APE73" s="557"/>
      <c r="APF73" s="557"/>
      <c r="APG73" s="661"/>
      <c r="APH73" s="556"/>
      <c r="API73" s="557"/>
      <c r="APJ73" s="557"/>
      <c r="APK73" s="557"/>
      <c r="APL73" s="557"/>
      <c r="APM73" s="557"/>
      <c r="APN73" s="557"/>
      <c r="APO73" s="557"/>
      <c r="APP73" s="557"/>
      <c r="APQ73" s="557"/>
      <c r="APR73" s="557"/>
      <c r="APS73" s="557"/>
      <c r="APT73" s="557"/>
      <c r="APU73" s="557"/>
      <c r="APV73" s="557"/>
      <c r="APW73" s="557"/>
      <c r="APX73" s="557"/>
      <c r="APY73" s="557"/>
      <c r="APZ73" s="557"/>
      <c r="AQA73" s="661"/>
      <c r="AQB73" s="556"/>
      <c r="AQC73" s="557"/>
      <c r="AQD73" s="557"/>
      <c r="AQE73" s="557"/>
      <c r="AQF73" s="557"/>
      <c r="AQG73" s="557"/>
      <c r="AQH73" s="557"/>
      <c r="AQI73" s="557"/>
      <c r="AQJ73" s="557"/>
      <c r="AQK73" s="557"/>
      <c r="AQL73" s="557"/>
      <c r="AQM73" s="557"/>
      <c r="AQN73" s="557"/>
      <c r="AQO73" s="557"/>
      <c r="AQP73" s="557"/>
      <c r="AQQ73" s="557"/>
      <c r="AQR73" s="557"/>
      <c r="AQS73" s="557"/>
      <c r="AQT73" s="557"/>
      <c r="AQU73" s="661"/>
      <c r="AQV73" s="556"/>
      <c r="AQW73" s="557"/>
      <c r="AQX73" s="557"/>
      <c r="AQY73" s="557"/>
      <c r="AQZ73" s="557"/>
      <c r="ARA73" s="557"/>
      <c r="ARB73" s="557"/>
      <c r="ARC73" s="557"/>
      <c r="ARD73" s="557"/>
      <c r="ARE73" s="557"/>
      <c r="ARF73" s="557"/>
      <c r="ARG73" s="557"/>
      <c r="ARH73" s="557"/>
      <c r="ARI73" s="557"/>
      <c r="ARJ73" s="557"/>
      <c r="ARK73" s="557"/>
      <c r="ARL73" s="557"/>
      <c r="ARM73" s="557"/>
      <c r="ARN73" s="557"/>
      <c r="ARO73" s="661"/>
      <c r="ARP73" s="556"/>
      <c r="ARQ73" s="557"/>
      <c r="ARR73" s="557"/>
      <c r="ARS73" s="557"/>
      <c r="ART73" s="557"/>
      <c r="ARU73" s="557"/>
      <c r="ARV73" s="557"/>
      <c r="ARW73" s="557"/>
      <c r="ARX73" s="557"/>
      <c r="ARY73" s="557"/>
      <c r="ARZ73" s="557"/>
      <c r="ASA73" s="557"/>
      <c r="ASB73" s="557"/>
      <c r="ASC73" s="557"/>
      <c r="ASD73" s="557"/>
      <c r="ASE73" s="557"/>
      <c r="ASF73" s="557"/>
      <c r="ASG73" s="557"/>
      <c r="ASH73" s="557"/>
      <c r="ASI73" s="661"/>
      <c r="ASJ73" s="556"/>
      <c r="ASK73" s="557"/>
      <c r="ASL73" s="557"/>
      <c r="ASM73" s="557"/>
      <c r="ASN73" s="557"/>
      <c r="ASO73" s="557"/>
      <c r="ASP73" s="557"/>
      <c r="ASQ73" s="557"/>
      <c r="ASR73" s="557"/>
      <c r="ASS73" s="557"/>
      <c r="AST73" s="557"/>
      <c r="ASU73" s="557"/>
      <c r="ASV73" s="557"/>
      <c r="ASW73" s="557"/>
      <c r="ASX73" s="557"/>
      <c r="ASY73" s="557"/>
      <c r="ASZ73" s="557"/>
      <c r="ATA73" s="557"/>
      <c r="ATB73" s="557"/>
      <c r="ATC73" s="661"/>
      <c r="ATD73" s="556"/>
      <c r="ATE73" s="557"/>
      <c r="ATF73" s="557"/>
      <c r="ATG73" s="557"/>
      <c r="ATH73" s="557"/>
      <c r="ATI73" s="557"/>
      <c r="ATJ73" s="557"/>
      <c r="ATK73" s="557"/>
      <c r="ATL73" s="557"/>
      <c r="ATM73" s="557"/>
      <c r="ATN73" s="557"/>
      <c r="ATO73" s="557"/>
      <c r="ATP73" s="557"/>
      <c r="ATQ73" s="557"/>
      <c r="ATR73" s="557"/>
      <c r="ATS73" s="557"/>
      <c r="ATT73" s="557"/>
      <c r="ATU73" s="557"/>
      <c r="ATV73" s="557"/>
      <c r="ATW73" s="661"/>
      <c r="ATX73" s="556"/>
      <c r="ATY73" s="557"/>
      <c r="ATZ73" s="557"/>
      <c r="AUA73" s="557"/>
      <c r="AUB73" s="557"/>
      <c r="AUC73" s="557"/>
      <c r="AUD73" s="557"/>
      <c r="AUE73" s="557"/>
      <c r="AUF73" s="557"/>
      <c r="AUG73" s="557"/>
      <c r="AUH73" s="557"/>
      <c r="AUI73" s="557"/>
      <c r="AUJ73" s="557"/>
      <c r="AUK73" s="557"/>
      <c r="AUL73" s="557"/>
      <c r="AUM73" s="557"/>
      <c r="AUN73" s="557"/>
      <c r="AUO73" s="557"/>
      <c r="AUP73" s="557"/>
      <c r="AUQ73" s="661"/>
      <c r="AUR73" s="556"/>
      <c r="AUS73" s="557"/>
      <c r="AUT73" s="557"/>
      <c r="AUU73" s="557"/>
      <c r="AUV73" s="557"/>
      <c r="AUW73" s="557"/>
      <c r="AUX73" s="557"/>
      <c r="AUY73" s="557"/>
      <c r="AUZ73" s="557"/>
      <c r="AVA73" s="557"/>
      <c r="AVB73" s="557"/>
      <c r="AVC73" s="557"/>
      <c r="AVD73" s="557"/>
      <c r="AVE73" s="557"/>
      <c r="AVF73" s="557"/>
      <c r="AVG73" s="557"/>
      <c r="AVH73" s="557"/>
      <c r="AVI73" s="557"/>
      <c r="AVJ73" s="557"/>
      <c r="AVK73" s="661"/>
      <c r="AVL73" s="556"/>
      <c r="AVM73" s="557"/>
      <c r="AVN73" s="557"/>
      <c r="AVO73" s="557"/>
      <c r="AVP73" s="557"/>
      <c r="AVQ73" s="557"/>
      <c r="AVR73" s="557"/>
      <c r="AVS73" s="557"/>
      <c r="AVT73" s="557"/>
      <c r="AVU73" s="557"/>
      <c r="AVV73" s="557"/>
      <c r="AVW73" s="557"/>
      <c r="AVX73" s="557"/>
      <c r="AVY73" s="557"/>
      <c r="AVZ73" s="557"/>
      <c r="AWA73" s="557"/>
      <c r="AWB73" s="557"/>
      <c r="AWC73" s="557"/>
      <c r="AWD73" s="557"/>
      <c r="AWE73" s="661"/>
      <c r="AWF73" s="556"/>
      <c r="AWG73" s="557"/>
      <c r="AWH73" s="557"/>
      <c r="AWI73" s="557"/>
      <c r="AWJ73" s="557"/>
      <c r="AWK73" s="557"/>
      <c r="AWL73" s="557"/>
      <c r="AWM73" s="557"/>
      <c r="AWN73" s="557"/>
      <c r="AWO73" s="557"/>
      <c r="AWP73" s="557"/>
      <c r="AWQ73" s="557"/>
      <c r="AWR73" s="557"/>
      <c r="AWS73" s="557"/>
      <c r="AWT73" s="557"/>
      <c r="AWU73" s="557"/>
      <c r="AWV73" s="557"/>
      <c r="AWW73" s="557"/>
      <c r="AWX73" s="557"/>
      <c r="AWY73" s="661"/>
      <c r="AWZ73" s="556"/>
      <c r="AXA73" s="557"/>
      <c r="AXB73" s="557"/>
      <c r="AXC73" s="557"/>
      <c r="AXD73" s="557"/>
      <c r="AXE73" s="557"/>
      <c r="AXF73" s="557"/>
      <c r="AXG73" s="557"/>
      <c r="AXH73" s="557"/>
      <c r="AXI73" s="557"/>
      <c r="AXJ73" s="557"/>
      <c r="AXK73" s="557"/>
      <c r="AXL73" s="557"/>
      <c r="AXM73" s="557"/>
      <c r="AXN73" s="557"/>
      <c r="AXO73" s="557"/>
      <c r="AXP73" s="557"/>
      <c r="AXQ73" s="557"/>
      <c r="AXR73" s="557"/>
      <c r="AXS73" s="661"/>
      <c r="AXT73" s="556"/>
      <c r="AXU73" s="557"/>
      <c r="AXV73" s="557"/>
      <c r="AXW73" s="557"/>
      <c r="AXX73" s="557"/>
      <c r="AXY73" s="557"/>
      <c r="AXZ73" s="557"/>
      <c r="AYA73" s="557"/>
      <c r="AYB73" s="557"/>
      <c r="AYC73" s="557"/>
      <c r="AYD73" s="557"/>
      <c r="AYE73" s="557"/>
      <c r="AYF73" s="557"/>
      <c r="AYG73" s="557"/>
      <c r="AYH73" s="557"/>
      <c r="AYI73" s="557"/>
      <c r="AYJ73" s="557"/>
      <c r="AYK73" s="557"/>
      <c r="AYL73" s="557"/>
      <c r="AYM73" s="661"/>
      <c r="AYN73" s="556"/>
      <c r="AYO73" s="557"/>
      <c r="AYP73" s="557"/>
      <c r="AYQ73" s="557"/>
      <c r="AYR73" s="557"/>
      <c r="AYS73" s="557"/>
      <c r="AYT73" s="557"/>
      <c r="AYU73" s="557"/>
      <c r="AYV73" s="557"/>
      <c r="AYW73" s="557"/>
      <c r="AYX73" s="557"/>
      <c r="AYY73" s="557"/>
      <c r="AYZ73" s="557"/>
      <c r="AZA73" s="557"/>
      <c r="AZB73" s="557"/>
      <c r="AZC73" s="557"/>
      <c r="AZD73" s="557"/>
      <c r="AZE73" s="557"/>
      <c r="AZF73" s="557"/>
      <c r="AZG73" s="661"/>
      <c r="AZH73" s="556"/>
      <c r="AZI73" s="557"/>
      <c r="AZJ73" s="557"/>
      <c r="AZK73" s="557"/>
      <c r="AZL73" s="557"/>
      <c r="AZM73" s="557"/>
      <c r="AZN73" s="557"/>
      <c r="AZO73" s="557"/>
      <c r="AZP73" s="557"/>
      <c r="AZQ73" s="557"/>
      <c r="AZR73" s="557"/>
      <c r="AZS73" s="557"/>
      <c r="AZT73" s="557"/>
      <c r="AZU73" s="557"/>
      <c r="AZV73" s="557"/>
      <c r="AZW73" s="557"/>
      <c r="AZX73" s="557"/>
      <c r="AZY73" s="557"/>
      <c r="AZZ73" s="557"/>
      <c r="BAA73" s="661"/>
      <c r="BAB73" s="556"/>
      <c r="BAC73" s="557"/>
      <c r="BAD73" s="557"/>
      <c r="BAE73" s="557"/>
      <c r="BAF73" s="557"/>
      <c r="BAG73" s="557"/>
      <c r="BAH73" s="557"/>
      <c r="BAI73" s="557"/>
      <c r="BAJ73" s="557"/>
      <c r="BAK73" s="557"/>
      <c r="BAL73" s="557"/>
      <c r="BAM73" s="557"/>
      <c r="BAN73" s="557"/>
      <c r="BAO73" s="557"/>
      <c r="BAP73" s="557"/>
      <c r="BAQ73" s="557"/>
      <c r="BAR73" s="557"/>
      <c r="BAS73" s="557"/>
      <c r="BAT73" s="557"/>
      <c r="BAU73" s="661"/>
      <c r="BAV73" s="556"/>
      <c r="BAW73" s="557"/>
      <c r="BAX73" s="557"/>
      <c r="BAY73" s="557"/>
      <c r="BAZ73" s="557"/>
      <c r="BBA73" s="557"/>
      <c r="BBB73" s="557"/>
      <c r="BBC73" s="557"/>
      <c r="BBD73" s="557"/>
      <c r="BBE73" s="557"/>
      <c r="BBF73" s="557"/>
      <c r="BBG73" s="557"/>
      <c r="BBH73" s="557"/>
      <c r="BBI73" s="557"/>
      <c r="BBJ73" s="557"/>
      <c r="BBK73" s="557"/>
      <c r="BBL73" s="557"/>
      <c r="BBM73" s="557"/>
      <c r="BBN73" s="557"/>
      <c r="BBO73" s="661"/>
      <c r="BBP73" s="556"/>
      <c r="BBQ73" s="557"/>
      <c r="BBR73" s="557"/>
      <c r="BBS73" s="557"/>
      <c r="BBT73" s="557"/>
      <c r="BBU73" s="557"/>
      <c r="BBV73" s="557"/>
      <c r="BBW73" s="557"/>
      <c r="BBX73" s="557"/>
      <c r="BBY73" s="557"/>
      <c r="BBZ73" s="557"/>
      <c r="BCA73" s="557"/>
      <c r="BCB73" s="557"/>
      <c r="BCC73" s="557"/>
      <c r="BCD73" s="557"/>
      <c r="BCE73" s="557"/>
      <c r="BCF73" s="557"/>
      <c r="BCG73" s="557"/>
      <c r="BCH73" s="557"/>
      <c r="BCI73" s="661"/>
      <c r="BCJ73" s="556"/>
      <c r="BCK73" s="557"/>
      <c r="BCL73" s="557"/>
      <c r="BCM73" s="557"/>
      <c r="BCN73" s="557"/>
      <c r="BCO73" s="557"/>
      <c r="BCP73" s="557"/>
      <c r="BCQ73" s="557"/>
      <c r="BCR73" s="557"/>
      <c r="BCS73" s="557"/>
      <c r="BCT73" s="557"/>
      <c r="BCU73" s="557"/>
      <c r="BCV73" s="557"/>
      <c r="BCW73" s="557"/>
      <c r="BCX73" s="557"/>
      <c r="BCY73" s="557"/>
      <c r="BCZ73" s="557"/>
      <c r="BDA73" s="557"/>
      <c r="BDB73" s="557"/>
      <c r="BDC73" s="661"/>
      <c r="BDD73" s="556"/>
      <c r="BDE73" s="557"/>
      <c r="BDF73" s="557"/>
      <c r="BDG73" s="557"/>
      <c r="BDH73" s="557"/>
      <c r="BDI73" s="557"/>
      <c r="BDJ73" s="557"/>
      <c r="BDK73" s="557"/>
      <c r="BDL73" s="557"/>
      <c r="BDM73" s="557"/>
      <c r="BDN73" s="557"/>
      <c r="BDO73" s="557"/>
      <c r="BDP73" s="557"/>
      <c r="BDQ73" s="557"/>
      <c r="BDR73" s="557"/>
      <c r="BDS73" s="557"/>
      <c r="BDT73" s="557"/>
      <c r="BDU73" s="557"/>
      <c r="BDV73" s="557"/>
      <c r="BDW73" s="661"/>
      <c r="BDX73" s="556"/>
      <c r="BDY73" s="557"/>
      <c r="BDZ73" s="557"/>
      <c r="BEA73" s="557"/>
      <c r="BEB73" s="557"/>
      <c r="BEC73" s="557"/>
      <c r="BED73" s="557"/>
      <c r="BEE73" s="557"/>
      <c r="BEF73" s="557"/>
      <c r="BEG73" s="557"/>
      <c r="BEH73" s="557"/>
      <c r="BEI73" s="557"/>
      <c r="BEJ73" s="557"/>
      <c r="BEK73" s="557"/>
      <c r="BEL73" s="557"/>
      <c r="BEM73" s="557"/>
      <c r="BEN73" s="557"/>
      <c r="BEO73" s="557"/>
      <c r="BEP73" s="557"/>
      <c r="BEQ73" s="661"/>
      <c r="BER73" s="556"/>
      <c r="BES73" s="557"/>
      <c r="BET73" s="557"/>
      <c r="BEU73" s="557"/>
      <c r="BEV73" s="557"/>
      <c r="BEW73" s="557"/>
      <c r="BEX73" s="557"/>
      <c r="BEY73" s="557"/>
      <c r="BEZ73" s="557"/>
      <c r="BFA73" s="557"/>
      <c r="BFB73" s="557"/>
      <c r="BFC73" s="557"/>
      <c r="BFD73" s="557"/>
      <c r="BFE73" s="557"/>
      <c r="BFF73" s="557"/>
      <c r="BFG73" s="557"/>
      <c r="BFH73" s="557"/>
      <c r="BFI73" s="557"/>
      <c r="BFJ73" s="557"/>
      <c r="BFK73" s="661"/>
      <c r="BFL73" s="556"/>
      <c r="BFM73" s="557"/>
      <c r="BFN73" s="557"/>
      <c r="BFO73" s="557"/>
      <c r="BFP73" s="557"/>
      <c r="BFQ73" s="557"/>
      <c r="BFR73" s="557"/>
      <c r="BFS73" s="557"/>
      <c r="BFT73" s="557"/>
      <c r="BFU73" s="557"/>
      <c r="BFV73" s="557"/>
      <c r="BFW73" s="557"/>
      <c r="BFX73" s="557"/>
      <c r="BFY73" s="557"/>
      <c r="BFZ73" s="557"/>
      <c r="BGA73" s="557"/>
      <c r="BGB73" s="557"/>
      <c r="BGC73" s="557"/>
      <c r="BGD73" s="557"/>
      <c r="BGE73" s="661"/>
      <c r="BGF73" s="556"/>
      <c r="BGG73" s="557"/>
      <c r="BGH73" s="557"/>
      <c r="BGI73" s="557"/>
      <c r="BGJ73" s="557"/>
      <c r="BGK73" s="557"/>
      <c r="BGL73" s="557"/>
      <c r="BGM73" s="557"/>
      <c r="BGN73" s="557"/>
      <c r="BGO73" s="557"/>
      <c r="BGP73" s="557"/>
      <c r="BGQ73" s="557"/>
      <c r="BGR73" s="557"/>
      <c r="BGS73" s="557"/>
      <c r="BGT73" s="557"/>
      <c r="BGU73" s="557"/>
      <c r="BGV73" s="557"/>
      <c r="BGW73" s="557"/>
      <c r="BGX73" s="557"/>
      <c r="BGY73" s="661"/>
      <c r="BGZ73" s="556"/>
      <c r="BHA73" s="557"/>
      <c r="BHB73" s="557"/>
      <c r="BHC73" s="557"/>
      <c r="BHD73" s="557"/>
      <c r="BHE73" s="557"/>
      <c r="BHF73" s="557"/>
      <c r="BHG73" s="557"/>
      <c r="BHH73" s="557"/>
      <c r="BHI73" s="557"/>
      <c r="BHJ73" s="557"/>
      <c r="BHK73" s="557"/>
      <c r="BHL73" s="557"/>
      <c r="BHM73" s="557"/>
      <c r="BHN73" s="557"/>
      <c r="BHO73" s="557"/>
      <c r="BHP73" s="557"/>
      <c r="BHQ73" s="557"/>
      <c r="BHR73" s="557"/>
      <c r="BHS73" s="661"/>
      <c r="BHT73" s="556"/>
      <c r="BHU73" s="557"/>
      <c r="BHV73" s="557"/>
      <c r="BHW73" s="557"/>
      <c r="BHX73" s="557"/>
      <c r="BHY73" s="557"/>
      <c r="BHZ73" s="557"/>
      <c r="BIA73" s="557"/>
      <c r="BIB73" s="557"/>
      <c r="BIC73" s="557"/>
      <c r="BID73" s="557"/>
      <c r="BIE73" s="557"/>
      <c r="BIF73" s="557"/>
      <c r="BIG73" s="557"/>
      <c r="BIH73" s="557"/>
      <c r="BII73" s="557"/>
      <c r="BIJ73" s="557"/>
      <c r="BIK73" s="557"/>
      <c r="BIL73" s="557"/>
      <c r="BIM73" s="661"/>
      <c r="BIN73" s="556"/>
      <c r="BIO73" s="557"/>
      <c r="BIP73" s="557"/>
      <c r="BIQ73" s="557"/>
      <c r="BIR73" s="557"/>
      <c r="BIS73" s="557"/>
      <c r="BIT73" s="557"/>
      <c r="BIU73" s="557"/>
      <c r="BIV73" s="557"/>
      <c r="BIW73" s="557"/>
      <c r="BIX73" s="557"/>
      <c r="BIY73" s="557"/>
      <c r="BIZ73" s="557"/>
      <c r="BJA73" s="557"/>
      <c r="BJB73" s="557"/>
      <c r="BJC73" s="557"/>
      <c r="BJD73" s="557"/>
      <c r="BJE73" s="557"/>
      <c r="BJF73" s="557"/>
      <c r="BJG73" s="661"/>
      <c r="BJH73" s="556"/>
      <c r="BJI73" s="557"/>
      <c r="BJJ73" s="557"/>
      <c r="BJK73" s="557"/>
      <c r="BJL73" s="557"/>
      <c r="BJM73" s="557"/>
      <c r="BJN73" s="557"/>
      <c r="BJO73" s="557"/>
      <c r="BJP73" s="557"/>
      <c r="BJQ73" s="557"/>
      <c r="BJR73" s="557"/>
      <c r="BJS73" s="557"/>
      <c r="BJT73" s="557"/>
      <c r="BJU73" s="557"/>
      <c r="BJV73" s="557"/>
      <c r="BJW73" s="557"/>
      <c r="BJX73" s="557"/>
      <c r="BJY73" s="557"/>
      <c r="BJZ73" s="557"/>
      <c r="BKA73" s="661"/>
      <c r="BKB73" s="556"/>
      <c r="BKC73" s="557"/>
      <c r="BKD73" s="557"/>
      <c r="BKE73" s="557"/>
      <c r="BKF73" s="557"/>
      <c r="BKG73" s="557"/>
      <c r="BKH73" s="557"/>
      <c r="BKI73" s="557"/>
      <c r="BKJ73" s="557"/>
      <c r="BKK73" s="557"/>
      <c r="BKL73" s="557"/>
      <c r="BKM73" s="557"/>
      <c r="BKN73" s="557"/>
      <c r="BKO73" s="557"/>
      <c r="BKP73" s="557"/>
      <c r="BKQ73" s="557"/>
      <c r="BKR73" s="557"/>
      <c r="BKS73" s="557"/>
      <c r="BKT73" s="557"/>
      <c r="BKU73" s="661"/>
      <c r="BKV73" s="556"/>
      <c r="BKW73" s="557"/>
      <c r="BKX73" s="557"/>
      <c r="BKY73" s="557"/>
      <c r="BKZ73" s="557"/>
      <c r="BLA73" s="557"/>
      <c r="BLB73" s="557"/>
      <c r="BLC73" s="557"/>
      <c r="BLD73" s="557"/>
      <c r="BLE73" s="557"/>
      <c r="BLF73" s="557"/>
      <c r="BLG73" s="557"/>
      <c r="BLH73" s="557"/>
      <c r="BLI73" s="557"/>
      <c r="BLJ73" s="557"/>
      <c r="BLK73" s="557"/>
      <c r="BLL73" s="557"/>
      <c r="BLM73" s="557"/>
      <c r="BLN73" s="557"/>
      <c r="BLO73" s="661"/>
      <c r="BLP73" s="556"/>
      <c r="BLQ73" s="557"/>
      <c r="BLR73" s="557"/>
      <c r="BLS73" s="557"/>
      <c r="BLT73" s="557"/>
      <c r="BLU73" s="557"/>
      <c r="BLV73" s="557"/>
      <c r="BLW73" s="557"/>
      <c r="BLX73" s="557"/>
      <c r="BLY73" s="557"/>
      <c r="BLZ73" s="557"/>
      <c r="BMA73" s="557"/>
      <c r="BMB73" s="557"/>
      <c r="BMC73" s="557"/>
      <c r="BMD73" s="557"/>
      <c r="BME73" s="557"/>
      <c r="BMF73" s="557"/>
      <c r="BMG73" s="557"/>
      <c r="BMH73" s="557"/>
      <c r="BMI73" s="661"/>
      <c r="BMJ73" s="556"/>
      <c r="BMK73" s="557"/>
      <c r="BML73" s="557"/>
      <c r="BMM73" s="557"/>
      <c r="BMN73" s="557"/>
      <c r="BMO73" s="557"/>
      <c r="BMP73" s="557"/>
      <c r="BMQ73" s="557"/>
      <c r="BMR73" s="557"/>
      <c r="BMS73" s="557"/>
      <c r="BMT73" s="557"/>
      <c r="BMU73" s="557"/>
      <c r="BMV73" s="557"/>
      <c r="BMW73" s="557"/>
      <c r="BMX73" s="557"/>
      <c r="BMY73" s="557"/>
      <c r="BMZ73" s="557"/>
      <c r="BNA73" s="557"/>
      <c r="BNB73" s="557"/>
      <c r="BNC73" s="661"/>
      <c r="BND73" s="556"/>
      <c r="BNE73" s="557"/>
      <c r="BNF73" s="557"/>
      <c r="BNG73" s="557"/>
      <c r="BNH73" s="557"/>
      <c r="BNI73" s="557"/>
      <c r="BNJ73" s="557"/>
      <c r="BNK73" s="557"/>
      <c r="BNL73" s="557"/>
      <c r="BNM73" s="557"/>
      <c r="BNN73" s="557"/>
      <c r="BNO73" s="557"/>
      <c r="BNP73" s="557"/>
      <c r="BNQ73" s="557"/>
      <c r="BNR73" s="557"/>
      <c r="BNS73" s="557"/>
      <c r="BNT73" s="557"/>
      <c r="BNU73" s="557"/>
      <c r="BNV73" s="557"/>
      <c r="BNW73" s="661"/>
      <c r="BNX73" s="556"/>
      <c r="BNY73" s="557"/>
      <c r="BNZ73" s="557"/>
      <c r="BOA73" s="557"/>
      <c r="BOB73" s="557"/>
      <c r="BOC73" s="557"/>
      <c r="BOD73" s="557"/>
      <c r="BOE73" s="557"/>
      <c r="BOF73" s="557"/>
      <c r="BOG73" s="557"/>
      <c r="BOH73" s="557"/>
      <c r="BOI73" s="557"/>
      <c r="BOJ73" s="557"/>
      <c r="BOK73" s="557"/>
      <c r="BOL73" s="557"/>
      <c r="BOM73" s="557"/>
      <c r="BON73" s="557"/>
      <c r="BOO73" s="557"/>
      <c r="BOP73" s="557"/>
      <c r="BOQ73" s="661"/>
      <c r="BOR73" s="556"/>
      <c r="BOS73" s="557"/>
      <c r="BOT73" s="557"/>
      <c r="BOU73" s="557"/>
      <c r="BOV73" s="557"/>
      <c r="BOW73" s="557"/>
      <c r="BOX73" s="557"/>
      <c r="BOY73" s="557"/>
      <c r="BOZ73" s="557"/>
      <c r="BPA73" s="557"/>
      <c r="BPB73" s="557"/>
      <c r="BPC73" s="557"/>
      <c r="BPD73" s="557"/>
      <c r="BPE73" s="557"/>
      <c r="BPF73" s="557"/>
      <c r="BPG73" s="557"/>
      <c r="BPH73" s="557"/>
      <c r="BPI73" s="557"/>
      <c r="BPJ73" s="557"/>
      <c r="BPK73" s="661"/>
      <c r="BPL73" s="556"/>
      <c r="BPM73" s="557"/>
      <c r="BPN73" s="557"/>
      <c r="BPO73" s="557"/>
      <c r="BPP73" s="557"/>
      <c r="BPQ73" s="557"/>
      <c r="BPR73" s="557"/>
      <c r="BPS73" s="557"/>
      <c r="BPT73" s="557"/>
      <c r="BPU73" s="557"/>
      <c r="BPV73" s="557"/>
      <c r="BPW73" s="557"/>
      <c r="BPX73" s="557"/>
      <c r="BPY73" s="557"/>
      <c r="BPZ73" s="557"/>
      <c r="BQA73" s="557"/>
      <c r="BQB73" s="557"/>
      <c r="BQC73" s="557"/>
      <c r="BQD73" s="557"/>
      <c r="BQE73" s="661"/>
      <c r="BQF73" s="556"/>
      <c r="BQG73" s="557"/>
      <c r="BQH73" s="557"/>
      <c r="BQI73" s="557"/>
      <c r="BQJ73" s="557"/>
      <c r="BQK73" s="557"/>
      <c r="BQL73" s="557"/>
      <c r="BQM73" s="557"/>
      <c r="BQN73" s="557"/>
      <c r="BQO73" s="557"/>
      <c r="BQP73" s="557"/>
      <c r="BQQ73" s="557"/>
      <c r="BQR73" s="557"/>
      <c r="BQS73" s="557"/>
      <c r="BQT73" s="557"/>
      <c r="BQU73" s="557"/>
      <c r="BQV73" s="557"/>
      <c r="BQW73" s="557"/>
      <c r="BQX73" s="557"/>
      <c r="BQY73" s="661"/>
      <c r="BQZ73" s="556"/>
      <c r="BRA73" s="557"/>
      <c r="BRB73" s="557"/>
      <c r="BRC73" s="557"/>
      <c r="BRD73" s="557"/>
      <c r="BRE73" s="557"/>
      <c r="BRF73" s="557"/>
      <c r="BRG73" s="557"/>
      <c r="BRH73" s="557"/>
      <c r="BRI73" s="557"/>
      <c r="BRJ73" s="557"/>
      <c r="BRK73" s="557"/>
      <c r="BRL73" s="557"/>
      <c r="BRM73" s="557"/>
      <c r="BRN73" s="557"/>
      <c r="BRO73" s="557"/>
      <c r="BRP73" s="557"/>
      <c r="BRQ73" s="557"/>
      <c r="BRR73" s="557"/>
      <c r="BRS73" s="661"/>
      <c r="BRT73" s="556"/>
      <c r="BRU73" s="557"/>
      <c r="BRV73" s="557"/>
      <c r="BRW73" s="557"/>
      <c r="BRX73" s="557"/>
      <c r="BRY73" s="557"/>
      <c r="BRZ73" s="557"/>
      <c r="BSA73" s="557"/>
      <c r="BSB73" s="557"/>
      <c r="BSC73" s="557"/>
      <c r="BSD73" s="557"/>
      <c r="BSE73" s="557"/>
      <c r="BSF73" s="557"/>
      <c r="BSG73" s="557"/>
      <c r="BSH73" s="557"/>
      <c r="BSI73" s="557"/>
      <c r="BSJ73" s="557"/>
      <c r="BSK73" s="557"/>
      <c r="BSL73" s="557"/>
      <c r="BSM73" s="661"/>
      <c r="BSN73" s="556"/>
      <c r="BSO73" s="557"/>
      <c r="BSP73" s="557"/>
      <c r="BSQ73" s="557"/>
      <c r="BSR73" s="557"/>
      <c r="BSS73" s="557"/>
      <c r="BST73" s="557"/>
      <c r="BSU73" s="557"/>
      <c r="BSV73" s="557"/>
      <c r="BSW73" s="557"/>
      <c r="BSX73" s="557"/>
      <c r="BSY73" s="557"/>
      <c r="BSZ73" s="557"/>
      <c r="BTA73" s="557"/>
      <c r="BTB73" s="557"/>
      <c r="BTC73" s="557"/>
      <c r="BTD73" s="557"/>
      <c r="BTE73" s="557"/>
      <c r="BTF73" s="557"/>
      <c r="BTG73" s="661"/>
      <c r="BTH73" s="556"/>
      <c r="BTI73" s="557"/>
      <c r="BTJ73" s="557"/>
      <c r="BTK73" s="557"/>
      <c r="BTL73" s="557"/>
      <c r="BTM73" s="557"/>
      <c r="BTN73" s="557"/>
      <c r="BTO73" s="557"/>
      <c r="BTP73" s="557"/>
      <c r="BTQ73" s="557"/>
      <c r="BTR73" s="557"/>
      <c r="BTS73" s="557"/>
      <c r="BTT73" s="557"/>
      <c r="BTU73" s="557"/>
      <c r="BTV73" s="557"/>
      <c r="BTW73" s="557"/>
      <c r="BTX73" s="557"/>
      <c r="BTY73" s="557"/>
      <c r="BTZ73" s="557"/>
      <c r="BUA73" s="661"/>
      <c r="BUB73" s="556"/>
      <c r="BUC73" s="557"/>
      <c r="BUD73" s="557"/>
      <c r="BUE73" s="557"/>
      <c r="BUF73" s="557"/>
      <c r="BUG73" s="557"/>
      <c r="BUH73" s="557"/>
      <c r="BUI73" s="557"/>
      <c r="BUJ73" s="557"/>
      <c r="BUK73" s="557"/>
      <c r="BUL73" s="557"/>
      <c r="BUM73" s="557"/>
      <c r="BUN73" s="557"/>
      <c r="BUO73" s="557"/>
      <c r="BUP73" s="557"/>
      <c r="BUQ73" s="557"/>
      <c r="BUR73" s="557"/>
      <c r="BUS73" s="557"/>
      <c r="BUT73" s="557"/>
      <c r="BUU73" s="661"/>
      <c r="BUV73" s="556"/>
      <c r="BUW73" s="557"/>
      <c r="BUX73" s="557"/>
      <c r="BUY73" s="557"/>
      <c r="BUZ73" s="557"/>
      <c r="BVA73" s="557"/>
      <c r="BVB73" s="557"/>
      <c r="BVC73" s="557"/>
      <c r="BVD73" s="557"/>
      <c r="BVE73" s="557"/>
      <c r="BVF73" s="557"/>
      <c r="BVG73" s="557"/>
      <c r="BVH73" s="557"/>
      <c r="BVI73" s="557"/>
      <c r="BVJ73" s="557"/>
      <c r="BVK73" s="557"/>
      <c r="BVL73" s="557"/>
      <c r="BVM73" s="557"/>
      <c r="BVN73" s="557"/>
      <c r="BVO73" s="661"/>
      <c r="BVP73" s="556"/>
      <c r="BVQ73" s="557"/>
      <c r="BVR73" s="557"/>
      <c r="BVS73" s="557"/>
      <c r="BVT73" s="557"/>
      <c r="BVU73" s="557"/>
      <c r="BVV73" s="557"/>
      <c r="BVW73" s="557"/>
      <c r="BVX73" s="557"/>
      <c r="BVY73" s="557"/>
      <c r="BVZ73" s="557"/>
      <c r="BWA73" s="557"/>
      <c r="BWB73" s="557"/>
      <c r="BWC73" s="557"/>
      <c r="BWD73" s="557"/>
      <c r="BWE73" s="557"/>
      <c r="BWF73" s="557"/>
      <c r="BWG73" s="557"/>
      <c r="BWH73" s="557"/>
      <c r="BWI73" s="661"/>
      <c r="BWJ73" s="556"/>
      <c r="BWK73" s="557"/>
      <c r="BWL73" s="557"/>
      <c r="BWM73" s="557"/>
      <c r="BWN73" s="557"/>
      <c r="BWO73" s="557"/>
      <c r="BWP73" s="557"/>
      <c r="BWQ73" s="557"/>
      <c r="BWR73" s="557"/>
      <c r="BWS73" s="557"/>
      <c r="BWT73" s="557"/>
      <c r="BWU73" s="557"/>
      <c r="BWV73" s="557"/>
      <c r="BWW73" s="557"/>
      <c r="BWX73" s="557"/>
      <c r="BWY73" s="557"/>
      <c r="BWZ73" s="557"/>
      <c r="BXA73" s="557"/>
      <c r="BXB73" s="557"/>
      <c r="BXC73" s="661"/>
      <c r="BXD73" s="556"/>
      <c r="BXE73" s="557"/>
      <c r="BXF73" s="557"/>
      <c r="BXG73" s="557"/>
      <c r="BXH73" s="557"/>
      <c r="BXI73" s="557"/>
      <c r="BXJ73" s="557"/>
      <c r="BXK73" s="557"/>
      <c r="BXL73" s="557"/>
      <c r="BXM73" s="557"/>
      <c r="BXN73" s="557"/>
      <c r="BXO73" s="557"/>
      <c r="BXP73" s="557"/>
      <c r="BXQ73" s="557"/>
      <c r="BXR73" s="557"/>
      <c r="BXS73" s="557"/>
      <c r="BXT73" s="557"/>
      <c r="BXU73" s="557"/>
      <c r="BXV73" s="557"/>
      <c r="BXW73" s="661"/>
      <c r="BXX73" s="556"/>
      <c r="BXY73" s="557"/>
      <c r="BXZ73" s="557"/>
      <c r="BYA73" s="557"/>
      <c r="BYB73" s="557"/>
      <c r="BYC73" s="557"/>
      <c r="BYD73" s="557"/>
      <c r="BYE73" s="557"/>
      <c r="BYF73" s="557"/>
      <c r="BYG73" s="557"/>
      <c r="BYH73" s="557"/>
      <c r="BYI73" s="557"/>
      <c r="BYJ73" s="557"/>
      <c r="BYK73" s="557"/>
      <c r="BYL73" s="557"/>
      <c r="BYM73" s="557"/>
      <c r="BYN73" s="557"/>
      <c r="BYO73" s="557"/>
      <c r="BYP73" s="557"/>
      <c r="BYQ73" s="661"/>
      <c r="BYR73" s="556"/>
      <c r="BYS73" s="557"/>
      <c r="BYT73" s="557"/>
      <c r="BYU73" s="557"/>
      <c r="BYV73" s="557"/>
      <c r="BYW73" s="557"/>
      <c r="BYX73" s="557"/>
      <c r="BYY73" s="557"/>
      <c r="BYZ73" s="557"/>
      <c r="BZA73" s="557"/>
      <c r="BZB73" s="557"/>
      <c r="BZC73" s="557"/>
      <c r="BZD73" s="557"/>
      <c r="BZE73" s="557"/>
      <c r="BZF73" s="557"/>
      <c r="BZG73" s="557"/>
      <c r="BZH73" s="557"/>
      <c r="BZI73" s="557"/>
      <c r="BZJ73" s="557"/>
      <c r="BZK73" s="661"/>
      <c r="BZL73" s="556"/>
      <c r="BZM73" s="557"/>
      <c r="BZN73" s="557"/>
      <c r="BZO73" s="557"/>
      <c r="BZP73" s="557"/>
      <c r="BZQ73" s="557"/>
      <c r="BZR73" s="557"/>
      <c r="BZS73" s="557"/>
      <c r="BZT73" s="557"/>
      <c r="BZU73" s="557"/>
      <c r="BZV73" s="557"/>
      <c r="BZW73" s="557"/>
      <c r="BZX73" s="557"/>
      <c r="BZY73" s="557"/>
      <c r="BZZ73" s="557"/>
      <c r="CAA73" s="557"/>
      <c r="CAB73" s="557"/>
      <c r="CAC73" s="557"/>
      <c r="CAD73" s="557"/>
      <c r="CAE73" s="661"/>
      <c r="CAF73" s="556"/>
      <c r="CAG73" s="557"/>
      <c r="CAH73" s="557"/>
      <c r="CAI73" s="557"/>
      <c r="CAJ73" s="557"/>
      <c r="CAK73" s="557"/>
      <c r="CAL73" s="557"/>
      <c r="CAM73" s="557"/>
      <c r="CAN73" s="557"/>
      <c r="CAO73" s="557"/>
      <c r="CAP73" s="557"/>
      <c r="CAQ73" s="557"/>
      <c r="CAR73" s="557"/>
      <c r="CAS73" s="557"/>
      <c r="CAT73" s="557"/>
      <c r="CAU73" s="557"/>
      <c r="CAV73" s="557"/>
      <c r="CAW73" s="557"/>
      <c r="CAX73" s="557"/>
      <c r="CAY73" s="661"/>
      <c r="CAZ73" s="556"/>
      <c r="CBA73" s="557"/>
      <c r="CBB73" s="557"/>
      <c r="CBC73" s="557"/>
      <c r="CBD73" s="557"/>
      <c r="CBE73" s="557"/>
      <c r="CBF73" s="557"/>
      <c r="CBG73" s="557"/>
      <c r="CBH73" s="557"/>
      <c r="CBI73" s="557"/>
      <c r="CBJ73" s="557"/>
      <c r="CBK73" s="557"/>
      <c r="CBL73" s="557"/>
      <c r="CBM73" s="557"/>
      <c r="CBN73" s="557"/>
      <c r="CBO73" s="557"/>
      <c r="CBP73" s="557"/>
      <c r="CBQ73" s="557"/>
      <c r="CBR73" s="557"/>
      <c r="CBS73" s="661"/>
      <c r="CBT73" s="556"/>
      <c r="CBU73" s="557"/>
      <c r="CBV73" s="557"/>
      <c r="CBW73" s="557"/>
      <c r="CBX73" s="557"/>
      <c r="CBY73" s="557"/>
      <c r="CBZ73" s="557"/>
      <c r="CCA73" s="557"/>
      <c r="CCB73" s="557"/>
      <c r="CCC73" s="557"/>
      <c r="CCD73" s="557"/>
      <c r="CCE73" s="557"/>
      <c r="CCF73" s="557"/>
      <c r="CCG73" s="557"/>
      <c r="CCH73" s="557"/>
      <c r="CCI73" s="557"/>
      <c r="CCJ73" s="557"/>
      <c r="CCK73" s="557"/>
      <c r="CCL73" s="557"/>
      <c r="CCM73" s="661"/>
      <c r="CCN73" s="556"/>
      <c r="CCO73" s="557"/>
      <c r="CCP73" s="557"/>
      <c r="CCQ73" s="557"/>
      <c r="CCR73" s="557"/>
      <c r="CCS73" s="557"/>
      <c r="CCT73" s="557"/>
      <c r="CCU73" s="557"/>
      <c r="CCV73" s="557"/>
      <c r="CCW73" s="557"/>
      <c r="CCX73" s="557"/>
      <c r="CCY73" s="557"/>
      <c r="CCZ73" s="557"/>
      <c r="CDA73" s="557"/>
      <c r="CDB73" s="557"/>
      <c r="CDC73" s="557"/>
      <c r="CDD73" s="557"/>
      <c r="CDE73" s="557"/>
      <c r="CDF73" s="557"/>
      <c r="CDG73" s="661"/>
      <c r="CDH73" s="556"/>
      <c r="CDI73" s="557"/>
      <c r="CDJ73" s="557"/>
      <c r="CDK73" s="557"/>
      <c r="CDL73" s="557"/>
      <c r="CDM73" s="557"/>
      <c r="CDN73" s="557"/>
      <c r="CDO73" s="557"/>
      <c r="CDP73" s="557"/>
      <c r="CDQ73" s="557"/>
      <c r="CDR73" s="557"/>
      <c r="CDS73" s="557"/>
      <c r="CDT73" s="557"/>
      <c r="CDU73" s="557"/>
      <c r="CDV73" s="557"/>
      <c r="CDW73" s="557"/>
      <c r="CDX73" s="557"/>
      <c r="CDY73" s="557"/>
      <c r="CDZ73" s="557"/>
      <c r="CEA73" s="661"/>
      <c r="CEB73" s="556"/>
      <c r="CEC73" s="557"/>
      <c r="CED73" s="557"/>
      <c r="CEE73" s="557"/>
      <c r="CEF73" s="557"/>
      <c r="CEG73" s="557"/>
      <c r="CEH73" s="557"/>
      <c r="CEI73" s="557"/>
      <c r="CEJ73" s="557"/>
      <c r="CEK73" s="557"/>
      <c r="CEL73" s="557"/>
      <c r="CEM73" s="557"/>
      <c r="CEN73" s="557"/>
      <c r="CEO73" s="557"/>
      <c r="CEP73" s="557"/>
      <c r="CEQ73" s="557"/>
      <c r="CER73" s="557"/>
      <c r="CES73" s="557"/>
      <c r="CET73" s="557"/>
      <c r="CEU73" s="661"/>
      <c r="CEV73" s="556"/>
      <c r="CEW73" s="557"/>
      <c r="CEX73" s="557"/>
      <c r="CEY73" s="557"/>
      <c r="CEZ73" s="557"/>
      <c r="CFA73" s="557"/>
      <c r="CFB73" s="557"/>
      <c r="CFC73" s="557"/>
      <c r="CFD73" s="557"/>
      <c r="CFE73" s="557"/>
      <c r="CFF73" s="557"/>
      <c r="CFG73" s="557"/>
      <c r="CFH73" s="557"/>
      <c r="CFI73" s="557"/>
      <c r="CFJ73" s="557"/>
      <c r="CFK73" s="557"/>
      <c r="CFL73" s="557"/>
      <c r="CFM73" s="557"/>
      <c r="CFN73" s="557"/>
      <c r="CFO73" s="661"/>
      <c r="CFP73" s="556"/>
      <c r="CFQ73" s="557"/>
      <c r="CFR73" s="557"/>
      <c r="CFS73" s="557"/>
      <c r="CFT73" s="557"/>
      <c r="CFU73" s="557"/>
      <c r="CFV73" s="557"/>
      <c r="CFW73" s="557"/>
      <c r="CFX73" s="557"/>
      <c r="CFY73" s="557"/>
      <c r="CFZ73" s="557"/>
      <c r="CGA73" s="557"/>
      <c r="CGB73" s="557"/>
      <c r="CGC73" s="557"/>
      <c r="CGD73" s="557"/>
      <c r="CGE73" s="557"/>
      <c r="CGF73" s="557"/>
      <c r="CGG73" s="557"/>
      <c r="CGH73" s="557"/>
      <c r="CGI73" s="661"/>
      <c r="CGJ73" s="556"/>
      <c r="CGK73" s="557"/>
      <c r="CGL73" s="557"/>
      <c r="CGM73" s="557"/>
      <c r="CGN73" s="557"/>
      <c r="CGO73" s="557"/>
      <c r="CGP73" s="557"/>
      <c r="CGQ73" s="557"/>
      <c r="CGR73" s="557"/>
      <c r="CGS73" s="557"/>
      <c r="CGT73" s="557"/>
      <c r="CGU73" s="557"/>
      <c r="CGV73" s="557"/>
      <c r="CGW73" s="557"/>
      <c r="CGX73" s="557"/>
      <c r="CGY73" s="557"/>
      <c r="CGZ73" s="557"/>
      <c r="CHA73" s="557"/>
      <c r="CHB73" s="557"/>
      <c r="CHC73" s="661"/>
      <c r="CHD73" s="556"/>
      <c r="CHE73" s="557"/>
      <c r="CHF73" s="557"/>
      <c r="CHG73" s="557"/>
      <c r="CHH73" s="557"/>
      <c r="CHI73" s="557"/>
      <c r="CHJ73" s="557"/>
      <c r="CHK73" s="557"/>
      <c r="CHL73" s="557"/>
      <c r="CHM73" s="557"/>
      <c r="CHN73" s="557"/>
      <c r="CHO73" s="557"/>
      <c r="CHP73" s="557"/>
      <c r="CHQ73" s="557"/>
      <c r="CHR73" s="557"/>
      <c r="CHS73" s="557"/>
      <c r="CHT73" s="557"/>
      <c r="CHU73" s="557"/>
      <c r="CHV73" s="557"/>
      <c r="CHW73" s="661"/>
      <c r="CHX73" s="556"/>
      <c r="CHY73" s="557"/>
      <c r="CHZ73" s="557"/>
      <c r="CIA73" s="557"/>
      <c r="CIB73" s="557"/>
      <c r="CIC73" s="557"/>
      <c r="CID73" s="557"/>
      <c r="CIE73" s="557"/>
      <c r="CIF73" s="557"/>
      <c r="CIG73" s="557"/>
      <c r="CIH73" s="557"/>
      <c r="CII73" s="557"/>
      <c r="CIJ73" s="557"/>
      <c r="CIK73" s="557"/>
      <c r="CIL73" s="557"/>
      <c r="CIM73" s="557"/>
      <c r="CIN73" s="557"/>
      <c r="CIO73" s="557"/>
      <c r="CIP73" s="557"/>
      <c r="CIQ73" s="661"/>
      <c r="CIR73" s="556"/>
      <c r="CIS73" s="557"/>
      <c r="CIT73" s="557"/>
      <c r="CIU73" s="557"/>
      <c r="CIV73" s="557"/>
      <c r="CIW73" s="557"/>
      <c r="CIX73" s="557"/>
      <c r="CIY73" s="557"/>
      <c r="CIZ73" s="557"/>
      <c r="CJA73" s="557"/>
      <c r="CJB73" s="557"/>
      <c r="CJC73" s="557"/>
      <c r="CJD73" s="557"/>
      <c r="CJE73" s="557"/>
      <c r="CJF73" s="557"/>
      <c r="CJG73" s="557"/>
      <c r="CJH73" s="557"/>
      <c r="CJI73" s="557"/>
      <c r="CJJ73" s="557"/>
      <c r="CJK73" s="661"/>
      <c r="CJL73" s="556"/>
      <c r="CJM73" s="557"/>
      <c r="CJN73" s="557"/>
      <c r="CJO73" s="557"/>
      <c r="CJP73" s="557"/>
      <c r="CJQ73" s="557"/>
      <c r="CJR73" s="557"/>
      <c r="CJS73" s="557"/>
      <c r="CJT73" s="557"/>
      <c r="CJU73" s="557"/>
      <c r="CJV73" s="557"/>
      <c r="CJW73" s="557"/>
      <c r="CJX73" s="557"/>
      <c r="CJY73" s="557"/>
      <c r="CJZ73" s="557"/>
      <c r="CKA73" s="557"/>
      <c r="CKB73" s="557"/>
      <c r="CKC73" s="557"/>
      <c r="CKD73" s="557"/>
      <c r="CKE73" s="661"/>
      <c r="CKF73" s="556"/>
      <c r="CKG73" s="557"/>
      <c r="CKH73" s="557"/>
      <c r="CKI73" s="557"/>
      <c r="CKJ73" s="557"/>
      <c r="CKK73" s="557"/>
      <c r="CKL73" s="557"/>
      <c r="CKM73" s="557"/>
      <c r="CKN73" s="557"/>
      <c r="CKO73" s="557"/>
      <c r="CKP73" s="557"/>
      <c r="CKQ73" s="557"/>
      <c r="CKR73" s="557"/>
      <c r="CKS73" s="557"/>
      <c r="CKT73" s="557"/>
      <c r="CKU73" s="557"/>
      <c r="CKV73" s="557"/>
      <c r="CKW73" s="557"/>
      <c r="CKX73" s="557"/>
      <c r="CKY73" s="661"/>
      <c r="CKZ73" s="556"/>
      <c r="CLA73" s="557"/>
      <c r="CLB73" s="557"/>
      <c r="CLC73" s="557"/>
      <c r="CLD73" s="557"/>
      <c r="CLE73" s="557"/>
      <c r="CLF73" s="557"/>
      <c r="CLG73" s="557"/>
      <c r="CLH73" s="557"/>
      <c r="CLI73" s="557"/>
      <c r="CLJ73" s="557"/>
      <c r="CLK73" s="557"/>
      <c r="CLL73" s="557"/>
      <c r="CLM73" s="557"/>
      <c r="CLN73" s="557"/>
      <c r="CLO73" s="557"/>
      <c r="CLP73" s="557"/>
      <c r="CLQ73" s="557"/>
      <c r="CLR73" s="557"/>
      <c r="CLS73" s="661"/>
      <c r="CLT73" s="556"/>
      <c r="CLU73" s="557"/>
      <c r="CLV73" s="557"/>
      <c r="CLW73" s="557"/>
      <c r="CLX73" s="557"/>
      <c r="CLY73" s="557"/>
      <c r="CLZ73" s="557"/>
      <c r="CMA73" s="557"/>
      <c r="CMB73" s="557"/>
      <c r="CMC73" s="557"/>
      <c r="CMD73" s="557"/>
      <c r="CME73" s="557"/>
      <c r="CMF73" s="557"/>
      <c r="CMG73" s="557"/>
      <c r="CMH73" s="557"/>
      <c r="CMI73" s="557"/>
      <c r="CMJ73" s="557"/>
      <c r="CMK73" s="557"/>
      <c r="CML73" s="557"/>
      <c r="CMM73" s="661"/>
      <c r="CMN73" s="556"/>
      <c r="CMO73" s="557"/>
      <c r="CMP73" s="557"/>
      <c r="CMQ73" s="557"/>
      <c r="CMR73" s="557"/>
      <c r="CMS73" s="557"/>
      <c r="CMT73" s="557"/>
      <c r="CMU73" s="557"/>
      <c r="CMV73" s="557"/>
      <c r="CMW73" s="557"/>
      <c r="CMX73" s="557"/>
      <c r="CMY73" s="557"/>
      <c r="CMZ73" s="557"/>
      <c r="CNA73" s="557"/>
      <c r="CNB73" s="557"/>
      <c r="CNC73" s="557"/>
      <c r="CND73" s="557"/>
      <c r="CNE73" s="557"/>
      <c r="CNF73" s="557"/>
      <c r="CNG73" s="661"/>
      <c r="CNH73" s="556"/>
      <c r="CNI73" s="557"/>
      <c r="CNJ73" s="557"/>
      <c r="CNK73" s="557"/>
      <c r="CNL73" s="557"/>
      <c r="CNM73" s="557"/>
      <c r="CNN73" s="557"/>
      <c r="CNO73" s="557"/>
      <c r="CNP73" s="557"/>
      <c r="CNQ73" s="557"/>
      <c r="CNR73" s="557"/>
      <c r="CNS73" s="557"/>
      <c r="CNT73" s="557"/>
      <c r="CNU73" s="557"/>
      <c r="CNV73" s="557"/>
      <c r="CNW73" s="557"/>
      <c r="CNX73" s="557"/>
      <c r="CNY73" s="557"/>
      <c r="CNZ73" s="557"/>
      <c r="COA73" s="661"/>
      <c r="COB73" s="556"/>
      <c r="COC73" s="557"/>
      <c r="COD73" s="557"/>
      <c r="COE73" s="557"/>
      <c r="COF73" s="557"/>
      <c r="COG73" s="557"/>
      <c r="COH73" s="557"/>
      <c r="COI73" s="557"/>
      <c r="COJ73" s="557"/>
      <c r="COK73" s="557"/>
      <c r="COL73" s="557"/>
      <c r="COM73" s="557"/>
      <c r="CON73" s="557"/>
      <c r="COO73" s="557"/>
      <c r="COP73" s="557"/>
      <c r="COQ73" s="557"/>
      <c r="COR73" s="557"/>
      <c r="COS73" s="557"/>
      <c r="COT73" s="557"/>
      <c r="COU73" s="661"/>
      <c r="COV73" s="556"/>
      <c r="COW73" s="557"/>
      <c r="COX73" s="557"/>
      <c r="COY73" s="557"/>
      <c r="COZ73" s="557"/>
      <c r="CPA73" s="557"/>
      <c r="CPB73" s="557"/>
      <c r="CPC73" s="557"/>
      <c r="CPD73" s="557"/>
      <c r="CPE73" s="557"/>
      <c r="CPF73" s="557"/>
      <c r="CPG73" s="557"/>
      <c r="CPH73" s="557"/>
      <c r="CPI73" s="557"/>
      <c r="CPJ73" s="557"/>
      <c r="CPK73" s="557"/>
      <c r="CPL73" s="557"/>
      <c r="CPM73" s="557"/>
      <c r="CPN73" s="557"/>
      <c r="CPO73" s="661"/>
      <c r="CPP73" s="556"/>
      <c r="CPQ73" s="557"/>
      <c r="CPR73" s="557"/>
      <c r="CPS73" s="557"/>
      <c r="CPT73" s="557"/>
      <c r="CPU73" s="557"/>
      <c r="CPV73" s="557"/>
      <c r="CPW73" s="557"/>
      <c r="CPX73" s="557"/>
      <c r="CPY73" s="557"/>
      <c r="CPZ73" s="557"/>
      <c r="CQA73" s="557"/>
      <c r="CQB73" s="557"/>
      <c r="CQC73" s="557"/>
      <c r="CQD73" s="557"/>
      <c r="CQE73" s="557"/>
      <c r="CQF73" s="557"/>
      <c r="CQG73" s="557"/>
      <c r="CQH73" s="557"/>
      <c r="CQI73" s="661"/>
      <c r="CQJ73" s="556"/>
      <c r="CQK73" s="557"/>
      <c r="CQL73" s="557"/>
      <c r="CQM73" s="557"/>
      <c r="CQN73" s="557"/>
      <c r="CQO73" s="557"/>
      <c r="CQP73" s="557"/>
      <c r="CQQ73" s="557"/>
      <c r="CQR73" s="557"/>
      <c r="CQS73" s="557"/>
      <c r="CQT73" s="557"/>
      <c r="CQU73" s="557"/>
      <c r="CQV73" s="557"/>
      <c r="CQW73" s="557"/>
      <c r="CQX73" s="557"/>
      <c r="CQY73" s="557"/>
      <c r="CQZ73" s="557"/>
      <c r="CRA73" s="557"/>
      <c r="CRB73" s="557"/>
      <c r="CRC73" s="661"/>
      <c r="CRD73" s="556"/>
      <c r="CRE73" s="557"/>
      <c r="CRF73" s="557"/>
      <c r="CRG73" s="557"/>
      <c r="CRH73" s="557"/>
      <c r="CRI73" s="557"/>
      <c r="CRJ73" s="557"/>
      <c r="CRK73" s="557"/>
      <c r="CRL73" s="557"/>
      <c r="CRM73" s="557"/>
      <c r="CRN73" s="557"/>
      <c r="CRO73" s="557"/>
      <c r="CRP73" s="557"/>
      <c r="CRQ73" s="557"/>
      <c r="CRR73" s="557"/>
      <c r="CRS73" s="557"/>
      <c r="CRT73" s="557"/>
      <c r="CRU73" s="557"/>
      <c r="CRV73" s="557"/>
      <c r="CRW73" s="661"/>
      <c r="CRX73" s="556"/>
      <c r="CRY73" s="557"/>
      <c r="CRZ73" s="557"/>
      <c r="CSA73" s="557"/>
      <c r="CSB73" s="557"/>
      <c r="CSC73" s="557"/>
      <c r="CSD73" s="557"/>
      <c r="CSE73" s="557"/>
      <c r="CSF73" s="557"/>
      <c r="CSG73" s="557"/>
      <c r="CSH73" s="557"/>
      <c r="CSI73" s="557"/>
      <c r="CSJ73" s="557"/>
      <c r="CSK73" s="557"/>
      <c r="CSL73" s="557"/>
      <c r="CSM73" s="557"/>
      <c r="CSN73" s="557"/>
      <c r="CSO73" s="557"/>
      <c r="CSP73" s="557"/>
      <c r="CSQ73" s="661"/>
      <c r="CSR73" s="556"/>
      <c r="CSS73" s="557"/>
      <c r="CST73" s="557"/>
      <c r="CSU73" s="557"/>
      <c r="CSV73" s="557"/>
      <c r="CSW73" s="557"/>
      <c r="CSX73" s="557"/>
      <c r="CSY73" s="557"/>
      <c r="CSZ73" s="557"/>
      <c r="CTA73" s="557"/>
      <c r="CTB73" s="557"/>
      <c r="CTC73" s="557"/>
      <c r="CTD73" s="557"/>
      <c r="CTE73" s="557"/>
      <c r="CTF73" s="557"/>
      <c r="CTG73" s="557"/>
      <c r="CTH73" s="557"/>
      <c r="CTI73" s="557"/>
      <c r="CTJ73" s="557"/>
      <c r="CTK73" s="661"/>
      <c r="CTL73" s="556"/>
      <c r="CTM73" s="557"/>
      <c r="CTN73" s="557"/>
      <c r="CTO73" s="557"/>
      <c r="CTP73" s="557"/>
      <c r="CTQ73" s="557"/>
      <c r="CTR73" s="557"/>
      <c r="CTS73" s="557"/>
      <c r="CTT73" s="557"/>
      <c r="CTU73" s="557"/>
      <c r="CTV73" s="557"/>
      <c r="CTW73" s="557"/>
      <c r="CTX73" s="557"/>
      <c r="CTY73" s="557"/>
      <c r="CTZ73" s="557"/>
      <c r="CUA73" s="557"/>
      <c r="CUB73" s="557"/>
      <c r="CUC73" s="557"/>
      <c r="CUD73" s="557"/>
      <c r="CUE73" s="661"/>
      <c r="CUF73" s="556"/>
      <c r="CUG73" s="557"/>
      <c r="CUH73" s="557"/>
      <c r="CUI73" s="557"/>
      <c r="CUJ73" s="557"/>
      <c r="CUK73" s="557"/>
      <c r="CUL73" s="557"/>
      <c r="CUM73" s="557"/>
      <c r="CUN73" s="557"/>
      <c r="CUO73" s="557"/>
      <c r="CUP73" s="557"/>
      <c r="CUQ73" s="557"/>
      <c r="CUR73" s="557"/>
      <c r="CUS73" s="557"/>
      <c r="CUT73" s="557"/>
      <c r="CUU73" s="557"/>
      <c r="CUV73" s="557"/>
      <c r="CUW73" s="557"/>
      <c r="CUX73" s="557"/>
      <c r="CUY73" s="661"/>
      <c r="CUZ73" s="556"/>
      <c r="CVA73" s="557"/>
      <c r="CVB73" s="557"/>
      <c r="CVC73" s="557"/>
      <c r="CVD73" s="557"/>
      <c r="CVE73" s="557"/>
      <c r="CVF73" s="557"/>
      <c r="CVG73" s="557"/>
      <c r="CVH73" s="557"/>
      <c r="CVI73" s="557"/>
      <c r="CVJ73" s="557"/>
      <c r="CVK73" s="557"/>
      <c r="CVL73" s="557"/>
      <c r="CVM73" s="557"/>
      <c r="CVN73" s="557"/>
      <c r="CVO73" s="557"/>
      <c r="CVP73" s="557"/>
      <c r="CVQ73" s="557"/>
      <c r="CVR73" s="557"/>
      <c r="CVS73" s="661"/>
      <c r="CVT73" s="556"/>
      <c r="CVU73" s="557"/>
      <c r="CVV73" s="557"/>
      <c r="CVW73" s="557"/>
      <c r="CVX73" s="557"/>
      <c r="CVY73" s="557"/>
      <c r="CVZ73" s="557"/>
      <c r="CWA73" s="557"/>
      <c r="CWB73" s="557"/>
      <c r="CWC73" s="557"/>
      <c r="CWD73" s="557"/>
      <c r="CWE73" s="557"/>
      <c r="CWF73" s="557"/>
      <c r="CWG73" s="557"/>
      <c r="CWH73" s="557"/>
      <c r="CWI73" s="557"/>
      <c r="CWJ73" s="557"/>
      <c r="CWK73" s="557"/>
      <c r="CWL73" s="557"/>
      <c r="CWM73" s="661"/>
      <c r="CWN73" s="556"/>
      <c r="CWO73" s="557"/>
      <c r="CWP73" s="557"/>
      <c r="CWQ73" s="557"/>
      <c r="CWR73" s="557"/>
      <c r="CWS73" s="557"/>
      <c r="CWT73" s="557"/>
      <c r="CWU73" s="557"/>
      <c r="CWV73" s="557"/>
      <c r="CWW73" s="557"/>
      <c r="CWX73" s="557"/>
      <c r="CWY73" s="557"/>
      <c r="CWZ73" s="557"/>
      <c r="CXA73" s="557"/>
      <c r="CXB73" s="557"/>
      <c r="CXC73" s="557"/>
      <c r="CXD73" s="557"/>
      <c r="CXE73" s="557"/>
      <c r="CXF73" s="557"/>
      <c r="CXG73" s="661"/>
      <c r="CXH73" s="556"/>
      <c r="CXI73" s="557"/>
      <c r="CXJ73" s="557"/>
      <c r="CXK73" s="557"/>
      <c r="CXL73" s="557"/>
      <c r="CXM73" s="557"/>
      <c r="CXN73" s="557"/>
      <c r="CXO73" s="557"/>
      <c r="CXP73" s="557"/>
      <c r="CXQ73" s="557"/>
      <c r="CXR73" s="557"/>
      <c r="CXS73" s="557"/>
      <c r="CXT73" s="557"/>
      <c r="CXU73" s="557"/>
      <c r="CXV73" s="557"/>
      <c r="CXW73" s="557"/>
      <c r="CXX73" s="557"/>
      <c r="CXY73" s="557"/>
      <c r="CXZ73" s="557"/>
      <c r="CYA73" s="661"/>
      <c r="CYB73" s="556"/>
      <c r="CYC73" s="557"/>
      <c r="CYD73" s="557"/>
      <c r="CYE73" s="557"/>
      <c r="CYF73" s="557"/>
      <c r="CYG73" s="557"/>
      <c r="CYH73" s="557"/>
      <c r="CYI73" s="557"/>
      <c r="CYJ73" s="557"/>
      <c r="CYK73" s="557"/>
      <c r="CYL73" s="557"/>
      <c r="CYM73" s="557"/>
      <c r="CYN73" s="557"/>
      <c r="CYO73" s="557"/>
      <c r="CYP73" s="557"/>
      <c r="CYQ73" s="557"/>
      <c r="CYR73" s="557"/>
      <c r="CYS73" s="557"/>
      <c r="CYT73" s="557"/>
      <c r="CYU73" s="661"/>
      <c r="CYV73" s="556"/>
      <c r="CYW73" s="557"/>
      <c r="CYX73" s="557"/>
      <c r="CYY73" s="557"/>
      <c r="CYZ73" s="557"/>
      <c r="CZA73" s="557"/>
      <c r="CZB73" s="557"/>
      <c r="CZC73" s="557"/>
      <c r="CZD73" s="557"/>
      <c r="CZE73" s="557"/>
      <c r="CZF73" s="557"/>
      <c r="CZG73" s="557"/>
      <c r="CZH73" s="557"/>
      <c r="CZI73" s="557"/>
      <c r="CZJ73" s="557"/>
      <c r="CZK73" s="557"/>
      <c r="CZL73" s="557"/>
      <c r="CZM73" s="557"/>
      <c r="CZN73" s="557"/>
      <c r="CZO73" s="661"/>
      <c r="CZP73" s="556"/>
      <c r="CZQ73" s="557"/>
      <c r="CZR73" s="557"/>
      <c r="CZS73" s="557"/>
      <c r="CZT73" s="557"/>
      <c r="CZU73" s="557"/>
      <c r="CZV73" s="557"/>
      <c r="CZW73" s="557"/>
      <c r="CZX73" s="557"/>
      <c r="CZY73" s="557"/>
      <c r="CZZ73" s="557"/>
      <c r="DAA73" s="557"/>
      <c r="DAB73" s="557"/>
      <c r="DAC73" s="557"/>
      <c r="DAD73" s="557"/>
      <c r="DAE73" s="557"/>
      <c r="DAF73" s="557"/>
      <c r="DAG73" s="557"/>
      <c r="DAH73" s="557"/>
      <c r="DAI73" s="661"/>
      <c r="DAJ73" s="556"/>
      <c r="DAK73" s="557"/>
      <c r="DAL73" s="557"/>
      <c r="DAM73" s="557"/>
      <c r="DAN73" s="557"/>
      <c r="DAO73" s="557"/>
      <c r="DAP73" s="557"/>
      <c r="DAQ73" s="557"/>
      <c r="DAR73" s="557"/>
      <c r="DAS73" s="557"/>
      <c r="DAT73" s="557"/>
      <c r="DAU73" s="557"/>
      <c r="DAV73" s="557"/>
      <c r="DAW73" s="557"/>
      <c r="DAX73" s="557"/>
      <c r="DAY73" s="557"/>
      <c r="DAZ73" s="557"/>
      <c r="DBA73" s="557"/>
      <c r="DBB73" s="557"/>
      <c r="DBC73" s="661"/>
      <c r="DBD73" s="556"/>
      <c r="DBE73" s="557"/>
      <c r="DBF73" s="557"/>
      <c r="DBG73" s="557"/>
      <c r="DBH73" s="557"/>
      <c r="DBI73" s="557"/>
      <c r="DBJ73" s="557"/>
      <c r="DBK73" s="557"/>
      <c r="DBL73" s="557"/>
      <c r="DBM73" s="557"/>
      <c r="DBN73" s="557"/>
      <c r="DBO73" s="557"/>
      <c r="DBP73" s="557"/>
      <c r="DBQ73" s="557"/>
      <c r="DBR73" s="557"/>
      <c r="DBS73" s="557"/>
      <c r="DBT73" s="557"/>
      <c r="DBU73" s="557"/>
      <c r="DBV73" s="557"/>
      <c r="DBW73" s="661"/>
      <c r="DBX73" s="556"/>
      <c r="DBY73" s="557"/>
      <c r="DBZ73" s="557"/>
      <c r="DCA73" s="557"/>
      <c r="DCB73" s="557"/>
      <c r="DCC73" s="557"/>
      <c r="DCD73" s="557"/>
      <c r="DCE73" s="557"/>
      <c r="DCF73" s="557"/>
      <c r="DCG73" s="557"/>
      <c r="DCH73" s="557"/>
      <c r="DCI73" s="557"/>
      <c r="DCJ73" s="557"/>
      <c r="DCK73" s="557"/>
      <c r="DCL73" s="557"/>
      <c r="DCM73" s="557"/>
      <c r="DCN73" s="557"/>
      <c r="DCO73" s="557"/>
      <c r="DCP73" s="557"/>
      <c r="DCQ73" s="661"/>
      <c r="DCR73" s="556"/>
      <c r="DCS73" s="557"/>
      <c r="DCT73" s="557"/>
      <c r="DCU73" s="557"/>
      <c r="DCV73" s="557"/>
      <c r="DCW73" s="557"/>
      <c r="DCX73" s="557"/>
      <c r="DCY73" s="557"/>
      <c r="DCZ73" s="557"/>
      <c r="DDA73" s="557"/>
      <c r="DDB73" s="557"/>
      <c r="DDC73" s="557"/>
      <c r="DDD73" s="557"/>
      <c r="DDE73" s="557"/>
      <c r="DDF73" s="557"/>
      <c r="DDG73" s="557"/>
      <c r="DDH73" s="557"/>
      <c r="DDI73" s="557"/>
      <c r="DDJ73" s="557"/>
      <c r="DDK73" s="661"/>
      <c r="DDL73" s="556"/>
      <c r="DDM73" s="557"/>
      <c r="DDN73" s="557"/>
      <c r="DDO73" s="557"/>
      <c r="DDP73" s="557"/>
      <c r="DDQ73" s="557"/>
      <c r="DDR73" s="557"/>
      <c r="DDS73" s="557"/>
      <c r="DDT73" s="557"/>
      <c r="DDU73" s="557"/>
      <c r="DDV73" s="557"/>
      <c r="DDW73" s="557"/>
      <c r="DDX73" s="557"/>
      <c r="DDY73" s="557"/>
      <c r="DDZ73" s="557"/>
      <c r="DEA73" s="557"/>
      <c r="DEB73" s="557"/>
      <c r="DEC73" s="557"/>
      <c r="DED73" s="557"/>
      <c r="DEE73" s="661"/>
      <c r="DEF73" s="556"/>
      <c r="DEG73" s="557"/>
      <c r="DEH73" s="557"/>
      <c r="DEI73" s="557"/>
      <c r="DEJ73" s="557"/>
      <c r="DEK73" s="557"/>
      <c r="DEL73" s="557"/>
      <c r="DEM73" s="557"/>
      <c r="DEN73" s="557"/>
      <c r="DEO73" s="557"/>
      <c r="DEP73" s="557"/>
      <c r="DEQ73" s="557"/>
      <c r="DER73" s="557"/>
      <c r="DES73" s="557"/>
      <c r="DET73" s="557"/>
      <c r="DEU73" s="557"/>
      <c r="DEV73" s="557"/>
      <c r="DEW73" s="557"/>
      <c r="DEX73" s="557"/>
      <c r="DEY73" s="661"/>
      <c r="DEZ73" s="556"/>
      <c r="DFA73" s="557"/>
      <c r="DFB73" s="557"/>
      <c r="DFC73" s="557"/>
      <c r="DFD73" s="557"/>
      <c r="DFE73" s="557"/>
      <c r="DFF73" s="557"/>
      <c r="DFG73" s="557"/>
      <c r="DFH73" s="557"/>
      <c r="DFI73" s="557"/>
      <c r="DFJ73" s="557"/>
      <c r="DFK73" s="557"/>
      <c r="DFL73" s="557"/>
      <c r="DFM73" s="557"/>
      <c r="DFN73" s="557"/>
      <c r="DFO73" s="557"/>
      <c r="DFP73" s="557"/>
      <c r="DFQ73" s="557"/>
      <c r="DFR73" s="557"/>
      <c r="DFS73" s="661"/>
      <c r="DFT73" s="556"/>
      <c r="DFU73" s="557"/>
      <c r="DFV73" s="557"/>
      <c r="DFW73" s="557"/>
      <c r="DFX73" s="557"/>
      <c r="DFY73" s="557"/>
      <c r="DFZ73" s="557"/>
      <c r="DGA73" s="557"/>
      <c r="DGB73" s="557"/>
      <c r="DGC73" s="557"/>
      <c r="DGD73" s="557"/>
      <c r="DGE73" s="557"/>
      <c r="DGF73" s="557"/>
      <c r="DGG73" s="557"/>
      <c r="DGH73" s="557"/>
      <c r="DGI73" s="557"/>
      <c r="DGJ73" s="557"/>
      <c r="DGK73" s="557"/>
      <c r="DGL73" s="557"/>
      <c r="DGM73" s="661"/>
      <c r="DGN73" s="556"/>
      <c r="DGO73" s="557"/>
      <c r="DGP73" s="557"/>
      <c r="DGQ73" s="557"/>
      <c r="DGR73" s="557"/>
      <c r="DGS73" s="557"/>
      <c r="DGT73" s="557"/>
      <c r="DGU73" s="557"/>
      <c r="DGV73" s="557"/>
      <c r="DGW73" s="557"/>
      <c r="DGX73" s="557"/>
      <c r="DGY73" s="557"/>
      <c r="DGZ73" s="557"/>
      <c r="DHA73" s="557"/>
      <c r="DHB73" s="557"/>
      <c r="DHC73" s="557"/>
      <c r="DHD73" s="557"/>
      <c r="DHE73" s="557"/>
      <c r="DHF73" s="557"/>
      <c r="DHG73" s="661"/>
      <c r="DHH73" s="556"/>
      <c r="DHI73" s="557"/>
      <c r="DHJ73" s="557"/>
      <c r="DHK73" s="557"/>
      <c r="DHL73" s="557"/>
      <c r="DHM73" s="557"/>
      <c r="DHN73" s="557"/>
      <c r="DHO73" s="557"/>
      <c r="DHP73" s="557"/>
      <c r="DHQ73" s="557"/>
      <c r="DHR73" s="557"/>
      <c r="DHS73" s="557"/>
      <c r="DHT73" s="557"/>
      <c r="DHU73" s="557"/>
      <c r="DHV73" s="557"/>
      <c r="DHW73" s="557"/>
      <c r="DHX73" s="557"/>
      <c r="DHY73" s="557"/>
      <c r="DHZ73" s="557"/>
      <c r="DIA73" s="661"/>
      <c r="DIB73" s="556"/>
      <c r="DIC73" s="557"/>
      <c r="DID73" s="557"/>
      <c r="DIE73" s="557"/>
      <c r="DIF73" s="557"/>
      <c r="DIG73" s="557"/>
      <c r="DIH73" s="557"/>
      <c r="DII73" s="557"/>
      <c r="DIJ73" s="557"/>
      <c r="DIK73" s="557"/>
      <c r="DIL73" s="557"/>
      <c r="DIM73" s="557"/>
      <c r="DIN73" s="557"/>
      <c r="DIO73" s="557"/>
      <c r="DIP73" s="557"/>
      <c r="DIQ73" s="557"/>
      <c r="DIR73" s="557"/>
      <c r="DIS73" s="557"/>
      <c r="DIT73" s="557"/>
      <c r="DIU73" s="661"/>
      <c r="DIV73" s="556"/>
      <c r="DIW73" s="557"/>
      <c r="DIX73" s="557"/>
      <c r="DIY73" s="557"/>
      <c r="DIZ73" s="557"/>
      <c r="DJA73" s="557"/>
      <c r="DJB73" s="557"/>
      <c r="DJC73" s="557"/>
      <c r="DJD73" s="557"/>
      <c r="DJE73" s="557"/>
      <c r="DJF73" s="557"/>
      <c r="DJG73" s="557"/>
      <c r="DJH73" s="557"/>
      <c r="DJI73" s="557"/>
      <c r="DJJ73" s="557"/>
      <c r="DJK73" s="557"/>
      <c r="DJL73" s="557"/>
      <c r="DJM73" s="557"/>
      <c r="DJN73" s="557"/>
      <c r="DJO73" s="661"/>
      <c r="DJP73" s="556"/>
      <c r="DJQ73" s="557"/>
      <c r="DJR73" s="557"/>
      <c r="DJS73" s="557"/>
      <c r="DJT73" s="557"/>
      <c r="DJU73" s="557"/>
      <c r="DJV73" s="557"/>
      <c r="DJW73" s="557"/>
      <c r="DJX73" s="557"/>
      <c r="DJY73" s="557"/>
      <c r="DJZ73" s="557"/>
      <c r="DKA73" s="557"/>
      <c r="DKB73" s="557"/>
      <c r="DKC73" s="557"/>
      <c r="DKD73" s="557"/>
      <c r="DKE73" s="557"/>
      <c r="DKF73" s="557"/>
      <c r="DKG73" s="557"/>
      <c r="DKH73" s="557"/>
      <c r="DKI73" s="661"/>
      <c r="DKJ73" s="556"/>
      <c r="DKK73" s="557"/>
      <c r="DKL73" s="557"/>
      <c r="DKM73" s="557"/>
      <c r="DKN73" s="557"/>
      <c r="DKO73" s="557"/>
      <c r="DKP73" s="557"/>
      <c r="DKQ73" s="557"/>
      <c r="DKR73" s="557"/>
      <c r="DKS73" s="557"/>
      <c r="DKT73" s="557"/>
      <c r="DKU73" s="557"/>
      <c r="DKV73" s="557"/>
      <c r="DKW73" s="557"/>
      <c r="DKX73" s="557"/>
      <c r="DKY73" s="557"/>
      <c r="DKZ73" s="557"/>
      <c r="DLA73" s="557"/>
      <c r="DLB73" s="557"/>
      <c r="DLC73" s="661"/>
      <c r="DLD73" s="556"/>
      <c r="DLE73" s="557"/>
      <c r="DLF73" s="557"/>
      <c r="DLG73" s="557"/>
      <c r="DLH73" s="557"/>
      <c r="DLI73" s="557"/>
      <c r="DLJ73" s="557"/>
      <c r="DLK73" s="557"/>
      <c r="DLL73" s="557"/>
      <c r="DLM73" s="557"/>
      <c r="DLN73" s="557"/>
      <c r="DLO73" s="557"/>
      <c r="DLP73" s="557"/>
      <c r="DLQ73" s="557"/>
      <c r="DLR73" s="557"/>
      <c r="DLS73" s="557"/>
      <c r="DLT73" s="557"/>
      <c r="DLU73" s="557"/>
      <c r="DLV73" s="557"/>
      <c r="DLW73" s="661"/>
      <c r="DLX73" s="556"/>
      <c r="DLY73" s="557"/>
      <c r="DLZ73" s="557"/>
      <c r="DMA73" s="557"/>
      <c r="DMB73" s="557"/>
      <c r="DMC73" s="557"/>
      <c r="DMD73" s="557"/>
      <c r="DME73" s="557"/>
      <c r="DMF73" s="557"/>
      <c r="DMG73" s="557"/>
      <c r="DMH73" s="557"/>
      <c r="DMI73" s="557"/>
      <c r="DMJ73" s="557"/>
      <c r="DMK73" s="557"/>
      <c r="DML73" s="557"/>
      <c r="DMM73" s="557"/>
      <c r="DMN73" s="557"/>
      <c r="DMO73" s="557"/>
      <c r="DMP73" s="557"/>
      <c r="DMQ73" s="661"/>
      <c r="DMR73" s="556"/>
      <c r="DMS73" s="557"/>
      <c r="DMT73" s="557"/>
      <c r="DMU73" s="557"/>
      <c r="DMV73" s="557"/>
      <c r="DMW73" s="557"/>
      <c r="DMX73" s="557"/>
      <c r="DMY73" s="557"/>
      <c r="DMZ73" s="557"/>
      <c r="DNA73" s="557"/>
      <c r="DNB73" s="557"/>
      <c r="DNC73" s="557"/>
      <c r="DND73" s="557"/>
      <c r="DNE73" s="557"/>
      <c r="DNF73" s="557"/>
      <c r="DNG73" s="557"/>
      <c r="DNH73" s="557"/>
      <c r="DNI73" s="557"/>
      <c r="DNJ73" s="557"/>
      <c r="DNK73" s="661"/>
      <c r="DNL73" s="556"/>
      <c r="DNM73" s="557"/>
      <c r="DNN73" s="557"/>
      <c r="DNO73" s="557"/>
      <c r="DNP73" s="557"/>
      <c r="DNQ73" s="557"/>
      <c r="DNR73" s="557"/>
      <c r="DNS73" s="557"/>
      <c r="DNT73" s="557"/>
      <c r="DNU73" s="557"/>
      <c r="DNV73" s="557"/>
      <c r="DNW73" s="557"/>
      <c r="DNX73" s="557"/>
      <c r="DNY73" s="557"/>
      <c r="DNZ73" s="557"/>
      <c r="DOA73" s="557"/>
      <c r="DOB73" s="557"/>
      <c r="DOC73" s="557"/>
      <c r="DOD73" s="557"/>
      <c r="DOE73" s="661"/>
      <c r="DOF73" s="556"/>
      <c r="DOG73" s="557"/>
      <c r="DOH73" s="557"/>
      <c r="DOI73" s="557"/>
      <c r="DOJ73" s="557"/>
      <c r="DOK73" s="557"/>
      <c r="DOL73" s="557"/>
      <c r="DOM73" s="557"/>
      <c r="DON73" s="557"/>
      <c r="DOO73" s="557"/>
      <c r="DOP73" s="557"/>
      <c r="DOQ73" s="557"/>
      <c r="DOR73" s="557"/>
      <c r="DOS73" s="557"/>
      <c r="DOT73" s="557"/>
      <c r="DOU73" s="557"/>
      <c r="DOV73" s="557"/>
      <c r="DOW73" s="557"/>
      <c r="DOX73" s="557"/>
      <c r="DOY73" s="661"/>
      <c r="DOZ73" s="556"/>
      <c r="DPA73" s="557"/>
      <c r="DPB73" s="557"/>
      <c r="DPC73" s="557"/>
      <c r="DPD73" s="557"/>
      <c r="DPE73" s="557"/>
      <c r="DPF73" s="557"/>
      <c r="DPG73" s="557"/>
      <c r="DPH73" s="557"/>
      <c r="DPI73" s="557"/>
      <c r="DPJ73" s="557"/>
      <c r="DPK73" s="557"/>
      <c r="DPL73" s="557"/>
      <c r="DPM73" s="557"/>
      <c r="DPN73" s="557"/>
      <c r="DPO73" s="557"/>
      <c r="DPP73" s="557"/>
      <c r="DPQ73" s="557"/>
      <c r="DPR73" s="557"/>
      <c r="DPS73" s="661"/>
      <c r="DPT73" s="556"/>
      <c r="DPU73" s="557"/>
      <c r="DPV73" s="557"/>
      <c r="DPW73" s="557"/>
      <c r="DPX73" s="557"/>
      <c r="DPY73" s="557"/>
      <c r="DPZ73" s="557"/>
      <c r="DQA73" s="557"/>
      <c r="DQB73" s="557"/>
      <c r="DQC73" s="557"/>
      <c r="DQD73" s="557"/>
      <c r="DQE73" s="557"/>
      <c r="DQF73" s="557"/>
      <c r="DQG73" s="557"/>
      <c r="DQH73" s="557"/>
      <c r="DQI73" s="557"/>
      <c r="DQJ73" s="557"/>
      <c r="DQK73" s="557"/>
      <c r="DQL73" s="557"/>
      <c r="DQM73" s="661"/>
      <c r="DQN73" s="556"/>
      <c r="DQO73" s="557"/>
      <c r="DQP73" s="557"/>
      <c r="DQQ73" s="557"/>
      <c r="DQR73" s="557"/>
      <c r="DQS73" s="557"/>
      <c r="DQT73" s="557"/>
      <c r="DQU73" s="557"/>
      <c r="DQV73" s="557"/>
      <c r="DQW73" s="557"/>
      <c r="DQX73" s="557"/>
      <c r="DQY73" s="557"/>
      <c r="DQZ73" s="557"/>
      <c r="DRA73" s="557"/>
      <c r="DRB73" s="557"/>
      <c r="DRC73" s="557"/>
      <c r="DRD73" s="557"/>
      <c r="DRE73" s="557"/>
      <c r="DRF73" s="557"/>
      <c r="DRG73" s="661"/>
      <c r="DRH73" s="556"/>
      <c r="DRI73" s="557"/>
      <c r="DRJ73" s="557"/>
      <c r="DRK73" s="557"/>
      <c r="DRL73" s="557"/>
      <c r="DRM73" s="557"/>
      <c r="DRN73" s="557"/>
      <c r="DRO73" s="557"/>
      <c r="DRP73" s="557"/>
      <c r="DRQ73" s="557"/>
      <c r="DRR73" s="557"/>
      <c r="DRS73" s="557"/>
      <c r="DRT73" s="557"/>
      <c r="DRU73" s="557"/>
      <c r="DRV73" s="557"/>
      <c r="DRW73" s="557"/>
      <c r="DRX73" s="557"/>
      <c r="DRY73" s="557"/>
      <c r="DRZ73" s="557"/>
      <c r="DSA73" s="661"/>
      <c r="DSB73" s="556"/>
      <c r="DSC73" s="557"/>
      <c r="DSD73" s="557"/>
      <c r="DSE73" s="557"/>
      <c r="DSF73" s="557"/>
      <c r="DSG73" s="557"/>
      <c r="DSH73" s="557"/>
      <c r="DSI73" s="557"/>
      <c r="DSJ73" s="557"/>
      <c r="DSK73" s="557"/>
      <c r="DSL73" s="557"/>
      <c r="DSM73" s="557"/>
      <c r="DSN73" s="557"/>
      <c r="DSO73" s="557"/>
      <c r="DSP73" s="557"/>
      <c r="DSQ73" s="557"/>
      <c r="DSR73" s="557"/>
      <c r="DSS73" s="557"/>
      <c r="DST73" s="557"/>
      <c r="DSU73" s="661"/>
      <c r="DSV73" s="556"/>
      <c r="DSW73" s="557"/>
      <c r="DSX73" s="557"/>
      <c r="DSY73" s="557"/>
      <c r="DSZ73" s="557"/>
      <c r="DTA73" s="557"/>
      <c r="DTB73" s="557"/>
      <c r="DTC73" s="557"/>
      <c r="DTD73" s="557"/>
      <c r="DTE73" s="557"/>
      <c r="DTF73" s="557"/>
      <c r="DTG73" s="557"/>
      <c r="DTH73" s="557"/>
      <c r="DTI73" s="557"/>
      <c r="DTJ73" s="557"/>
      <c r="DTK73" s="557"/>
      <c r="DTL73" s="557"/>
      <c r="DTM73" s="557"/>
      <c r="DTN73" s="557"/>
      <c r="DTO73" s="661"/>
      <c r="DTP73" s="556"/>
      <c r="DTQ73" s="557"/>
      <c r="DTR73" s="557"/>
      <c r="DTS73" s="557"/>
      <c r="DTT73" s="557"/>
      <c r="DTU73" s="557"/>
      <c r="DTV73" s="557"/>
      <c r="DTW73" s="557"/>
      <c r="DTX73" s="557"/>
      <c r="DTY73" s="557"/>
      <c r="DTZ73" s="557"/>
      <c r="DUA73" s="557"/>
      <c r="DUB73" s="557"/>
      <c r="DUC73" s="557"/>
      <c r="DUD73" s="557"/>
      <c r="DUE73" s="557"/>
      <c r="DUF73" s="557"/>
      <c r="DUG73" s="557"/>
      <c r="DUH73" s="557"/>
      <c r="DUI73" s="661"/>
      <c r="DUJ73" s="556"/>
      <c r="DUK73" s="557"/>
      <c r="DUL73" s="557"/>
      <c r="DUM73" s="557"/>
      <c r="DUN73" s="557"/>
      <c r="DUO73" s="557"/>
      <c r="DUP73" s="557"/>
      <c r="DUQ73" s="557"/>
      <c r="DUR73" s="557"/>
      <c r="DUS73" s="557"/>
      <c r="DUT73" s="557"/>
      <c r="DUU73" s="557"/>
      <c r="DUV73" s="557"/>
      <c r="DUW73" s="557"/>
      <c r="DUX73" s="557"/>
      <c r="DUY73" s="557"/>
      <c r="DUZ73" s="557"/>
      <c r="DVA73" s="557"/>
      <c r="DVB73" s="557"/>
      <c r="DVC73" s="661"/>
      <c r="DVD73" s="556"/>
      <c r="DVE73" s="557"/>
      <c r="DVF73" s="557"/>
      <c r="DVG73" s="557"/>
      <c r="DVH73" s="557"/>
      <c r="DVI73" s="557"/>
      <c r="DVJ73" s="557"/>
      <c r="DVK73" s="557"/>
      <c r="DVL73" s="557"/>
      <c r="DVM73" s="557"/>
      <c r="DVN73" s="557"/>
      <c r="DVO73" s="557"/>
      <c r="DVP73" s="557"/>
      <c r="DVQ73" s="557"/>
      <c r="DVR73" s="557"/>
      <c r="DVS73" s="557"/>
      <c r="DVT73" s="557"/>
      <c r="DVU73" s="557"/>
      <c r="DVV73" s="557"/>
      <c r="DVW73" s="661"/>
      <c r="DVX73" s="556"/>
      <c r="DVY73" s="557"/>
      <c r="DVZ73" s="557"/>
      <c r="DWA73" s="557"/>
      <c r="DWB73" s="557"/>
      <c r="DWC73" s="557"/>
      <c r="DWD73" s="557"/>
      <c r="DWE73" s="557"/>
      <c r="DWF73" s="557"/>
      <c r="DWG73" s="557"/>
      <c r="DWH73" s="557"/>
      <c r="DWI73" s="557"/>
      <c r="DWJ73" s="557"/>
      <c r="DWK73" s="557"/>
      <c r="DWL73" s="557"/>
      <c r="DWM73" s="557"/>
      <c r="DWN73" s="557"/>
      <c r="DWO73" s="557"/>
      <c r="DWP73" s="557"/>
      <c r="DWQ73" s="661"/>
      <c r="DWR73" s="556"/>
      <c r="DWS73" s="557"/>
      <c r="DWT73" s="557"/>
      <c r="DWU73" s="557"/>
      <c r="DWV73" s="557"/>
      <c r="DWW73" s="557"/>
      <c r="DWX73" s="557"/>
      <c r="DWY73" s="557"/>
      <c r="DWZ73" s="557"/>
      <c r="DXA73" s="557"/>
      <c r="DXB73" s="557"/>
      <c r="DXC73" s="557"/>
      <c r="DXD73" s="557"/>
      <c r="DXE73" s="557"/>
      <c r="DXF73" s="557"/>
      <c r="DXG73" s="557"/>
      <c r="DXH73" s="557"/>
      <c r="DXI73" s="557"/>
      <c r="DXJ73" s="557"/>
      <c r="DXK73" s="661"/>
      <c r="DXL73" s="556"/>
      <c r="DXM73" s="557"/>
      <c r="DXN73" s="557"/>
      <c r="DXO73" s="557"/>
      <c r="DXP73" s="557"/>
      <c r="DXQ73" s="557"/>
      <c r="DXR73" s="557"/>
      <c r="DXS73" s="557"/>
      <c r="DXT73" s="557"/>
      <c r="DXU73" s="557"/>
      <c r="DXV73" s="557"/>
      <c r="DXW73" s="557"/>
      <c r="DXX73" s="557"/>
      <c r="DXY73" s="557"/>
      <c r="DXZ73" s="557"/>
      <c r="DYA73" s="557"/>
      <c r="DYB73" s="557"/>
      <c r="DYC73" s="557"/>
      <c r="DYD73" s="557"/>
      <c r="DYE73" s="661"/>
      <c r="DYF73" s="556"/>
      <c r="DYG73" s="557"/>
      <c r="DYH73" s="557"/>
      <c r="DYI73" s="557"/>
      <c r="DYJ73" s="557"/>
      <c r="DYK73" s="557"/>
      <c r="DYL73" s="557"/>
      <c r="DYM73" s="557"/>
      <c r="DYN73" s="557"/>
      <c r="DYO73" s="557"/>
      <c r="DYP73" s="557"/>
      <c r="DYQ73" s="557"/>
      <c r="DYR73" s="557"/>
      <c r="DYS73" s="557"/>
      <c r="DYT73" s="557"/>
      <c r="DYU73" s="557"/>
      <c r="DYV73" s="557"/>
      <c r="DYW73" s="557"/>
      <c r="DYX73" s="557"/>
      <c r="DYY73" s="661"/>
      <c r="DYZ73" s="556"/>
      <c r="DZA73" s="557"/>
      <c r="DZB73" s="557"/>
      <c r="DZC73" s="557"/>
      <c r="DZD73" s="557"/>
      <c r="DZE73" s="557"/>
      <c r="DZF73" s="557"/>
      <c r="DZG73" s="557"/>
      <c r="DZH73" s="557"/>
      <c r="DZI73" s="557"/>
      <c r="DZJ73" s="557"/>
      <c r="DZK73" s="557"/>
      <c r="DZL73" s="557"/>
      <c r="DZM73" s="557"/>
      <c r="DZN73" s="557"/>
      <c r="DZO73" s="557"/>
      <c r="DZP73" s="557"/>
      <c r="DZQ73" s="557"/>
      <c r="DZR73" s="557"/>
      <c r="DZS73" s="661"/>
      <c r="DZT73" s="556"/>
      <c r="DZU73" s="557"/>
      <c r="DZV73" s="557"/>
      <c r="DZW73" s="557"/>
      <c r="DZX73" s="557"/>
      <c r="DZY73" s="557"/>
      <c r="DZZ73" s="557"/>
      <c r="EAA73" s="557"/>
      <c r="EAB73" s="557"/>
      <c r="EAC73" s="557"/>
      <c r="EAD73" s="557"/>
      <c r="EAE73" s="557"/>
      <c r="EAF73" s="557"/>
      <c r="EAG73" s="557"/>
      <c r="EAH73" s="557"/>
      <c r="EAI73" s="557"/>
      <c r="EAJ73" s="557"/>
      <c r="EAK73" s="557"/>
      <c r="EAL73" s="557"/>
      <c r="EAM73" s="661"/>
      <c r="EAN73" s="556"/>
      <c r="EAO73" s="557"/>
      <c r="EAP73" s="557"/>
      <c r="EAQ73" s="557"/>
      <c r="EAR73" s="557"/>
      <c r="EAS73" s="557"/>
      <c r="EAT73" s="557"/>
      <c r="EAU73" s="557"/>
      <c r="EAV73" s="557"/>
      <c r="EAW73" s="557"/>
      <c r="EAX73" s="557"/>
      <c r="EAY73" s="557"/>
      <c r="EAZ73" s="557"/>
      <c r="EBA73" s="557"/>
      <c r="EBB73" s="557"/>
      <c r="EBC73" s="557"/>
      <c r="EBD73" s="557"/>
      <c r="EBE73" s="557"/>
      <c r="EBF73" s="557"/>
      <c r="EBG73" s="661"/>
      <c r="EBH73" s="556"/>
      <c r="EBI73" s="557"/>
      <c r="EBJ73" s="557"/>
      <c r="EBK73" s="557"/>
      <c r="EBL73" s="557"/>
      <c r="EBM73" s="557"/>
      <c r="EBN73" s="557"/>
      <c r="EBO73" s="557"/>
      <c r="EBP73" s="557"/>
      <c r="EBQ73" s="557"/>
      <c r="EBR73" s="557"/>
      <c r="EBS73" s="557"/>
      <c r="EBT73" s="557"/>
      <c r="EBU73" s="557"/>
      <c r="EBV73" s="557"/>
      <c r="EBW73" s="557"/>
      <c r="EBX73" s="557"/>
      <c r="EBY73" s="557"/>
      <c r="EBZ73" s="557"/>
      <c r="ECA73" s="661"/>
      <c r="ECB73" s="556"/>
      <c r="ECC73" s="557"/>
      <c r="ECD73" s="557"/>
      <c r="ECE73" s="557"/>
      <c r="ECF73" s="557"/>
      <c r="ECG73" s="557"/>
      <c r="ECH73" s="557"/>
      <c r="ECI73" s="557"/>
      <c r="ECJ73" s="557"/>
      <c r="ECK73" s="557"/>
      <c r="ECL73" s="557"/>
      <c r="ECM73" s="557"/>
      <c r="ECN73" s="557"/>
      <c r="ECO73" s="557"/>
      <c r="ECP73" s="557"/>
      <c r="ECQ73" s="557"/>
      <c r="ECR73" s="557"/>
      <c r="ECS73" s="557"/>
      <c r="ECT73" s="557"/>
      <c r="ECU73" s="661"/>
      <c r="ECV73" s="556"/>
      <c r="ECW73" s="557"/>
      <c r="ECX73" s="557"/>
      <c r="ECY73" s="557"/>
      <c r="ECZ73" s="557"/>
      <c r="EDA73" s="557"/>
      <c r="EDB73" s="557"/>
      <c r="EDC73" s="557"/>
      <c r="EDD73" s="557"/>
      <c r="EDE73" s="557"/>
      <c r="EDF73" s="557"/>
      <c r="EDG73" s="557"/>
      <c r="EDH73" s="557"/>
      <c r="EDI73" s="557"/>
      <c r="EDJ73" s="557"/>
      <c r="EDK73" s="557"/>
      <c r="EDL73" s="557"/>
      <c r="EDM73" s="557"/>
      <c r="EDN73" s="557"/>
      <c r="EDO73" s="661"/>
      <c r="EDP73" s="556"/>
      <c r="EDQ73" s="557"/>
      <c r="EDR73" s="557"/>
      <c r="EDS73" s="557"/>
      <c r="EDT73" s="557"/>
      <c r="EDU73" s="557"/>
      <c r="EDV73" s="557"/>
      <c r="EDW73" s="557"/>
      <c r="EDX73" s="557"/>
      <c r="EDY73" s="557"/>
      <c r="EDZ73" s="557"/>
      <c r="EEA73" s="557"/>
      <c r="EEB73" s="557"/>
      <c r="EEC73" s="557"/>
      <c r="EED73" s="557"/>
      <c r="EEE73" s="557"/>
      <c r="EEF73" s="557"/>
      <c r="EEG73" s="557"/>
      <c r="EEH73" s="557"/>
      <c r="EEI73" s="661"/>
      <c r="EEJ73" s="556"/>
      <c r="EEK73" s="557"/>
      <c r="EEL73" s="557"/>
      <c r="EEM73" s="557"/>
      <c r="EEN73" s="557"/>
      <c r="EEO73" s="557"/>
      <c r="EEP73" s="557"/>
      <c r="EEQ73" s="557"/>
      <c r="EER73" s="557"/>
      <c r="EES73" s="557"/>
      <c r="EET73" s="557"/>
      <c r="EEU73" s="557"/>
      <c r="EEV73" s="557"/>
      <c r="EEW73" s="557"/>
      <c r="EEX73" s="557"/>
      <c r="EEY73" s="557"/>
      <c r="EEZ73" s="557"/>
      <c r="EFA73" s="557"/>
      <c r="EFB73" s="557"/>
      <c r="EFC73" s="661"/>
      <c r="EFD73" s="556"/>
      <c r="EFE73" s="557"/>
      <c r="EFF73" s="557"/>
      <c r="EFG73" s="557"/>
      <c r="EFH73" s="557"/>
      <c r="EFI73" s="557"/>
      <c r="EFJ73" s="557"/>
      <c r="EFK73" s="557"/>
      <c r="EFL73" s="557"/>
      <c r="EFM73" s="557"/>
      <c r="EFN73" s="557"/>
      <c r="EFO73" s="557"/>
      <c r="EFP73" s="557"/>
      <c r="EFQ73" s="557"/>
      <c r="EFR73" s="557"/>
      <c r="EFS73" s="557"/>
      <c r="EFT73" s="557"/>
      <c r="EFU73" s="557"/>
      <c r="EFV73" s="557"/>
      <c r="EFW73" s="661"/>
      <c r="EFX73" s="556"/>
      <c r="EFY73" s="557"/>
      <c r="EFZ73" s="557"/>
      <c r="EGA73" s="557"/>
      <c r="EGB73" s="557"/>
      <c r="EGC73" s="557"/>
      <c r="EGD73" s="557"/>
      <c r="EGE73" s="557"/>
      <c r="EGF73" s="557"/>
      <c r="EGG73" s="557"/>
      <c r="EGH73" s="557"/>
      <c r="EGI73" s="557"/>
      <c r="EGJ73" s="557"/>
      <c r="EGK73" s="557"/>
      <c r="EGL73" s="557"/>
      <c r="EGM73" s="557"/>
      <c r="EGN73" s="557"/>
      <c r="EGO73" s="557"/>
      <c r="EGP73" s="557"/>
      <c r="EGQ73" s="661"/>
      <c r="EGR73" s="556"/>
      <c r="EGS73" s="557"/>
      <c r="EGT73" s="557"/>
      <c r="EGU73" s="557"/>
      <c r="EGV73" s="557"/>
      <c r="EGW73" s="557"/>
      <c r="EGX73" s="557"/>
      <c r="EGY73" s="557"/>
      <c r="EGZ73" s="557"/>
      <c r="EHA73" s="557"/>
      <c r="EHB73" s="557"/>
      <c r="EHC73" s="557"/>
      <c r="EHD73" s="557"/>
      <c r="EHE73" s="557"/>
      <c r="EHF73" s="557"/>
      <c r="EHG73" s="557"/>
      <c r="EHH73" s="557"/>
      <c r="EHI73" s="557"/>
      <c r="EHJ73" s="557"/>
      <c r="EHK73" s="661"/>
      <c r="EHL73" s="556"/>
      <c r="EHM73" s="557"/>
      <c r="EHN73" s="557"/>
      <c r="EHO73" s="557"/>
      <c r="EHP73" s="557"/>
      <c r="EHQ73" s="557"/>
      <c r="EHR73" s="557"/>
      <c r="EHS73" s="557"/>
      <c r="EHT73" s="557"/>
      <c r="EHU73" s="557"/>
      <c r="EHV73" s="557"/>
      <c r="EHW73" s="557"/>
      <c r="EHX73" s="557"/>
      <c r="EHY73" s="557"/>
      <c r="EHZ73" s="557"/>
      <c r="EIA73" s="557"/>
      <c r="EIB73" s="557"/>
      <c r="EIC73" s="557"/>
      <c r="EID73" s="557"/>
      <c r="EIE73" s="661"/>
      <c r="EIF73" s="556"/>
      <c r="EIG73" s="557"/>
      <c r="EIH73" s="557"/>
      <c r="EII73" s="557"/>
      <c r="EIJ73" s="557"/>
      <c r="EIK73" s="557"/>
      <c r="EIL73" s="557"/>
      <c r="EIM73" s="557"/>
      <c r="EIN73" s="557"/>
      <c r="EIO73" s="557"/>
      <c r="EIP73" s="557"/>
      <c r="EIQ73" s="557"/>
      <c r="EIR73" s="557"/>
      <c r="EIS73" s="557"/>
      <c r="EIT73" s="557"/>
      <c r="EIU73" s="557"/>
      <c r="EIV73" s="557"/>
      <c r="EIW73" s="557"/>
      <c r="EIX73" s="557"/>
      <c r="EIY73" s="661"/>
      <c r="EIZ73" s="556"/>
      <c r="EJA73" s="557"/>
      <c r="EJB73" s="557"/>
      <c r="EJC73" s="557"/>
      <c r="EJD73" s="557"/>
      <c r="EJE73" s="557"/>
      <c r="EJF73" s="557"/>
      <c r="EJG73" s="557"/>
      <c r="EJH73" s="557"/>
      <c r="EJI73" s="557"/>
      <c r="EJJ73" s="557"/>
      <c r="EJK73" s="557"/>
      <c r="EJL73" s="557"/>
      <c r="EJM73" s="557"/>
      <c r="EJN73" s="557"/>
      <c r="EJO73" s="557"/>
      <c r="EJP73" s="557"/>
      <c r="EJQ73" s="557"/>
      <c r="EJR73" s="557"/>
      <c r="EJS73" s="661"/>
      <c r="EJT73" s="556"/>
      <c r="EJU73" s="557"/>
      <c r="EJV73" s="557"/>
      <c r="EJW73" s="557"/>
      <c r="EJX73" s="557"/>
      <c r="EJY73" s="557"/>
      <c r="EJZ73" s="557"/>
      <c r="EKA73" s="557"/>
      <c r="EKB73" s="557"/>
      <c r="EKC73" s="557"/>
      <c r="EKD73" s="557"/>
      <c r="EKE73" s="557"/>
      <c r="EKF73" s="557"/>
      <c r="EKG73" s="557"/>
      <c r="EKH73" s="557"/>
      <c r="EKI73" s="557"/>
      <c r="EKJ73" s="557"/>
      <c r="EKK73" s="557"/>
      <c r="EKL73" s="557"/>
      <c r="EKM73" s="661"/>
      <c r="EKN73" s="556"/>
      <c r="EKO73" s="557"/>
      <c r="EKP73" s="557"/>
      <c r="EKQ73" s="557"/>
      <c r="EKR73" s="557"/>
      <c r="EKS73" s="557"/>
      <c r="EKT73" s="557"/>
      <c r="EKU73" s="557"/>
      <c r="EKV73" s="557"/>
      <c r="EKW73" s="557"/>
      <c r="EKX73" s="557"/>
      <c r="EKY73" s="557"/>
      <c r="EKZ73" s="557"/>
      <c r="ELA73" s="557"/>
      <c r="ELB73" s="557"/>
      <c r="ELC73" s="557"/>
      <c r="ELD73" s="557"/>
      <c r="ELE73" s="557"/>
      <c r="ELF73" s="557"/>
      <c r="ELG73" s="661"/>
      <c r="ELH73" s="556"/>
      <c r="ELI73" s="557"/>
      <c r="ELJ73" s="557"/>
      <c r="ELK73" s="557"/>
      <c r="ELL73" s="557"/>
      <c r="ELM73" s="557"/>
      <c r="ELN73" s="557"/>
      <c r="ELO73" s="557"/>
      <c r="ELP73" s="557"/>
      <c r="ELQ73" s="557"/>
      <c r="ELR73" s="557"/>
      <c r="ELS73" s="557"/>
      <c r="ELT73" s="557"/>
      <c r="ELU73" s="557"/>
      <c r="ELV73" s="557"/>
      <c r="ELW73" s="557"/>
      <c r="ELX73" s="557"/>
      <c r="ELY73" s="557"/>
      <c r="ELZ73" s="557"/>
      <c r="EMA73" s="661"/>
      <c r="EMB73" s="556"/>
      <c r="EMC73" s="557"/>
      <c r="EMD73" s="557"/>
      <c r="EME73" s="557"/>
      <c r="EMF73" s="557"/>
      <c r="EMG73" s="557"/>
      <c r="EMH73" s="557"/>
      <c r="EMI73" s="557"/>
      <c r="EMJ73" s="557"/>
      <c r="EMK73" s="557"/>
      <c r="EML73" s="557"/>
      <c r="EMM73" s="557"/>
      <c r="EMN73" s="557"/>
      <c r="EMO73" s="557"/>
      <c r="EMP73" s="557"/>
      <c r="EMQ73" s="557"/>
      <c r="EMR73" s="557"/>
      <c r="EMS73" s="557"/>
      <c r="EMT73" s="557"/>
      <c r="EMU73" s="661"/>
      <c r="EMV73" s="556"/>
      <c r="EMW73" s="557"/>
      <c r="EMX73" s="557"/>
      <c r="EMY73" s="557"/>
      <c r="EMZ73" s="557"/>
      <c r="ENA73" s="557"/>
      <c r="ENB73" s="557"/>
      <c r="ENC73" s="557"/>
      <c r="END73" s="557"/>
      <c r="ENE73" s="557"/>
      <c r="ENF73" s="557"/>
      <c r="ENG73" s="557"/>
      <c r="ENH73" s="557"/>
      <c r="ENI73" s="557"/>
      <c r="ENJ73" s="557"/>
      <c r="ENK73" s="557"/>
      <c r="ENL73" s="557"/>
      <c r="ENM73" s="557"/>
      <c r="ENN73" s="557"/>
      <c r="ENO73" s="661"/>
      <c r="ENP73" s="556"/>
      <c r="ENQ73" s="557"/>
      <c r="ENR73" s="557"/>
      <c r="ENS73" s="557"/>
      <c r="ENT73" s="557"/>
      <c r="ENU73" s="557"/>
      <c r="ENV73" s="557"/>
      <c r="ENW73" s="557"/>
      <c r="ENX73" s="557"/>
      <c r="ENY73" s="557"/>
      <c r="ENZ73" s="557"/>
      <c r="EOA73" s="557"/>
      <c r="EOB73" s="557"/>
      <c r="EOC73" s="557"/>
      <c r="EOD73" s="557"/>
      <c r="EOE73" s="557"/>
      <c r="EOF73" s="557"/>
      <c r="EOG73" s="557"/>
      <c r="EOH73" s="557"/>
      <c r="EOI73" s="661"/>
      <c r="EOJ73" s="556"/>
      <c r="EOK73" s="557"/>
      <c r="EOL73" s="557"/>
      <c r="EOM73" s="557"/>
      <c r="EON73" s="557"/>
      <c r="EOO73" s="557"/>
      <c r="EOP73" s="557"/>
      <c r="EOQ73" s="557"/>
      <c r="EOR73" s="557"/>
      <c r="EOS73" s="557"/>
      <c r="EOT73" s="557"/>
      <c r="EOU73" s="557"/>
      <c r="EOV73" s="557"/>
      <c r="EOW73" s="557"/>
      <c r="EOX73" s="557"/>
      <c r="EOY73" s="557"/>
      <c r="EOZ73" s="557"/>
      <c r="EPA73" s="557"/>
      <c r="EPB73" s="557"/>
      <c r="EPC73" s="661"/>
      <c r="EPD73" s="556"/>
      <c r="EPE73" s="557"/>
      <c r="EPF73" s="557"/>
      <c r="EPG73" s="557"/>
      <c r="EPH73" s="557"/>
      <c r="EPI73" s="557"/>
      <c r="EPJ73" s="557"/>
      <c r="EPK73" s="557"/>
      <c r="EPL73" s="557"/>
      <c r="EPM73" s="557"/>
      <c r="EPN73" s="557"/>
      <c r="EPO73" s="557"/>
      <c r="EPP73" s="557"/>
      <c r="EPQ73" s="557"/>
      <c r="EPR73" s="557"/>
      <c r="EPS73" s="557"/>
      <c r="EPT73" s="557"/>
      <c r="EPU73" s="557"/>
      <c r="EPV73" s="557"/>
      <c r="EPW73" s="661"/>
      <c r="EPX73" s="556"/>
      <c r="EPY73" s="557"/>
      <c r="EPZ73" s="557"/>
      <c r="EQA73" s="557"/>
      <c r="EQB73" s="557"/>
      <c r="EQC73" s="557"/>
      <c r="EQD73" s="557"/>
      <c r="EQE73" s="557"/>
      <c r="EQF73" s="557"/>
      <c r="EQG73" s="557"/>
      <c r="EQH73" s="557"/>
      <c r="EQI73" s="557"/>
      <c r="EQJ73" s="557"/>
      <c r="EQK73" s="557"/>
      <c r="EQL73" s="557"/>
      <c r="EQM73" s="557"/>
      <c r="EQN73" s="557"/>
      <c r="EQO73" s="557"/>
      <c r="EQP73" s="557"/>
      <c r="EQQ73" s="661"/>
      <c r="EQR73" s="556"/>
      <c r="EQS73" s="557"/>
      <c r="EQT73" s="557"/>
      <c r="EQU73" s="557"/>
      <c r="EQV73" s="557"/>
      <c r="EQW73" s="557"/>
      <c r="EQX73" s="557"/>
      <c r="EQY73" s="557"/>
      <c r="EQZ73" s="557"/>
      <c r="ERA73" s="557"/>
      <c r="ERB73" s="557"/>
      <c r="ERC73" s="557"/>
      <c r="ERD73" s="557"/>
      <c r="ERE73" s="557"/>
      <c r="ERF73" s="557"/>
      <c r="ERG73" s="557"/>
      <c r="ERH73" s="557"/>
      <c r="ERI73" s="557"/>
      <c r="ERJ73" s="557"/>
      <c r="ERK73" s="661"/>
      <c r="ERL73" s="556"/>
      <c r="ERM73" s="557"/>
      <c r="ERN73" s="557"/>
      <c r="ERO73" s="557"/>
      <c r="ERP73" s="557"/>
      <c r="ERQ73" s="557"/>
      <c r="ERR73" s="557"/>
      <c r="ERS73" s="557"/>
      <c r="ERT73" s="557"/>
      <c r="ERU73" s="557"/>
      <c r="ERV73" s="557"/>
      <c r="ERW73" s="557"/>
      <c r="ERX73" s="557"/>
      <c r="ERY73" s="557"/>
      <c r="ERZ73" s="557"/>
      <c r="ESA73" s="557"/>
      <c r="ESB73" s="557"/>
      <c r="ESC73" s="557"/>
      <c r="ESD73" s="557"/>
      <c r="ESE73" s="661"/>
      <c r="ESF73" s="556"/>
      <c r="ESG73" s="557"/>
      <c r="ESH73" s="557"/>
      <c r="ESI73" s="557"/>
      <c r="ESJ73" s="557"/>
      <c r="ESK73" s="557"/>
      <c r="ESL73" s="557"/>
      <c r="ESM73" s="557"/>
      <c r="ESN73" s="557"/>
      <c r="ESO73" s="557"/>
      <c r="ESP73" s="557"/>
      <c r="ESQ73" s="557"/>
      <c r="ESR73" s="557"/>
      <c r="ESS73" s="557"/>
      <c r="EST73" s="557"/>
      <c r="ESU73" s="557"/>
      <c r="ESV73" s="557"/>
      <c r="ESW73" s="557"/>
      <c r="ESX73" s="557"/>
      <c r="ESY73" s="661"/>
      <c r="ESZ73" s="556"/>
      <c r="ETA73" s="557"/>
      <c r="ETB73" s="557"/>
      <c r="ETC73" s="557"/>
      <c r="ETD73" s="557"/>
      <c r="ETE73" s="557"/>
      <c r="ETF73" s="557"/>
      <c r="ETG73" s="557"/>
      <c r="ETH73" s="557"/>
      <c r="ETI73" s="557"/>
      <c r="ETJ73" s="557"/>
      <c r="ETK73" s="557"/>
      <c r="ETL73" s="557"/>
      <c r="ETM73" s="557"/>
      <c r="ETN73" s="557"/>
      <c r="ETO73" s="557"/>
      <c r="ETP73" s="557"/>
      <c r="ETQ73" s="557"/>
      <c r="ETR73" s="557"/>
      <c r="ETS73" s="661"/>
      <c r="ETT73" s="556"/>
      <c r="ETU73" s="557"/>
      <c r="ETV73" s="557"/>
      <c r="ETW73" s="557"/>
      <c r="ETX73" s="557"/>
      <c r="ETY73" s="557"/>
      <c r="ETZ73" s="557"/>
      <c r="EUA73" s="557"/>
      <c r="EUB73" s="557"/>
      <c r="EUC73" s="557"/>
      <c r="EUD73" s="557"/>
      <c r="EUE73" s="557"/>
      <c r="EUF73" s="557"/>
      <c r="EUG73" s="557"/>
      <c r="EUH73" s="557"/>
      <c r="EUI73" s="557"/>
      <c r="EUJ73" s="557"/>
      <c r="EUK73" s="557"/>
      <c r="EUL73" s="557"/>
      <c r="EUM73" s="661"/>
      <c r="EUN73" s="556"/>
      <c r="EUO73" s="557"/>
      <c r="EUP73" s="557"/>
      <c r="EUQ73" s="557"/>
      <c r="EUR73" s="557"/>
      <c r="EUS73" s="557"/>
      <c r="EUT73" s="557"/>
      <c r="EUU73" s="557"/>
      <c r="EUV73" s="557"/>
      <c r="EUW73" s="557"/>
      <c r="EUX73" s="557"/>
      <c r="EUY73" s="557"/>
      <c r="EUZ73" s="557"/>
      <c r="EVA73" s="557"/>
      <c r="EVB73" s="557"/>
      <c r="EVC73" s="557"/>
      <c r="EVD73" s="557"/>
      <c r="EVE73" s="557"/>
      <c r="EVF73" s="557"/>
      <c r="EVG73" s="661"/>
      <c r="EVH73" s="556"/>
      <c r="EVI73" s="557"/>
      <c r="EVJ73" s="557"/>
      <c r="EVK73" s="557"/>
      <c r="EVL73" s="557"/>
      <c r="EVM73" s="557"/>
      <c r="EVN73" s="557"/>
      <c r="EVO73" s="557"/>
      <c r="EVP73" s="557"/>
      <c r="EVQ73" s="557"/>
      <c r="EVR73" s="557"/>
      <c r="EVS73" s="557"/>
      <c r="EVT73" s="557"/>
      <c r="EVU73" s="557"/>
      <c r="EVV73" s="557"/>
      <c r="EVW73" s="557"/>
      <c r="EVX73" s="557"/>
      <c r="EVY73" s="557"/>
      <c r="EVZ73" s="557"/>
      <c r="EWA73" s="661"/>
      <c r="EWB73" s="556"/>
      <c r="EWC73" s="557"/>
      <c r="EWD73" s="557"/>
      <c r="EWE73" s="557"/>
      <c r="EWF73" s="557"/>
      <c r="EWG73" s="557"/>
      <c r="EWH73" s="557"/>
      <c r="EWI73" s="557"/>
      <c r="EWJ73" s="557"/>
      <c r="EWK73" s="557"/>
      <c r="EWL73" s="557"/>
      <c r="EWM73" s="557"/>
      <c r="EWN73" s="557"/>
      <c r="EWO73" s="557"/>
      <c r="EWP73" s="557"/>
      <c r="EWQ73" s="557"/>
      <c r="EWR73" s="557"/>
      <c r="EWS73" s="557"/>
      <c r="EWT73" s="557"/>
      <c r="EWU73" s="661"/>
      <c r="EWV73" s="556"/>
      <c r="EWW73" s="557"/>
      <c r="EWX73" s="557"/>
      <c r="EWY73" s="557"/>
      <c r="EWZ73" s="557"/>
      <c r="EXA73" s="557"/>
      <c r="EXB73" s="557"/>
      <c r="EXC73" s="557"/>
      <c r="EXD73" s="557"/>
      <c r="EXE73" s="557"/>
      <c r="EXF73" s="557"/>
      <c r="EXG73" s="557"/>
      <c r="EXH73" s="557"/>
      <c r="EXI73" s="557"/>
      <c r="EXJ73" s="557"/>
      <c r="EXK73" s="557"/>
      <c r="EXL73" s="557"/>
      <c r="EXM73" s="557"/>
      <c r="EXN73" s="557"/>
      <c r="EXO73" s="661"/>
      <c r="EXP73" s="556"/>
      <c r="EXQ73" s="557"/>
      <c r="EXR73" s="557"/>
      <c r="EXS73" s="557"/>
      <c r="EXT73" s="557"/>
      <c r="EXU73" s="557"/>
      <c r="EXV73" s="557"/>
      <c r="EXW73" s="557"/>
      <c r="EXX73" s="557"/>
      <c r="EXY73" s="557"/>
      <c r="EXZ73" s="557"/>
      <c r="EYA73" s="557"/>
      <c r="EYB73" s="557"/>
      <c r="EYC73" s="557"/>
      <c r="EYD73" s="557"/>
      <c r="EYE73" s="557"/>
      <c r="EYF73" s="557"/>
      <c r="EYG73" s="557"/>
      <c r="EYH73" s="557"/>
      <c r="EYI73" s="661"/>
      <c r="EYJ73" s="556"/>
      <c r="EYK73" s="557"/>
      <c r="EYL73" s="557"/>
      <c r="EYM73" s="557"/>
      <c r="EYN73" s="557"/>
      <c r="EYO73" s="557"/>
      <c r="EYP73" s="557"/>
      <c r="EYQ73" s="557"/>
      <c r="EYR73" s="557"/>
      <c r="EYS73" s="557"/>
      <c r="EYT73" s="557"/>
      <c r="EYU73" s="557"/>
      <c r="EYV73" s="557"/>
      <c r="EYW73" s="557"/>
      <c r="EYX73" s="557"/>
      <c r="EYY73" s="557"/>
      <c r="EYZ73" s="557"/>
      <c r="EZA73" s="557"/>
      <c r="EZB73" s="557"/>
      <c r="EZC73" s="661"/>
      <c r="EZD73" s="556"/>
      <c r="EZE73" s="557"/>
      <c r="EZF73" s="557"/>
      <c r="EZG73" s="557"/>
      <c r="EZH73" s="557"/>
      <c r="EZI73" s="557"/>
      <c r="EZJ73" s="557"/>
      <c r="EZK73" s="557"/>
      <c r="EZL73" s="557"/>
      <c r="EZM73" s="557"/>
      <c r="EZN73" s="557"/>
      <c r="EZO73" s="557"/>
      <c r="EZP73" s="557"/>
      <c r="EZQ73" s="557"/>
      <c r="EZR73" s="557"/>
      <c r="EZS73" s="557"/>
      <c r="EZT73" s="557"/>
      <c r="EZU73" s="557"/>
      <c r="EZV73" s="557"/>
      <c r="EZW73" s="661"/>
      <c r="EZX73" s="556"/>
      <c r="EZY73" s="557"/>
      <c r="EZZ73" s="557"/>
      <c r="FAA73" s="557"/>
      <c r="FAB73" s="557"/>
      <c r="FAC73" s="557"/>
      <c r="FAD73" s="557"/>
      <c r="FAE73" s="557"/>
      <c r="FAF73" s="557"/>
      <c r="FAG73" s="557"/>
      <c r="FAH73" s="557"/>
      <c r="FAI73" s="557"/>
      <c r="FAJ73" s="557"/>
      <c r="FAK73" s="557"/>
      <c r="FAL73" s="557"/>
      <c r="FAM73" s="557"/>
      <c r="FAN73" s="557"/>
      <c r="FAO73" s="557"/>
      <c r="FAP73" s="557"/>
      <c r="FAQ73" s="661"/>
      <c r="FAR73" s="556"/>
      <c r="FAS73" s="557"/>
      <c r="FAT73" s="557"/>
      <c r="FAU73" s="557"/>
      <c r="FAV73" s="557"/>
      <c r="FAW73" s="557"/>
      <c r="FAX73" s="557"/>
      <c r="FAY73" s="557"/>
      <c r="FAZ73" s="557"/>
      <c r="FBA73" s="557"/>
      <c r="FBB73" s="557"/>
      <c r="FBC73" s="557"/>
      <c r="FBD73" s="557"/>
      <c r="FBE73" s="557"/>
      <c r="FBF73" s="557"/>
      <c r="FBG73" s="557"/>
      <c r="FBH73" s="557"/>
      <c r="FBI73" s="557"/>
      <c r="FBJ73" s="557"/>
      <c r="FBK73" s="661"/>
      <c r="FBL73" s="556"/>
      <c r="FBM73" s="557"/>
      <c r="FBN73" s="557"/>
      <c r="FBO73" s="557"/>
      <c r="FBP73" s="557"/>
      <c r="FBQ73" s="557"/>
      <c r="FBR73" s="557"/>
      <c r="FBS73" s="557"/>
      <c r="FBT73" s="557"/>
      <c r="FBU73" s="557"/>
      <c r="FBV73" s="557"/>
      <c r="FBW73" s="557"/>
      <c r="FBX73" s="557"/>
      <c r="FBY73" s="557"/>
      <c r="FBZ73" s="557"/>
      <c r="FCA73" s="557"/>
      <c r="FCB73" s="557"/>
      <c r="FCC73" s="557"/>
      <c r="FCD73" s="557"/>
      <c r="FCE73" s="661"/>
      <c r="FCF73" s="556"/>
      <c r="FCG73" s="557"/>
      <c r="FCH73" s="557"/>
      <c r="FCI73" s="557"/>
      <c r="FCJ73" s="557"/>
      <c r="FCK73" s="557"/>
      <c r="FCL73" s="557"/>
      <c r="FCM73" s="557"/>
      <c r="FCN73" s="557"/>
      <c r="FCO73" s="557"/>
      <c r="FCP73" s="557"/>
      <c r="FCQ73" s="557"/>
      <c r="FCR73" s="557"/>
      <c r="FCS73" s="557"/>
      <c r="FCT73" s="557"/>
      <c r="FCU73" s="557"/>
      <c r="FCV73" s="557"/>
      <c r="FCW73" s="557"/>
      <c r="FCX73" s="557"/>
      <c r="FCY73" s="661"/>
      <c r="FCZ73" s="556"/>
      <c r="FDA73" s="557"/>
      <c r="FDB73" s="557"/>
      <c r="FDC73" s="557"/>
      <c r="FDD73" s="557"/>
      <c r="FDE73" s="557"/>
      <c r="FDF73" s="557"/>
      <c r="FDG73" s="557"/>
      <c r="FDH73" s="557"/>
      <c r="FDI73" s="557"/>
      <c r="FDJ73" s="557"/>
      <c r="FDK73" s="557"/>
      <c r="FDL73" s="557"/>
      <c r="FDM73" s="557"/>
      <c r="FDN73" s="557"/>
      <c r="FDO73" s="557"/>
      <c r="FDP73" s="557"/>
      <c r="FDQ73" s="557"/>
      <c r="FDR73" s="557"/>
      <c r="FDS73" s="661"/>
      <c r="FDT73" s="556"/>
      <c r="FDU73" s="557"/>
      <c r="FDV73" s="557"/>
      <c r="FDW73" s="557"/>
      <c r="FDX73" s="557"/>
      <c r="FDY73" s="557"/>
      <c r="FDZ73" s="557"/>
      <c r="FEA73" s="557"/>
      <c r="FEB73" s="557"/>
      <c r="FEC73" s="557"/>
      <c r="FED73" s="557"/>
      <c r="FEE73" s="557"/>
      <c r="FEF73" s="557"/>
      <c r="FEG73" s="557"/>
      <c r="FEH73" s="557"/>
      <c r="FEI73" s="557"/>
      <c r="FEJ73" s="557"/>
      <c r="FEK73" s="557"/>
      <c r="FEL73" s="557"/>
      <c r="FEM73" s="661"/>
      <c r="FEN73" s="556"/>
      <c r="FEO73" s="557"/>
      <c r="FEP73" s="557"/>
      <c r="FEQ73" s="557"/>
      <c r="FER73" s="557"/>
      <c r="FES73" s="557"/>
      <c r="FET73" s="557"/>
      <c r="FEU73" s="557"/>
      <c r="FEV73" s="557"/>
      <c r="FEW73" s="557"/>
      <c r="FEX73" s="557"/>
      <c r="FEY73" s="557"/>
      <c r="FEZ73" s="557"/>
      <c r="FFA73" s="557"/>
      <c r="FFB73" s="557"/>
      <c r="FFC73" s="557"/>
      <c r="FFD73" s="557"/>
      <c r="FFE73" s="557"/>
      <c r="FFF73" s="557"/>
      <c r="FFG73" s="661"/>
      <c r="FFH73" s="556"/>
      <c r="FFI73" s="557"/>
      <c r="FFJ73" s="557"/>
      <c r="FFK73" s="557"/>
      <c r="FFL73" s="557"/>
      <c r="FFM73" s="557"/>
      <c r="FFN73" s="557"/>
      <c r="FFO73" s="557"/>
      <c r="FFP73" s="557"/>
      <c r="FFQ73" s="557"/>
      <c r="FFR73" s="557"/>
      <c r="FFS73" s="557"/>
      <c r="FFT73" s="557"/>
      <c r="FFU73" s="557"/>
      <c r="FFV73" s="557"/>
      <c r="FFW73" s="557"/>
      <c r="FFX73" s="557"/>
      <c r="FFY73" s="557"/>
      <c r="FFZ73" s="557"/>
      <c r="FGA73" s="661"/>
      <c r="FGB73" s="556"/>
      <c r="FGC73" s="557"/>
      <c r="FGD73" s="557"/>
      <c r="FGE73" s="557"/>
      <c r="FGF73" s="557"/>
      <c r="FGG73" s="557"/>
      <c r="FGH73" s="557"/>
      <c r="FGI73" s="557"/>
      <c r="FGJ73" s="557"/>
      <c r="FGK73" s="557"/>
      <c r="FGL73" s="557"/>
      <c r="FGM73" s="557"/>
      <c r="FGN73" s="557"/>
      <c r="FGO73" s="557"/>
      <c r="FGP73" s="557"/>
      <c r="FGQ73" s="557"/>
      <c r="FGR73" s="557"/>
      <c r="FGS73" s="557"/>
      <c r="FGT73" s="557"/>
      <c r="FGU73" s="661"/>
      <c r="FGV73" s="556"/>
      <c r="FGW73" s="557"/>
      <c r="FGX73" s="557"/>
      <c r="FGY73" s="557"/>
      <c r="FGZ73" s="557"/>
      <c r="FHA73" s="557"/>
      <c r="FHB73" s="557"/>
      <c r="FHC73" s="557"/>
      <c r="FHD73" s="557"/>
      <c r="FHE73" s="557"/>
      <c r="FHF73" s="557"/>
      <c r="FHG73" s="557"/>
      <c r="FHH73" s="557"/>
      <c r="FHI73" s="557"/>
      <c r="FHJ73" s="557"/>
      <c r="FHK73" s="557"/>
      <c r="FHL73" s="557"/>
      <c r="FHM73" s="557"/>
      <c r="FHN73" s="557"/>
      <c r="FHO73" s="661"/>
      <c r="FHP73" s="556"/>
      <c r="FHQ73" s="557"/>
      <c r="FHR73" s="557"/>
      <c r="FHS73" s="557"/>
      <c r="FHT73" s="557"/>
      <c r="FHU73" s="557"/>
      <c r="FHV73" s="557"/>
      <c r="FHW73" s="557"/>
      <c r="FHX73" s="557"/>
      <c r="FHY73" s="557"/>
      <c r="FHZ73" s="557"/>
      <c r="FIA73" s="557"/>
      <c r="FIB73" s="557"/>
      <c r="FIC73" s="557"/>
      <c r="FID73" s="557"/>
      <c r="FIE73" s="557"/>
      <c r="FIF73" s="557"/>
      <c r="FIG73" s="557"/>
      <c r="FIH73" s="557"/>
      <c r="FII73" s="661"/>
      <c r="FIJ73" s="556"/>
      <c r="FIK73" s="557"/>
      <c r="FIL73" s="557"/>
      <c r="FIM73" s="557"/>
      <c r="FIN73" s="557"/>
      <c r="FIO73" s="557"/>
      <c r="FIP73" s="557"/>
      <c r="FIQ73" s="557"/>
      <c r="FIR73" s="557"/>
      <c r="FIS73" s="557"/>
      <c r="FIT73" s="557"/>
      <c r="FIU73" s="557"/>
      <c r="FIV73" s="557"/>
      <c r="FIW73" s="557"/>
      <c r="FIX73" s="557"/>
      <c r="FIY73" s="557"/>
      <c r="FIZ73" s="557"/>
      <c r="FJA73" s="557"/>
      <c r="FJB73" s="557"/>
      <c r="FJC73" s="661"/>
      <c r="FJD73" s="556"/>
      <c r="FJE73" s="557"/>
      <c r="FJF73" s="557"/>
      <c r="FJG73" s="557"/>
      <c r="FJH73" s="557"/>
      <c r="FJI73" s="557"/>
      <c r="FJJ73" s="557"/>
      <c r="FJK73" s="557"/>
      <c r="FJL73" s="557"/>
      <c r="FJM73" s="557"/>
      <c r="FJN73" s="557"/>
      <c r="FJO73" s="557"/>
      <c r="FJP73" s="557"/>
      <c r="FJQ73" s="557"/>
      <c r="FJR73" s="557"/>
      <c r="FJS73" s="557"/>
      <c r="FJT73" s="557"/>
      <c r="FJU73" s="557"/>
      <c r="FJV73" s="557"/>
      <c r="FJW73" s="661"/>
      <c r="FJX73" s="556"/>
      <c r="FJY73" s="557"/>
      <c r="FJZ73" s="557"/>
      <c r="FKA73" s="557"/>
      <c r="FKB73" s="557"/>
      <c r="FKC73" s="557"/>
      <c r="FKD73" s="557"/>
      <c r="FKE73" s="557"/>
      <c r="FKF73" s="557"/>
      <c r="FKG73" s="557"/>
      <c r="FKH73" s="557"/>
      <c r="FKI73" s="557"/>
      <c r="FKJ73" s="557"/>
      <c r="FKK73" s="557"/>
      <c r="FKL73" s="557"/>
      <c r="FKM73" s="557"/>
      <c r="FKN73" s="557"/>
      <c r="FKO73" s="557"/>
      <c r="FKP73" s="557"/>
      <c r="FKQ73" s="661"/>
      <c r="FKR73" s="556"/>
      <c r="FKS73" s="557"/>
      <c r="FKT73" s="557"/>
      <c r="FKU73" s="557"/>
      <c r="FKV73" s="557"/>
      <c r="FKW73" s="557"/>
      <c r="FKX73" s="557"/>
      <c r="FKY73" s="557"/>
      <c r="FKZ73" s="557"/>
      <c r="FLA73" s="557"/>
      <c r="FLB73" s="557"/>
      <c r="FLC73" s="557"/>
      <c r="FLD73" s="557"/>
      <c r="FLE73" s="557"/>
      <c r="FLF73" s="557"/>
      <c r="FLG73" s="557"/>
      <c r="FLH73" s="557"/>
      <c r="FLI73" s="557"/>
      <c r="FLJ73" s="557"/>
      <c r="FLK73" s="661"/>
      <c r="FLL73" s="556"/>
      <c r="FLM73" s="557"/>
      <c r="FLN73" s="557"/>
      <c r="FLO73" s="557"/>
      <c r="FLP73" s="557"/>
      <c r="FLQ73" s="557"/>
      <c r="FLR73" s="557"/>
      <c r="FLS73" s="557"/>
      <c r="FLT73" s="557"/>
      <c r="FLU73" s="557"/>
      <c r="FLV73" s="557"/>
      <c r="FLW73" s="557"/>
      <c r="FLX73" s="557"/>
      <c r="FLY73" s="557"/>
      <c r="FLZ73" s="557"/>
      <c r="FMA73" s="557"/>
      <c r="FMB73" s="557"/>
      <c r="FMC73" s="557"/>
      <c r="FMD73" s="557"/>
      <c r="FME73" s="661"/>
      <c r="FMF73" s="556"/>
      <c r="FMG73" s="557"/>
      <c r="FMH73" s="557"/>
      <c r="FMI73" s="557"/>
      <c r="FMJ73" s="557"/>
      <c r="FMK73" s="557"/>
      <c r="FML73" s="557"/>
      <c r="FMM73" s="557"/>
      <c r="FMN73" s="557"/>
      <c r="FMO73" s="557"/>
      <c r="FMP73" s="557"/>
      <c r="FMQ73" s="557"/>
      <c r="FMR73" s="557"/>
      <c r="FMS73" s="557"/>
      <c r="FMT73" s="557"/>
      <c r="FMU73" s="557"/>
      <c r="FMV73" s="557"/>
      <c r="FMW73" s="557"/>
      <c r="FMX73" s="557"/>
      <c r="FMY73" s="661"/>
      <c r="FMZ73" s="556"/>
      <c r="FNA73" s="557"/>
      <c r="FNB73" s="557"/>
      <c r="FNC73" s="557"/>
      <c r="FND73" s="557"/>
      <c r="FNE73" s="557"/>
      <c r="FNF73" s="557"/>
      <c r="FNG73" s="557"/>
      <c r="FNH73" s="557"/>
      <c r="FNI73" s="557"/>
      <c r="FNJ73" s="557"/>
      <c r="FNK73" s="557"/>
      <c r="FNL73" s="557"/>
      <c r="FNM73" s="557"/>
      <c r="FNN73" s="557"/>
      <c r="FNO73" s="557"/>
      <c r="FNP73" s="557"/>
      <c r="FNQ73" s="557"/>
      <c r="FNR73" s="557"/>
      <c r="FNS73" s="661"/>
      <c r="FNT73" s="556"/>
      <c r="FNU73" s="557"/>
      <c r="FNV73" s="557"/>
      <c r="FNW73" s="557"/>
      <c r="FNX73" s="557"/>
      <c r="FNY73" s="557"/>
      <c r="FNZ73" s="557"/>
      <c r="FOA73" s="557"/>
      <c r="FOB73" s="557"/>
      <c r="FOC73" s="557"/>
      <c r="FOD73" s="557"/>
      <c r="FOE73" s="557"/>
      <c r="FOF73" s="557"/>
      <c r="FOG73" s="557"/>
      <c r="FOH73" s="557"/>
      <c r="FOI73" s="557"/>
      <c r="FOJ73" s="557"/>
      <c r="FOK73" s="557"/>
      <c r="FOL73" s="557"/>
      <c r="FOM73" s="661"/>
      <c r="FON73" s="556"/>
      <c r="FOO73" s="557"/>
      <c r="FOP73" s="557"/>
      <c r="FOQ73" s="557"/>
      <c r="FOR73" s="557"/>
      <c r="FOS73" s="557"/>
      <c r="FOT73" s="557"/>
      <c r="FOU73" s="557"/>
      <c r="FOV73" s="557"/>
      <c r="FOW73" s="557"/>
      <c r="FOX73" s="557"/>
      <c r="FOY73" s="557"/>
      <c r="FOZ73" s="557"/>
      <c r="FPA73" s="557"/>
      <c r="FPB73" s="557"/>
      <c r="FPC73" s="557"/>
      <c r="FPD73" s="557"/>
      <c r="FPE73" s="557"/>
      <c r="FPF73" s="557"/>
      <c r="FPG73" s="661"/>
      <c r="FPH73" s="556"/>
      <c r="FPI73" s="557"/>
      <c r="FPJ73" s="557"/>
      <c r="FPK73" s="557"/>
      <c r="FPL73" s="557"/>
      <c r="FPM73" s="557"/>
      <c r="FPN73" s="557"/>
      <c r="FPO73" s="557"/>
      <c r="FPP73" s="557"/>
      <c r="FPQ73" s="557"/>
      <c r="FPR73" s="557"/>
      <c r="FPS73" s="557"/>
      <c r="FPT73" s="557"/>
      <c r="FPU73" s="557"/>
      <c r="FPV73" s="557"/>
      <c r="FPW73" s="557"/>
      <c r="FPX73" s="557"/>
      <c r="FPY73" s="557"/>
      <c r="FPZ73" s="557"/>
      <c r="FQA73" s="661"/>
      <c r="FQB73" s="556"/>
      <c r="FQC73" s="557"/>
      <c r="FQD73" s="557"/>
      <c r="FQE73" s="557"/>
      <c r="FQF73" s="557"/>
      <c r="FQG73" s="557"/>
      <c r="FQH73" s="557"/>
      <c r="FQI73" s="557"/>
      <c r="FQJ73" s="557"/>
      <c r="FQK73" s="557"/>
      <c r="FQL73" s="557"/>
      <c r="FQM73" s="557"/>
      <c r="FQN73" s="557"/>
      <c r="FQO73" s="557"/>
      <c r="FQP73" s="557"/>
      <c r="FQQ73" s="557"/>
      <c r="FQR73" s="557"/>
      <c r="FQS73" s="557"/>
      <c r="FQT73" s="557"/>
      <c r="FQU73" s="661"/>
      <c r="FQV73" s="556"/>
      <c r="FQW73" s="557"/>
      <c r="FQX73" s="557"/>
      <c r="FQY73" s="557"/>
      <c r="FQZ73" s="557"/>
      <c r="FRA73" s="557"/>
      <c r="FRB73" s="557"/>
      <c r="FRC73" s="557"/>
      <c r="FRD73" s="557"/>
      <c r="FRE73" s="557"/>
      <c r="FRF73" s="557"/>
      <c r="FRG73" s="557"/>
      <c r="FRH73" s="557"/>
      <c r="FRI73" s="557"/>
      <c r="FRJ73" s="557"/>
      <c r="FRK73" s="557"/>
      <c r="FRL73" s="557"/>
      <c r="FRM73" s="557"/>
      <c r="FRN73" s="557"/>
      <c r="FRO73" s="661"/>
      <c r="FRP73" s="556"/>
      <c r="FRQ73" s="557"/>
      <c r="FRR73" s="557"/>
      <c r="FRS73" s="557"/>
      <c r="FRT73" s="557"/>
      <c r="FRU73" s="557"/>
      <c r="FRV73" s="557"/>
      <c r="FRW73" s="557"/>
      <c r="FRX73" s="557"/>
      <c r="FRY73" s="557"/>
      <c r="FRZ73" s="557"/>
      <c r="FSA73" s="557"/>
      <c r="FSB73" s="557"/>
      <c r="FSC73" s="557"/>
      <c r="FSD73" s="557"/>
      <c r="FSE73" s="557"/>
      <c r="FSF73" s="557"/>
      <c r="FSG73" s="557"/>
      <c r="FSH73" s="557"/>
      <c r="FSI73" s="661"/>
      <c r="FSJ73" s="556"/>
      <c r="FSK73" s="557"/>
      <c r="FSL73" s="557"/>
      <c r="FSM73" s="557"/>
      <c r="FSN73" s="557"/>
      <c r="FSO73" s="557"/>
      <c r="FSP73" s="557"/>
      <c r="FSQ73" s="557"/>
      <c r="FSR73" s="557"/>
      <c r="FSS73" s="557"/>
      <c r="FST73" s="557"/>
      <c r="FSU73" s="557"/>
      <c r="FSV73" s="557"/>
      <c r="FSW73" s="557"/>
      <c r="FSX73" s="557"/>
      <c r="FSY73" s="557"/>
      <c r="FSZ73" s="557"/>
      <c r="FTA73" s="557"/>
      <c r="FTB73" s="557"/>
      <c r="FTC73" s="661"/>
      <c r="FTD73" s="556"/>
      <c r="FTE73" s="557"/>
      <c r="FTF73" s="557"/>
      <c r="FTG73" s="557"/>
      <c r="FTH73" s="557"/>
      <c r="FTI73" s="557"/>
      <c r="FTJ73" s="557"/>
      <c r="FTK73" s="557"/>
      <c r="FTL73" s="557"/>
      <c r="FTM73" s="557"/>
      <c r="FTN73" s="557"/>
      <c r="FTO73" s="557"/>
      <c r="FTP73" s="557"/>
      <c r="FTQ73" s="557"/>
      <c r="FTR73" s="557"/>
      <c r="FTS73" s="557"/>
      <c r="FTT73" s="557"/>
      <c r="FTU73" s="557"/>
      <c r="FTV73" s="557"/>
      <c r="FTW73" s="661"/>
      <c r="FTX73" s="556"/>
      <c r="FTY73" s="557"/>
      <c r="FTZ73" s="557"/>
      <c r="FUA73" s="557"/>
      <c r="FUB73" s="557"/>
      <c r="FUC73" s="557"/>
      <c r="FUD73" s="557"/>
      <c r="FUE73" s="557"/>
      <c r="FUF73" s="557"/>
      <c r="FUG73" s="557"/>
      <c r="FUH73" s="557"/>
      <c r="FUI73" s="557"/>
      <c r="FUJ73" s="557"/>
      <c r="FUK73" s="557"/>
      <c r="FUL73" s="557"/>
      <c r="FUM73" s="557"/>
      <c r="FUN73" s="557"/>
      <c r="FUO73" s="557"/>
      <c r="FUP73" s="557"/>
      <c r="FUQ73" s="661"/>
      <c r="FUR73" s="556"/>
      <c r="FUS73" s="557"/>
      <c r="FUT73" s="557"/>
      <c r="FUU73" s="557"/>
      <c r="FUV73" s="557"/>
      <c r="FUW73" s="557"/>
      <c r="FUX73" s="557"/>
      <c r="FUY73" s="557"/>
      <c r="FUZ73" s="557"/>
      <c r="FVA73" s="557"/>
      <c r="FVB73" s="557"/>
      <c r="FVC73" s="557"/>
      <c r="FVD73" s="557"/>
      <c r="FVE73" s="557"/>
      <c r="FVF73" s="557"/>
      <c r="FVG73" s="557"/>
      <c r="FVH73" s="557"/>
      <c r="FVI73" s="557"/>
      <c r="FVJ73" s="557"/>
      <c r="FVK73" s="661"/>
      <c r="FVL73" s="556"/>
      <c r="FVM73" s="557"/>
      <c r="FVN73" s="557"/>
      <c r="FVO73" s="557"/>
      <c r="FVP73" s="557"/>
      <c r="FVQ73" s="557"/>
      <c r="FVR73" s="557"/>
      <c r="FVS73" s="557"/>
      <c r="FVT73" s="557"/>
      <c r="FVU73" s="557"/>
      <c r="FVV73" s="557"/>
      <c r="FVW73" s="557"/>
      <c r="FVX73" s="557"/>
      <c r="FVY73" s="557"/>
      <c r="FVZ73" s="557"/>
      <c r="FWA73" s="557"/>
      <c r="FWB73" s="557"/>
      <c r="FWC73" s="557"/>
      <c r="FWD73" s="557"/>
      <c r="FWE73" s="661"/>
      <c r="FWF73" s="556"/>
      <c r="FWG73" s="557"/>
      <c r="FWH73" s="557"/>
      <c r="FWI73" s="557"/>
      <c r="FWJ73" s="557"/>
      <c r="FWK73" s="557"/>
      <c r="FWL73" s="557"/>
      <c r="FWM73" s="557"/>
      <c r="FWN73" s="557"/>
      <c r="FWO73" s="557"/>
      <c r="FWP73" s="557"/>
      <c r="FWQ73" s="557"/>
      <c r="FWR73" s="557"/>
      <c r="FWS73" s="557"/>
      <c r="FWT73" s="557"/>
      <c r="FWU73" s="557"/>
      <c r="FWV73" s="557"/>
      <c r="FWW73" s="557"/>
      <c r="FWX73" s="557"/>
      <c r="FWY73" s="661"/>
      <c r="FWZ73" s="556"/>
      <c r="FXA73" s="557"/>
      <c r="FXB73" s="557"/>
      <c r="FXC73" s="557"/>
      <c r="FXD73" s="557"/>
      <c r="FXE73" s="557"/>
      <c r="FXF73" s="557"/>
      <c r="FXG73" s="557"/>
      <c r="FXH73" s="557"/>
      <c r="FXI73" s="557"/>
      <c r="FXJ73" s="557"/>
      <c r="FXK73" s="557"/>
      <c r="FXL73" s="557"/>
      <c r="FXM73" s="557"/>
      <c r="FXN73" s="557"/>
      <c r="FXO73" s="557"/>
      <c r="FXP73" s="557"/>
      <c r="FXQ73" s="557"/>
      <c r="FXR73" s="557"/>
      <c r="FXS73" s="661"/>
      <c r="FXT73" s="556"/>
      <c r="FXU73" s="557"/>
      <c r="FXV73" s="557"/>
      <c r="FXW73" s="557"/>
      <c r="FXX73" s="557"/>
      <c r="FXY73" s="557"/>
      <c r="FXZ73" s="557"/>
      <c r="FYA73" s="557"/>
      <c r="FYB73" s="557"/>
      <c r="FYC73" s="557"/>
      <c r="FYD73" s="557"/>
      <c r="FYE73" s="557"/>
      <c r="FYF73" s="557"/>
      <c r="FYG73" s="557"/>
      <c r="FYH73" s="557"/>
      <c r="FYI73" s="557"/>
      <c r="FYJ73" s="557"/>
      <c r="FYK73" s="557"/>
      <c r="FYL73" s="557"/>
      <c r="FYM73" s="661"/>
      <c r="FYN73" s="556"/>
      <c r="FYO73" s="557"/>
      <c r="FYP73" s="557"/>
      <c r="FYQ73" s="557"/>
      <c r="FYR73" s="557"/>
      <c r="FYS73" s="557"/>
      <c r="FYT73" s="557"/>
      <c r="FYU73" s="557"/>
      <c r="FYV73" s="557"/>
      <c r="FYW73" s="557"/>
      <c r="FYX73" s="557"/>
      <c r="FYY73" s="557"/>
      <c r="FYZ73" s="557"/>
      <c r="FZA73" s="557"/>
      <c r="FZB73" s="557"/>
      <c r="FZC73" s="557"/>
      <c r="FZD73" s="557"/>
      <c r="FZE73" s="557"/>
      <c r="FZF73" s="557"/>
      <c r="FZG73" s="661"/>
      <c r="FZH73" s="556"/>
      <c r="FZI73" s="557"/>
      <c r="FZJ73" s="557"/>
      <c r="FZK73" s="557"/>
      <c r="FZL73" s="557"/>
      <c r="FZM73" s="557"/>
      <c r="FZN73" s="557"/>
      <c r="FZO73" s="557"/>
      <c r="FZP73" s="557"/>
      <c r="FZQ73" s="557"/>
      <c r="FZR73" s="557"/>
      <c r="FZS73" s="557"/>
      <c r="FZT73" s="557"/>
      <c r="FZU73" s="557"/>
      <c r="FZV73" s="557"/>
      <c r="FZW73" s="557"/>
      <c r="FZX73" s="557"/>
      <c r="FZY73" s="557"/>
      <c r="FZZ73" s="557"/>
      <c r="GAA73" s="661"/>
      <c r="GAB73" s="556"/>
      <c r="GAC73" s="557"/>
      <c r="GAD73" s="557"/>
      <c r="GAE73" s="557"/>
      <c r="GAF73" s="557"/>
      <c r="GAG73" s="557"/>
      <c r="GAH73" s="557"/>
      <c r="GAI73" s="557"/>
      <c r="GAJ73" s="557"/>
      <c r="GAK73" s="557"/>
      <c r="GAL73" s="557"/>
      <c r="GAM73" s="557"/>
      <c r="GAN73" s="557"/>
      <c r="GAO73" s="557"/>
      <c r="GAP73" s="557"/>
      <c r="GAQ73" s="557"/>
      <c r="GAR73" s="557"/>
      <c r="GAS73" s="557"/>
      <c r="GAT73" s="557"/>
      <c r="GAU73" s="661"/>
      <c r="GAV73" s="556"/>
      <c r="GAW73" s="557"/>
      <c r="GAX73" s="557"/>
      <c r="GAY73" s="557"/>
      <c r="GAZ73" s="557"/>
      <c r="GBA73" s="557"/>
      <c r="GBB73" s="557"/>
      <c r="GBC73" s="557"/>
      <c r="GBD73" s="557"/>
      <c r="GBE73" s="557"/>
      <c r="GBF73" s="557"/>
      <c r="GBG73" s="557"/>
      <c r="GBH73" s="557"/>
      <c r="GBI73" s="557"/>
      <c r="GBJ73" s="557"/>
      <c r="GBK73" s="557"/>
      <c r="GBL73" s="557"/>
      <c r="GBM73" s="557"/>
      <c r="GBN73" s="557"/>
      <c r="GBO73" s="661"/>
      <c r="GBP73" s="556"/>
      <c r="GBQ73" s="557"/>
      <c r="GBR73" s="557"/>
      <c r="GBS73" s="557"/>
      <c r="GBT73" s="557"/>
      <c r="GBU73" s="557"/>
      <c r="GBV73" s="557"/>
      <c r="GBW73" s="557"/>
      <c r="GBX73" s="557"/>
      <c r="GBY73" s="557"/>
      <c r="GBZ73" s="557"/>
      <c r="GCA73" s="557"/>
      <c r="GCB73" s="557"/>
      <c r="GCC73" s="557"/>
      <c r="GCD73" s="557"/>
      <c r="GCE73" s="557"/>
      <c r="GCF73" s="557"/>
      <c r="GCG73" s="557"/>
      <c r="GCH73" s="557"/>
      <c r="GCI73" s="661"/>
      <c r="GCJ73" s="556"/>
      <c r="GCK73" s="557"/>
      <c r="GCL73" s="557"/>
      <c r="GCM73" s="557"/>
      <c r="GCN73" s="557"/>
      <c r="GCO73" s="557"/>
      <c r="GCP73" s="557"/>
      <c r="GCQ73" s="557"/>
      <c r="GCR73" s="557"/>
      <c r="GCS73" s="557"/>
      <c r="GCT73" s="557"/>
      <c r="GCU73" s="557"/>
      <c r="GCV73" s="557"/>
      <c r="GCW73" s="557"/>
      <c r="GCX73" s="557"/>
      <c r="GCY73" s="557"/>
      <c r="GCZ73" s="557"/>
      <c r="GDA73" s="557"/>
      <c r="GDB73" s="557"/>
      <c r="GDC73" s="661"/>
      <c r="GDD73" s="556"/>
      <c r="GDE73" s="557"/>
      <c r="GDF73" s="557"/>
      <c r="GDG73" s="557"/>
      <c r="GDH73" s="557"/>
      <c r="GDI73" s="557"/>
      <c r="GDJ73" s="557"/>
      <c r="GDK73" s="557"/>
      <c r="GDL73" s="557"/>
      <c r="GDM73" s="557"/>
      <c r="GDN73" s="557"/>
      <c r="GDO73" s="557"/>
      <c r="GDP73" s="557"/>
      <c r="GDQ73" s="557"/>
      <c r="GDR73" s="557"/>
      <c r="GDS73" s="557"/>
      <c r="GDT73" s="557"/>
      <c r="GDU73" s="557"/>
      <c r="GDV73" s="557"/>
      <c r="GDW73" s="661"/>
      <c r="GDX73" s="556"/>
      <c r="GDY73" s="557"/>
      <c r="GDZ73" s="557"/>
      <c r="GEA73" s="557"/>
      <c r="GEB73" s="557"/>
      <c r="GEC73" s="557"/>
      <c r="GED73" s="557"/>
      <c r="GEE73" s="557"/>
      <c r="GEF73" s="557"/>
      <c r="GEG73" s="557"/>
      <c r="GEH73" s="557"/>
      <c r="GEI73" s="557"/>
      <c r="GEJ73" s="557"/>
      <c r="GEK73" s="557"/>
      <c r="GEL73" s="557"/>
      <c r="GEM73" s="557"/>
      <c r="GEN73" s="557"/>
      <c r="GEO73" s="557"/>
      <c r="GEP73" s="557"/>
      <c r="GEQ73" s="661"/>
      <c r="GER73" s="556"/>
      <c r="GES73" s="557"/>
      <c r="GET73" s="557"/>
      <c r="GEU73" s="557"/>
      <c r="GEV73" s="557"/>
      <c r="GEW73" s="557"/>
      <c r="GEX73" s="557"/>
      <c r="GEY73" s="557"/>
      <c r="GEZ73" s="557"/>
      <c r="GFA73" s="557"/>
      <c r="GFB73" s="557"/>
      <c r="GFC73" s="557"/>
      <c r="GFD73" s="557"/>
      <c r="GFE73" s="557"/>
      <c r="GFF73" s="557"/>
      <c r="GFG73" s="557"/>
      <c r="GFH73" s="557"/>
      <c r="GFI73" s="557"/>
      <c r="GFJ73" s="557"/>
      <c r="GFK73" s="661"/>
      <c r="GFL73" s="556"/>
      <c r="GFM73" s="557"/>
      <c r="GFN73" s="557"/>
      <c r="GFO73" s="557"/>
      <c r="GFP73" s="557"/>
      <c r="GFQ73" s="557"/>
      <c r="GFR73" s="557"/>
      <c r="GFS73" s="557"/>
      <c r="GFT73" s="557"/>
      <c r="GFU73" s="557"/>
      <c r="GFV73" s="557"/>
      <c r="GFW73" s="557"/>
      <c r="GFX73" s="557"/>
      <c r="GFY73" s="557"/>
      <c r="GFZ73" s="557"/>
      <c r="GGA73" s="557"/>
      <c r="GGB73" s="557"/>
      <c r="GGC73" s="557"/>
      <c r="GGD73" s="557"/>
      <c r="GGE73" s="661"/>
      <c r="GGF73" s="556"/>
      <c r="GGG73" s="557"/>
      <c r="GGH73" s="557"/>
      <c r="GGI73" s="557"/>
      <c r="GGJ73" s="557"/>
      <c r="GGK73" s="557"/>
      <c r="GGL73" s="557"/>
      <c r="GGM73" s="557"/>
      <c r="GGN73" s="557"/>
      <c r="GGO73" s="557"/>
      <c r="GGP73" s="557"/>
      <c r="GGQ73" s="557"/>
      <c r="GGR73" s="557"/>
      <c r="GGS73" s="557"/>
      <c r="GGT73" s="557"/>
      <c r="GGU73" s="557"/>
      <c r="GGV73" s="557"/>
      <c r="GGW73" s="557"/>
      <c r="GGX73" s="557"/>
      <c r="GGY73" s="661"/>
      <c r="GGZ73" s="556"/>
      <c r="GHA73" s="557"/>
      <c r="GHB73" s="557"/>
      <c r="GHC73" s="557"/>
      <c r="GHD73" s="557"/>
      <c r="GHE73" s="557"/>
      <c r="GHF73" s="557"/>
      <c r="GHG73" s="557"/>
      <c r="GHH73" s="557"/>
      <c r="GHI73" s="557"/>
      <c r="GHJ73" s="557"/>
      <c r="GHK73" s="557"/>
      <c r="GHL73" s="557"/>
      <c r="GHM73" s="557"/>
      <c r="GHN73" s="557"/>
      <c r="GHO73" s="557"/>
      <c r="GHP73" s="557"/>
      <c r="GHQ73" s="557"/>
      <c r="GHR73" s="557"/>
      <c r="GHS73" s="661"/>
      <c r="GHT73" s="556"/>
      <c r="GHU73" s="557"/>
      <c r="GHV73" s="557"/>
      <c r="GHW73" s="557"/>
      <c r="GHX73" s="557"/>
      <c r="GHY73" s="557"/>
      <c r="GHZ73" s="557"/>
      <c r="GIA73" s="557"/>
      <c r="GIB73" s="557"/>
      <c r="GIC73" s="557"/>
      <c r="GID73" s="557"/>
      <c r="GIE73" s="557"/>
      <c r="GIF73" s="557"/>
      <c r="GIG73" s="557"/>
      <c r="GIH73" s="557"/>
      <c r="GII73" s="557"/>
      <c r="GIJ73" s="557"/>
      <c r="GIK73" s="557"/>
      <c r="GIL73" s="557"/>
      <c r="GIM73" s="661"/>
      <c r="GIN73" s="556"/>
      <c r="GIO73" s="557"/>
      <c r="GIP73" s="557"/>
      <c r="GIQ73" s="557"/>
      <c r="GIR73" s="557"/>
      <c r="GIS73" s="557"/>
      <c r="GIT73" s="557"/>
      <c r="GIU73" s="557"/>
      <c r="GIV73" s="557"/>
      <c r="GIW73" s="557"/>
      <c r="GIX73" s="557"/>
      <c r="GIY73" s="557"/>
      <c r="GIZ73" s="557"/>
      <c r="GJA73" s="557"/>
      <c r="GJB73" s="557"/>
      <c r="GJC73" s="557"/>
      <c r="GJD73" s="557"/>
      <c r="GJE73" s="557"/>
      <c r="GJF73" s="557"/>
      <c r="GJG73" s="661"/>
      <c r="GJH73" s="556"/>
      <c r="GJI73" s="557"/>
      <c r="GJJ73" s="557"/>
      <c r="GJK73" s="557"/>
      <c r="GJL73" s="557"/>
      <c r="GJM73" s="557"/>
      <c r="GJN73" s="557"/>
      <c r="GJO73" s="557"/>
      <c r="GJP73" s="557"/>
      <c r="GJQ73" s="557"/>
      <c r="GJR73" s="557"/>
      <c r="GJS73" s="557"/>
      <c r="GJT73" s="557"/>
      <c r="GJU73" s="557"/>
      <c r="GJV73" s="557"/>
      <c r="GJW73" s="557"/>
      <c r="GJX73" s="557"/>
      <c r="GJY73" s="557"/>
      <c r="GJZ73" s="557"/>
      <c r="GKA73" s="661"/>
      <c r="GKB73" s="556"/>
      <c r="GKC73" s="557"/>
      <c r="GKD73" s="557"/>
      <c r="GKE73" s="557"/>
      <c r="GKF73" s="557"/>
      <c r="GKG73" s="557"/>
      <c r="GKH73" s="557"/>
      <c r="GKI73" s="557"/>
      <c r="GKJ73" s="557"/>
      <c r="GKK73" s="557"/>
      <c r="GKL73" s="557"/>
      <c r="GKM73" s="557"/>
      <c r="GKN73" s="557"/>
      <c r="GKO73" s="557"/>
      <c r="GKP73" s="557"/>
      <c r="GKQ73" s="557"/>
      <c r="GKR73" s="557"/>
      <c r="GKS73" s="557"/>
      <c r="GKT73" s="557"/>
      <c r="GKU73" s="661"/>
      <c r="GKV73" s="556"/>
      <c r="GKW73" s="557"/>
      <c r="GKX73" s="557"/>
      <c r="GKY73" s="557"/>
      <c r="GKZ73" s="557"/>
      <c r="GLA73" s="557"/>
      <c r="GLB73" s="557"/>
      <c r="GLC73" s="557"/>
      <c r="GLD73" s="557"/>
      <c r="GLE73" s="557"/>
      <c r="GLF73" s="557"/>
      <c r="GLG73" s="557"/>
      <c r="GLH73" s="557"/>
      <c r="GLI73" s="557"/>
      <c r="GLJ73" s="557"/>
      <c r="GLK73" s="557"/>
      <c r="GLL73" s="557"/>
      <c r="GLM73" s="557"/>
      <c r="GLN73" s="557"/>
      <c r="GLO73" s="661"/>
      <c r="GLP73" s="556"/>
      <c r="GLQ73" s="557"/>
      <c r="GLR73" s="557"/>
      <c r="GLS73" s="557"/>
      <c r="GLT73" s="557"/>
      <c r="GLU73" s="557"/>
      <c r="GLV73" s="557"/>
      <c r="GLW73" s="557"/>
      <c r="GLX73" s="557"/>
      <c r="GLY73" s="557"/>
      <c r="GLZ73" s="557"/>
      <c r="GMA73" s="557"/>
      <c r="GMB73" s="557"/>
      <c r="GMC73" s="557"/>
      <c r="GMD73" s="557"/>
      <c r="GME73" s="557"/>
      <c r="GMF73" s="557"/>
      <c r="GMG73" s="557"/>
      <c r="GMH73" s="557"/>
      <c r="GMI73" s="661"/>
      <c r="GMJ73" s="556"/>
      <c r="GMK73" s="557"/>
      <c r="GML73" s="557"/>
      <c r="GMM73" s="557"/>
      <c r="GMN73" s="557"/>
      <c r="GMO73" s="557"/>
      <c r="GMP73" s="557"/>
      <c r="GMQ73" s="557"/>
      <c r="GMR73" s="557"/>
      <c r="GMS73" s="557"/>
      <c r="GMT73" s="557"/>
      <c r="GMU73" s="557"/>
      <c r="GMV73" s="557"/>
      <c r="GMW73" s="557"/>
      <c r="GMX73" s="557"/>
      <c r="GMY73" s="557"/>
      <c r="GMZ73" s="557"/>
      <c r="GNA73" s="557"/>
      <c r="GNB73" s="557"/>
      <c r="GNC73" s="661"/>
      <c r="GND73" s="556"/>
      <c r="GNE73" s="557"/>
      <c r="GNF73" s="557"/>
      <c r="GNG73" s="557"/>
      <c r="GNH73" s="557"/>
      <c r="GNI73" s="557"/>
      <c r="GNJ73" s="557"/>
      <c r="GNK73" s="557"/>
      <c r="GNL73" s="557"/>
      <c r="GNM73" s="557"/>
      <c r="GNN73" s="557"/>
      <c r="GNO73" s="557"/>
      <c r="GNP73" s="557"/>
      <c r="GNQ73" s="557"/>
      <c r="GNR73" s="557"/>
      <c r="GNS73" s="557"/>
      <c r="GNT73" s="557"/>
      <c r="GNU73" s="557"/>
      <c r="GNV73" s="557"/>
      <c r="GNW73" s="661"/>
      <c r="GNX73" s="556"/>
      <c r="GNY73" s="557"/>
      <c r="GNZ73" s="557"/>
      <c r="GOA73" s="557"/>
      <c r="GOB73" s="557"/>
      <c r="GOC73" s="557"/>
      <c r="GOD73" s="557"/>
      <c r="GOE73" s="557"/>
      <c r="GOF73" s="557"/>
      <c r="GOG73" s="557"/>
      <c r="GOH73" s="557"/>
      <c r="GOI73" s="557"/>
      <c r="GOJ73" s="557"/>
      <c r="GOK73" s="557"/>
      <c r="GOL73" s="557"/>
      <c r="GOM73" s="557"/>
      <c r="GON73" s="557"/>
      <c r="GOO73" s="557"/>
      <c r="GOP73" s="557"/>
      <c r="GOQ73" s="661"/>
      <c r="GOR73" s="556"/>
      <c r="GOS73" s="557"/>
      <c r="GOT73" s="557"/>
      <c r="GOU73" s="557"/>
      <c r="GOV73" s="557"/>
      <c r="GOW73" s="557"/>
      <c r="GOX73" s="557"/>
      <c r="GOY73" s="557"/>
      <c r="GOZ73" s="557"/>
      <c r="GPA73" s="557"/>
      <c r="GPB73" s="557"/>
      <c r="GPC73" s="557"/>
      <c r="GPD73" s="557"/>
      <c r="GPE73" s="557"/>
      <c r="GPF73" s="557"/>
      <c r="GPG73" s="557"/>
      <c r="GPH73" s="557"/>
      <c r="GPI73" s="557"/>
      <c r="GPJ73" s="557"/>
      <c r="GPK73" s="661"/>
      <c r="GPL73" s="556"/>
      <c r="GPM73" s="557"/>
      <c r="GPN73" s="557"/>
      <c r="GPO73" s="557"/>
      <c r="GPP73" s="557"/>
      <c r="GPQ73" s="557"/>
      <c r="GPR73" s="557"/>
      <c r="GPS73" s="557"/>
      <c r="GPT73" s="557"/>
      <c r="GPU73" s="557"/>
      <c r="GPV73" s="557"/>
      <c r="GPW73" s="557"/>
      <c r="GPX73" s="557"/>
      <c r="GPY73" s="557"/>
      <c r="GPZ73" s="557"/>
      <c r="GQA73" s="557"/>
      <c r="GQB73" s="557"/>
      <c r="GQC73" s="557"/>
      <c r="GQD73" s="557"/>
      <c r="GQE73" s="661"/>
      <c r="GQF73" s="556"/>
      <c r="GQG73" s="557"/>
      <c r="GQH73" s="557"/>
      <c r="GQI73" s="557"/>
      <c r="GQJ73" s="557"/>
      <c r="GQK73" s="557"/>
      <c r="GQL73" s="557"/>
      <c r="GQM73" s="557"/>
      <c r="GQN73" s="557"/>
      <c r="GQO73" s="557"/>
      <c r="GQP73" s="557"/>
      <c r="GQQ73" s="557"/>
      <c r="GQR73" s="557"/>
      <c r="GQS73" s="557"/>
      <c r="GQT73" s="557"/>
      <c r="GQU73" s="557"/>
      <c r="GQV73" s="557"/>
      <c r="GQW73" s="557"/>
      <c r="GQX73" s="557"/>
      <c r="GQY73" s="661"/>
      <c r="GQZ73" s="556"/>
      <c r="GRA73" s="557"/>
      <c r="GRB73" s="557"/>
      <c r="GRC73" s="557"/>
      <c r="GRD73" s="557"/>
      <c r="GRE73" s="557"/>
      <c r="GRF73" s="557"/>
      <c r="GRG73" s="557"/>
      <c r="GRH73" s="557"/>
      <c r="GRI73" s="557"/>
      <c r="GRJ73" s="557"/>
      <c r="GRK73" s="557"/>
      <c r="GRL73" s="557"/>
      <c r="GRM73" s="557"/>
      <c r="GRN73" s="557"/>
      <c r="GRO73" s="557"/>
      <c r="GRP73" s="557"/>
      <c r="GRQ73" s="557"/>
      <c r="GRR73" s="557"/>
      <c r="GRS73" s="661"/>
      <c r="GRT73" s="556"/>
      <c r="GRU73" s="557"/>
      <c r="GRV73" s="557"/>
      <c r="GRW73" s="557"/>
      <c r="GRX73" s="557"/>
      <c r="GRY73" s="557"/>
      <c r="GRZ73" s="557"/>
      <c r="GSA73" s="557"/>
      <c r="GSB73" s="557"/>
      <c r="GSC73" s="557"/>
      <c r="GSD73" s="557"/>
      <c r="GSE73" s="557"/>
      <c r="GSF73" s="557"/>
      <c r="GSG73" s="557"/>
      <c r="GSH73" s="557"/>
      <c r="GSI73" s="557"/>
      <c r="GSJ73" s="557"/>
      <c r="GSK73" s="557"/>
      <c r="GSL73" s="557"/>
      <c r="GSM73" s="661"/>
      <c r="GSN73" s="556"/>
      <c r="GSO73" s="557"/>
      <c r="GSP73" s="557"/>
      <c r="GSQ73" s="557"/>
      <c r="GSR73" s="557"/>
      <c r="GSS73" s="557"/>
      <c r="GST73" s="557"/>
      <c r="GSU73" s="557"/>
      <c r="GSV73" s="557"/>
      <c r="GSW73" s="557"/>
      <c r="GSX73" s="557"/>
      <c r="GSY73" s="557"/>
      <c r="GSZ73" s="557"/>
      <c r="GTA73" s="557"/>
      <c r="GTB73" s="557"/>
      <c r="GTC73" s="557"/>
      <c r="GTD73" s="557"/>
      <c r="GTE73" s="557"/>
      <c r="GTF73" s="557"/>
      <c r="GTG73" s="661"/>
      <c r="GTH73" s="556"/>
      <c r="GTI73" s="557"/>
      <c r="GTJ73" s="557"/>
      <c r="GTK73" s="557"/>
      <c r="GTL73" s="557"/>
      <c r="GTM73" s="557"/>
      <c r="GTN73" s="557"/>
      <c r="GTO73" s="557"/>
      <c r="GTP73" s="557"/>
      <c r="GTQ73" s="557"/>
      <c r="GTR73" s="557"/>
      <c r="GTS73" s="557"/>
      <c r="GTT73" s="557"/>
      <c r="GTU73" s="557"/>
      <c r="GTV73" s="557"/>
      <c r="GTW73" s="557"/>
      <c r="GTX73" s="557"/>
      <c r="GTY73" s="557"/>
      <c r="GTZ73" s="557"/>
      <c r="GUA73" s="661"/>
      <c r="GUB73" s="556"/>
      <c r="GUC73" s="557"/>
      <c r="GUD73" s="557"/>
      <c r="GUE73" s="557"/>
      <c r="GUF73" s="557"/>
      <c r="GUG73" s="557"/>
      <c r="GUH73" s="557"/>
      <c r="GUI73" s="557"/>
      <c r="GUJ73" s="557"/>
      <c r="GUK73" s="557"/>
      <c r="GUL73" s="557"/>
      <c r="GUM73" s="557"/>
      <c r="GUN73" s="557"/>
      <c r="GUO73" s="557"/>
      <c r="GUP73" s="557"/>
      <c r="GUQ73" s="557"/>
      <c r="GUR73" s="557"/>
      <c r="GUS73" s="557"/>
      <c r="GUT73" s="557"/>
      <c r="GUU73" s="661"/>
      <c r="GUV73" s="556"/>
      <c r="GUW73" s="557"/>
      <c r="GUX73" s="557"/>
      <c r="GUY73" s="557"/>
      <c r="GUZ73" s="557"/>
      <c r="GVA73" s="557"/>
      <c r="GVB73" s="557"/>
      <c r="GVC73" s="557"/>
      <c r="GVD73" s="557"/>
      <c r="GVE73" s="557"/>
      <c r="GVF73" s="557"/>
      <c r="GVG73" s="557"/>
      <c r="GVH73" s="557"/>
      <c r="GVI73" s="557"/>
      <c r="GVJ73" s="557"/>
      <c r="GVK73" s="557"/>
      <c r="GVL73" s="557"/>
      <c r="GVM73" s="557"/>
      <c r="GVN73" s="557"/>
      <c r="GVO73" s="661"/>
      <c r="GVP73" s="556"/>
      <c r="GVQ73" s="557"/>
      <c r="GVR73" s="557"/>
      <c r="GVS73" s="557"/>
      <c r="GVT73" s="557"/>
      <c r="GVU73" s="557"/>
      <c r="GVV73" s="557"/>
      <c r="GVW73" s="557"/>
      <c r="GVX73" s="557"/>
      <c r="GVY73" s="557"/>
      <c r="GVZ73" s="557"/>
      <c r="GWA73" s="557"/>
      <c r="GWB73" s="557"/>
      <c r="GWC73" s="557"/>
      <c r="GWD73" s="557"/>
      <c r="GWE73" s="557"/>
      <c r="GWF73" s="557"/>
      <c r="GWG73" s="557"/>
      <c r="GWH73" s="557"/>
      <c r="GWI73" s="661"/>
      <c r="GWJ73" s="556"/>
      <c r="GWK73" s="557"/>
      <c r="GWL73" s="557"/>
      <c r="GWM73" s="557"/>
      <c r="GWN73" s="557"/>
      <c r="GWO73" s="557"/>
      <c r="GWP73" s="557"/>
      <c r="GWQ73" s="557"/>
      <c r="GWR73" s="557"/>
      <c r="GWS73" s="557"/>
      <c r="GWT73" s="557"/>
      <c r="GWU73" s="557"/>
      <c r="GWV73" s="557"/>
      <c r="GWW73" s="557"/>
      <c r="GWX73" s="557"/>
      <c r="GWY73" s="557"/>
      <c r="GWZ73" s="557"/>
      <c r="GXA73" s="557"/>
      <c r="GXB73" s="557"/>
      <c r="GXC73" s="661"/>
      <c r="GXD73" s="556"/>
      <c r="GXE73" s="557"/>
      <c r="GXF73" s="557"/>
      <c r="GXG73" s="557"/>
      <c r="GXH73" s="557"/>
      <c r="GXI73" s="557"/>
      <c r="GXJ73" s="557"/>
      <c r="GXK73" s="557"/>
      <c r="GXL73" s="557"/>
      <c r="GXM73" s="557"/>
      <c r="GXN73" s="557"/>
      <c r="GXO73" s="557"/>
      <c r="GXP73" s="557"/>
      <c r="GXQ73" s="557"/>
      <c r="GXR73" s="557"/>
      <c r="GXS73" s="557"/>
      <c r="GXT73" s="557"/>
      <c r="GXU73" s="557"/>
      <c r="GXV73" s="557"/>
      <c r="GXW73" s="661"/>
      <c r="GXX73" s="556"/>
      <c r="GXY73" s="557"/>
      <c r="GXZ73" s="557"/>
      <c r="GYA73" s="557"/>
      <c r="GYB73" s="557"/>
      <c r="GYC73" s="557"/>
      <c r="GYD73" s="557"/>
      <c r="GYE73" s="557"/>
      <c r="GYF73" s="557"/>
      <c r="GYG73" s="557"/>
      <c r="GYH73" s="557"/>
      <c r="GYI73" s="557"/>
      <c r="GYJ73" s="557"/>
      <c r="GYK73" s="557"/>
      <c r="GYL73" s="557"/>
      <c r="GYM73" s="557"/>
      <c r="GYN73" s="557"/>
      <c r="GYO73" s="557"/>
      <c r="GYP73" s="557"/>
      <c r="GYQ73" s="661"/>
      <c r="GYR73" s="556"/>
      <c r="GYS73" s="557"/>
      <c r="GYT73" s="557"/>
      <c r="GYU73" s="557"/>
      <c r="GYV73" s="557"/>
      <c r="GYW73" s="557"/>
      <c r="GYX73" s="557"/>
      <c r="GYY73" s="557"/>
      <c r="GYZ73" s="557"/>
      <c r="GZA73" s="557"/>
      <c r="GZB73" s="557"/>
      <c r="GZC73" s="557"/>
      <c r="GZD73" s="557"/>
      <c r="GZE73" s="557"/>
      <c r="GZF73" s="557"/>
      <c r="GZG73" s="557"/>
      <c r="GZH73" s="557"/>
      <c r="GZI73" s="557"/>
      <c r="GZJ73" s="557"/>
      <c r="GZK73" s="661"/>
      <c r="GZL73" s="556"/>
      <c r="GZM73" s="557"/>
      <c r="GZN73" s="557"/>
      <c r="GZO73" s="557"/>
      <c r="GZP73" s="557"/>
      <c r="GZQ73" s="557"/>
      <c r="GZR73" s="557"/>
      <c r="GZS73" s="557"/>
      <c r="GZT73" s="557"/>
      <c r="GZU73" s="557"/>
      <c r="GZV73" s="557"/>
      <c r="GZW73" s="557"/>
      <c r="GZX73" s="557"/>
      <c r="GZY73" s="557"/>
      <c r="GZZ73" s="557"/>
      <c r="HAA73" s="557"/>
      <c r="HAB73" s="557"/>
      <c r="HAC73" s="557"/>
      <c r="HAD73" s="557"/>
      <c r="HAE73" s="661"/>
      <c r="HAF73" s="556"/>
      <c r="HAG73" s="557"/>
      <c r="HAH73" s="557"/>
      <c r="HAI73" s="557"/>
      <c r="HAJ73" s="557"/>
      <c r="HAK73" s="557"/>
      <c r="HAL73" s="557"/>
      <c r="HAM73" s="557"/>
      <c r="HAN73" s="557"/>
      <c r="HAO73" s="557"/>
      <c r="HAP73" s="557"/>
      <c r="HAQ73" s="557"/>
      <c r="HAR73" s="557"/>
      <c r="HAS73" s="557"/>
      <c r="HAT73" s="557"/>
      <c r="HAU73" s="557"/>
      <c r="HAV73" s="557"/>
      <c r="HAW73" s="557"/>
      <c r="HAX73" s="557"/>
      <c r="HAY73" s="661"/>
      <c r="HAZ73" s="556"/>
      <c r="HBA73" s="557"/>
      <c r="HBB73" s="557"/>
      <c r="HBC73" s="557"/>
      <c r="HBD73" s="557"/>
      <c r="HBE73" s="557"/>
      <c r="HBF73" s="557"/>
      <c r="HBG73" s="557"/>
      <c r="HBH73" s="557"/>
      <c r="HBI73" s="557"/>
      <c r="HBJ73" s="557"/>
      <c r="HBK73" s="557"/>
      <c r="HBL73" s="557"/>
      <c r="HBM73" s="557"/>
      <c r="HBN73" s="557"/>
      <c r="HBO73" s="557"/>
      <c r="HBP73" s="557"/>
      <c r="HBQ73" s="557"/>
      <c r="HBR73" s="557"/>
      <c r="HBS73" s="661"/>
      <c r="HBT73" s="556"/>
      <c r="HBU73" s="557"/>
      <c r="HBV73" s="557"/>
      <c r="HBW73" s="557"/>
      <c r="HBX73" s="557"/>
      <c r="HBY73" s="557"/>
      <c r="HBZ73" s="557"/>
      <c r="HCA73" s="557"/>
      <c r="HCB73" s="557"/>
      <c r="HCC73" s="557"/>
      <c r="HCD73" s="557"/>
      <c r="HCE73" s="557"/>
      <c r="HCF73" s="557"/>
      <c r="HCG73" s="557"/>
      <c r="HCH73" s="557"/>
      <c r="HCI73" s="557"/>
      <c r="HCJ73" s="557"/>
      <c r="HCK73" s="557"/>
      <c r="HCL73" s="557"/>
      <c r="HCM73" s="661"/>
      <c r="HCN73" s="556"/>
      <c r="HCO73" s="557"/>
      <c r="HCP73" s="557"/>
      <c r="HCQ73" s="557"/>
      <c r="HCR73" s="557"/>
      <c r="HCS73" s="557"/>
      <c r="HCT73" s="557"/>
      <c r="HCU73" s="557"/>
      <c r="HCV73" s="557"/>
      <c r="HCW73" s="557"/>
      <c r="HCX73" s="557"/>
      <c r="HCY73" s="557"/>
      <c r="HCZ73" s="557"/>
      <c r="HDA73" s="557"/>
      <c r="HDB73" s="557"/>
      <c r="HDC73" s="557"/>
      <c r="HDD73" s="557"/>
      <c r="HDE73" s="557"/>
      <c r="HDF73" s="557"/>
      <c r="HDG73" s="661"/>
      <c r="HDH73" s="556"/>
      <c r="HDI73" s="557"/>
      <c r="HDJ73" s="557"/>
      <c r="HDK73" s="557"/>
      <c r="HDL73" s="557"/>
      <c r="HDM73" s="557"/>
      <c r="HDN73" s="557"/>
      <c r="HDO73" s="557"/>
      <c r="HDP73" s="557"/>
      <c r="HDQ73" s="557"/>
      <c r="HDR73" s="557"/>
      <c r="HDS73" s="557"/>
      <c r="HDT73" s="557"/>
      <c r="HDU73" s="557"/>
      <c r="HDV73" s="557"/>
      <c r="HDW73" s="557"/>
      <c r="HDX73" s="557"/>
      <c r="HDY73" s="557"/>
      <c r="HDZ73" s="557"/>
      <c r="HEA73" s="661"/>
      <c r="HEB73" s="556"/>
      <c r="HEC73" s="557"/>
      <c r="HED73" s="557"/>
      <c r="HEE73" s="557"/>
      <c r="HEF73" s="557"/>
      <c r="HEG73" s="557"/>
      <c r="HEH73" s="557"/>
      <c r="HEI73" s="557"/>
      <c r="HEJ73" s="557"/>
      <c r="HEK73" s="557"/>
      <c r="HEL73" s="557"/>
      <c r="HEM73" s="557"/>
      <c r="HEN73" s="557"/>
      <c r="HEO73" s="557"/>
      <c r="HEP73" s="557"/>
      <c r="HEQ73" s="557"/>
      <c r="HER73" s="557"/>
      <c r="HES73" s="557"/>
      <c r="HET73" s="557"/>
      <c r="HEU73" s="661"/>
      <c r="HEV73" s="556"/>
      <c r="HEW73" s="557"/>
      <c r="HEX73" s="557"/>
      <c r="HEY73" s="557"/>
      <c r="HEZ73" s="557"/>
      <c r="HFA73" s="557"/>
      <c r="HFB73" s="557"/>
      <c r="HFC73" s="557"/>
      <c r="HFD73" s="557"/>
      <c r="HFE73" s="557"/>
      <c r="HFF73" s="557"/>
      <c r="HFG73" s="557"/>
      <c r="HFH73" s="557"/>
      <c r="HFI73" s="557"/>
      <c r="HFJ73" s="557"/>
      <c r="HFK73" s="557"/>
      <c r="HFL73" s="557"/>
      <c r="HFM73" s="557"/>
      <c r="HFN73" s="557"/>
      <c r="HFO73" s="661"/>
      <c r="HFP73" s="556"/>
      <c r="HFQ73" s="557"/>
      <c r="HFR73" s="557"/>
      <c r="HFS73" s="557"/>
      <c r="HFT73" s="557"/>
      <c r="HFU73" s="557"/>
      <c r="HFV73" s="557"/>
      <c r="HFW73" s="557"/>
      <c r="HFX73" s="557"/>
      <c r="HFY73" s="557"/>
      <c r="HFZ73" s="557"/>
      <c r="HGA73" s="557"/>
      <c r="HGB73" s="557"/>
      <c r="HGC73" s="557"/>
      <c r="HGD73" s="557"/>
      <c r="HGE73" s="557"/>
      <c r="HGF73" s="557"/>
      <c r="HGG73" s="557"/>
      <c r="HGH73" s="557"/>
      <c r="HGI73" s="661"/>
      <c r="HGJ73" s="556"/>
      <c r="HGK73" s="557"/>
      <c r="HGL73" s="557"/>
      <c r="HGM73" s="557"/>
      <c r="HGN73" s="557"/>
      <c r="HGO73" s="557"/>
      <c r="HGP73" s="557"/>
      <c r="HGQ73" s="557"/>
      <c r="HGR73" s="557"/>
      <c r="HGS73" s="557"/>
      <c r="HGT73" s="557"/>
      <c r="HGU73" s="557"/>
      <c r="HGV73" s="557"/>
      <c r="HGW73" s="557"/>
      <c r="HGX73" s="557"/>
      <c r="HGY73" s="557"/>
      <c r="HGZ73" s="557"/>
      <c r="HHA73" s="557"/>
      <c r="HHB73" s="557"/>
      <c r="HHC73" s="661"/>
      <c r="HHD73" s="556"/>
      <c r="HHE73" s="557"/>
      <c r="HHF73" s="557"/>
      <c r="HHG73" s="557"/>
      <c r="HHH73" s="557"/>
      <c r="HHI73" s="557"/>
      <c r="HHJ73" s="557"/>
      <c r="HHK73" s="557"/>
      <c r="HHL73" s="557"/>
      <c r="HHM73" s="557"/>
      <c r="HHN73" s="557"/>
      <c r="HHO73" s="557"/>
      <c r="HHP73" s="557"/>
      <c r="HHQ73" s="557"/>
      <c r="HHR73" s="557"/>
      <c r="HHS73" s="557"/>
      <c r="HHT73" s="557"/>
      <c r="HHU73" s="557"/>
      <c r="HHV73" s="557"/>
      <c r="HHW73" s="661"/>
      <c r="HHX73" s="556"/>
      <c r="HHY73" s="557"/>
      <c r="HHZ73" s="557"/>
      <c r="HIA73" s="557"/>
      <c r="HIB73" s="557"/>
      <c r="HIC73" s="557"/>
      <c r="HID73" s="557"/>
      <c r="HIE73" s="557"/>
      <c r="HIF73" s="557"/>
      <c r="HIG73" s="557"/>
      <c r="HIH73" s="557"/>
      <c r="HII73" s="557"/>
      <c r="HIJ73" s="557"/>
      <c r="HIK73" s="557"/>
      <c r="HIL73" s="557"/>
      <c r="HIM73" s="557"/>
      <c r="HIN73" s="557"/>
      <c r="HIO73" s="557"/>
      <c r="HIP73" s="557"/>
      <c r="HIQ73" s="661"/>
      <c r="HIR73" s="556"/>
      <c r="HIS73" s="557"/>
      <c r="HIT73" s="557"/>
      <c r="HIU73" s="557"/>
      <c r="HIV73" s="557"/>
      <c r="HIW73" s="557"/>
      <c r="HIX73" s="557"/>
      <c r="HIY73" s="557"/>
      <c r="HIZ73" s="557"/>
      <c r="HJA73" s="557"/>
      <c r="HJB73" s="557"/>
      <c r="HJC73" s="557"/>
      <c r="HJD73" s="557"/>
      <c r="HJE73" s="557"/>
      <c r="HJF73" s="557"/>
      <c r="HJG73" s="557"/>
      <c r="HJH73" s="557"/>
      <c r="HJI73" s="557"/>
      <c r="HJJ73" s="557"/>
      <c r="HJK73" s="661"/>
      <c r="HJL73" s="556"/>
      <c r="HJM73" s="557"/>
      <c r="HJN73" s="557"/>
      <c r="HJO73" s="557"/>
      <c r="HJP73" s="557"/>
      <c r="HJQ73" s="557"/>
      <c r="HJR73" s="557"/>
      <c r="HJS73" s="557"/>
      <c r="HJT73" s="557"/>
      <c r="HJU73" s="557"/>
      <c r="HJV73" s="557"/>
      <c r="HJW73" s="557"/>
      <c r="HJX73" s="557"/>
      <c r="HJY73" s="557"/>
      <c r="HJZ73" s="557"/>
      <c r="HKA73" s="557"/>
      <c r="HKB73" s="557"/>
      <c r="HKC73" s="557"/>
      <c r="HKD73" s="557"/>
      <c r="HKE73" s="661"/>
      <c r="HKF73" s="556"/>
      <c r="HKG73" s="557"/>
      <c r="HKH73" s="557"/>
      <c r="HKI73" s="557"/>
      <c r="HKJ73" s="557"/>
      <c r="HKK73" s="557"/>
      <c r="HKL73" s="557"/>
      <c r="HKM73" s="557"/>
      <c r="HKN73" s="557"/>
      <c r="HKO73" s="557"/>
      <c r="HKP73" s="557"/>
      <c r="HKQ73" s="557"/>
      <c r="HKR73" s="557"/>
      <c r="HKS73" s="557"/>
      <c r="HKT73" s="557"/>
      <c r="HKU73" s="557"/>
      <c r="HKV73" s="557"/>
      <c r="HKW73" s="557"/>
      <c r="HKX73" s="557"/>
      <c r="HKY73" s="661"/>
      <c r="HKZ73" s="556"/>
      <c r="HLA73" s="557"/>
      <c r="HLB73" s="557"/>
      <c r="HLC73" s="557"/>
      <c r="HLD73" s="557"/>
      <c r="HLE73" s="557"/>
      <c r="HLF73" s="557"/>
      <c r="HLG73" s="557"/>
      <c r="HLH73" s="557"/>
      <c r="HLI73" s="557"/>
      <c r="HLJ73" s="557"/>
      <c r="HLK73" s="557"/>
      <c r="HLL73" s="557"/>
      <c r="HLM73" s="557"/>
      <c r="HLN73" s="557"/>
      <c r="HLO73" s="557"/>
      <c r="HLP73" s="557"/>
      <c r="HLQ73" s="557"/>
      <c r="HLR73" s="557"/>
      <c r="HLS73" s="661"/>
      <c r="HLT73" s="556"/>
      <c r="HLU73" s="557"/>
      <c r="HLV73" s="557"/>
      <c r="HLW73" s="557"/>
      <c r="HLX73" s="557"/>
      <c r="HLY73" s="557"/>
      <c r="HLZ73" s="557"/>
      <c r="HMA73" s="557"/>
      <c r="HMB73" s="557"/>
      <c r="HMC73" s="557"/>
      <c r="HMD73" s="557"/>
      <c r="HME73" s="557"/>
      <c r="HMF73" s="557"/>
      <c r="HMG73" s="557"/>
      <c r="HMH73" s="557"/>
      <c r="HMI73" s="557"/>
      <c r="HMJ73" s="557"/>
      <c r="HMK73" s="557"/>
      <c r="HML73" s="557"/>
      <c r="HMM73" s="661"/>
      <c r="HMN73" s="556"/>
      <c r="HMO73" s="557"/>
      <c r="HMP73" s="557"/>
      <c r="HMQ73" s="557"/>
      <c r="HMR73" s="557"/>
      <c r="HMS73" s="557"/>
      <c r="HMT73" s="557"/>
      <c r="HMU73" s="557"/>
      <c r="HMV73" s="557"/>
      <c r="HMW73" s="557"/>
      <c r="HMX73" s="557"/>
      <c r="HMY73" s="557"/>
      <c r="HMZ73" s="557"/>
      <c r="HNA73" s="557"/>
      <c r="HNB73" s="557"/>
      <c r="HNC73" s="557"/>
      <c r="HND73" s="557"/>
      <c r="HNE73" s="557"/>
      <c r="HNF73" s="557"/>
      <c r="HNG73" s="661"/>
      <c r="HNH73" s="556"/>
      <c r="HNI73" s="557"/>
      <c r="HNJ73" s="557"/>
      <c r="HNK73" s="557"/>
      <c r="HNL73" s="557"/>
      <c r="HNM73" s="557"/>
      <c r="HNN73" s="557"/>
      <c r="HNO73" s="557"/>
      <c r="HNP73" s="557"/>
      <c r="HNQ73" s="557"/>
      <c r="HNR73" s="557"/>
      <c r="HNS73" s="557"/>
      <c r="HNT73" s="557"/>
      <c r="HNU73" s="557"/>
      <c r="HNV73" s="557"/>
      <c r="HNW73" s="557"/>
      <c r="HNX73" s="557"/>
      <c r="HNY73" s="557"/>
      <c r="HNZ73" s="557"/>
      <c r="HOA73" s="661"/>
      <c r="HOB73" s="556"/>
      <c r="HOC73" s="557"/>
      <c r="HOD73" s="557"/>
      <c r="HOE73" s="557"/>
      <c r="HOF73" s="557"/>
      <c r="HOG73" s="557"/>
      <c r="HOH73" s="557"/>
      <c r="HOI73" s="557"/>
      <c r="HOJ73" s="557"/>
      <c r="HOK73" s="557"/>
      <c r="HOL73" s="557"/>
      <c r="HOM73" s="557"/>
      <c r="HON73" s="557"/>
      <c r="HOO73" s="557"/>
      <c r="HOP73" s="557"/>
      <c r="HOQ73" s="557"/>
      <c r="HOR73" s="557"/>
      <c r="HOS73" s="557"/>
      <c r="HOT73" s="557"/>
      <c r="HOU73" s="661"/>
      <c r="HOV73" s="556"/>
      <c r="HOW73" s="557"/>
      <c r="HOX73" s="557"/>
      <c r="HOY73" s="557"/>
      <c r="HOZ73" s="557"/>
      <c r="HPA73" s="557"/>
      <c r="HPB73" s="557"/>
      <c r="HPC73" s="557"/>
      <c r="HPD73" s="557"/>
      <c r="HPE73" s="557"/>
      <c r="HPF73" s="557"/>
      <c r="HPG73" s="557"/>
      <c r="HPH73" s="557"/>
      <c r="HPI73" s="557"/>
      <c r="HPJ73" s="557"/>
      <c r="HPK73" s="557"/>
      <c r="HPL73" s="557"/>
      <c r="HPM73" s="557"/>
      <c r="HPN73" s="557"/>
      <c r="HPO73" s="661"/>
      <c r="HPP73" s="556"/>
      <c r="HPQ73" s="557"/>
      <c r="HPR73" s="557"/>
      <c r="HPS73" s="557"/>
      <c r="HPT73" s="557"/>
      <c r="HPU73" s="557"/>
      <c r="HPV73" s="557"/>
      <c r="HPW73" s="557"/>
      <c r="HPX73" s="557"/>
      <c r="HPY73" s="557"/>
      <c r="HPZ73" s="557"/>
      <c r="HQA73" s="557"/>
      <c r="HQB73" s="557"/>
      <c r="HQC73" s="557"/>
      <c r="HQD73" s="557"/>
      <c r="HQE73" s="557"/>
      <c r="HQF73" s="557"/>
      <c r="HQG73" s="557"/>
      <c r="HQH73" s="557"/>
      <c r="HQI73" s="661"/>
      <c r="HQJ73" s="556"/>
      <c r="HQK73" s="557"/>
      <c r="HQL73" s="557"/>
      <c r="HQM73" s="557"/>
      <c r="HQN73" s="557"/>
      <c r="HQO73" s="557"/>
      <c r="HQP73" s="557"/>
      <c r="HQQ73" s="557"/>
      <c r="HQR73" s="557"/>
      <c r="HQS73" s="557"/>
      <c r="HQT73" s="557"/>
      <c r="HQU73" s="557"/>
      <c r="HQV73" s="557"/>
      <c r="HQW73" s="557"/>
      <c r="HQX73" s="557"/>
      <c r="HQY73" s="557"/>
      <c r="HQZ73" s="557"/>
      <c r="HRA73" s="557"/>
      <c r="HRB73" s="557"/>
      <c r="HRC73" s="661"/>
      <c r="HRD73" s="556"/>
      <c r="HRE73" s="557"/>
      <c r="HRF73" s="557"/>
      <c r="HRG73" s="557"/>
      <c r="HRH73" s="557"/>
      <c r="HRI73" s="557"/>
      <c r="HRJ73" s="557"/>
      <c r="HRK73" s="557"/>
      <c r="HRL73" s="557"/>
      <c r="HRM73" s="557"/>
      <c r="HRN73" s="557"/>
      <c r="HRO73" s="557"/>
      <c r="HRP73" s="557"/>
      <c r="HRQ73" s="557"/>
      <c r="HRR73" s="557"/>
      <c r="HRS73" s="557"/>
      <c r="HRT73" s="557"/>
      <c r="HRU73" s="557"/>
      <c r="HRV73" s="557"/>
      <c r="HRW73" s="661"/>
      <c r="HRX73" s="556"/>
      <c r="HRY73" s="557"/>
      <c r="HRZ73" s="557"/>
      <c r="HSA73" s="557"/>
      <c r="HSB73" s="557"/>
      <c r="HSC73" s="557"/>
      <c r="HSD73" s="557"/>
      <c r="HSE73" s="557"/>
      <c r="HSF73" s="557"/>
      <c r="HSG73" s="557"/>
      <c r="HSH73" s="557"/>
      <c r="HSI73" s="557"/>
      <c r="HSJ73" s="557"/>
      <c r="HSK73" s="557"/>
      <c r="HSL73" s="557"/>
      <c r="HSM73" s="557"/>
      <c r="HSN73" s="557"/>
      <c r="HSO73" s="557"/>
      <c r="HSP73" s="557"/>
      <c r="HSQ73" s="661"/>
      <c r="HSR73" s="556"/>
      <c r="HSS73" s="557"/>
      <c r="HST73" s="557"/>
      <c r="HSU73" s="557"/>
      <c r="HSV73" s="557"/>
      <c r="HSW73" s="557"/>
      <c r="HSX73" s="557"/>
      <c r="HSY73" s="557"/>
      <c r="HSZ73" s="557"/>
      <c r="HTA73" s="557"/>
      <c r="HTB73" s="557"/>
      <c r="HTC73" s="557"/>
      <c r="HTD73" s="557"/>
      <c r="HTE73" s="557"/>
      <c r="HTF73" s="557"/>
      <c r="HTG73" s="557"/>
      <c r="HTH73" s="557"/>
      <c r="HTI73" s="557"/>
      <c r="HTJ73" s="557"/>
      <c r="HTK73" s="661"/>
      <c r="HTL73" s="556"/>
      <c r="HTM73" s="557"/>
      <c r="HTN73" s="557"/>
      <c r="HTO73" s="557"/>
      <c r="HTP73" s="557"/>
      <c r="HTQ73" s="557"/>
      <c r="HTR73" s="557"/>
      <c r="HTS73" s="557"/>
      <c r="HTT73" s="557"/>
      <c r="HTU73" s="557"/>
      <c r="HTV73" s="557"/>
      <c r="HTW73" s="557"/>
      <c r="HTX73" s="557"/>
      <c r="HTY73" s="557"/>
      <c r="HTZ73" s="557"/>
      <c r="HUA73" s="557"/>
      <c r="HUB73" s="557"/>
      <c r="HUC73" s="557"/>
      <c r="HUD73" s="557"/>
      <c r="HUE73" s="661"/>
      <c r="HUF73" s="556"/>
      <c r="HUG73" s="557"/>
      <c r="HUH73" s="557"/>
      <c r="HUI73" s="557"/>
      <c r="HUJ73" s="557"/>
      <c r="HUK73" s="557"/>
      <c r="HUL73" s="557"/>
      <c r="HUM73" s="557"/>
      <c r="HUN73" s="557"/>
      <c r="HUO73" s="557"/>
      <c r="HUP73" s="557"/>
      <c r="HUQ73" s="557"/>
      <c r="HUR73" s="557"/>
      <c r="HUS73" s="557"/>
      <c r="HUT73" s="557"/>
      <c r="HUU73" s="557"/>
      <c r="HUV73" s="557"/>
      <c r="HUW73" s="557"/>
      <c r="HUX73" s="557"/>
      <c r="HUY73" s="661"/>
      <c r="HUZ73" s="556"/>
      <c r="HVA73" s="557"/>
      <c r="HVB73" s="557"/>
      <c r="HVC73" s="557"/>
      <c r="HVD73" s="557"/>
      <c r="HVE73" s="557"/>
      <c r="HVF73" s="557"/>
      <c r="HVG73" s="557"/>
      <c r="HVH73" s="557"/>
      <c r="HVI73" s="557"/>
      <c r="HVJ73" s="557"/>
      <c r="HVK73" s="557"/>
      <c r="HVL73" s="557"/>
      <c r="HVM73" s="557"/>
      <c r="HVN73" s="557"/>
      <c r="HVO73" s="557"/>
      <c r="HVP73" s="557"/>
      <c r="HVQ73" s="557"/>
      <c r="HVR73" s="557"/>
      <c r="HVS73" s="661"/>
      <c r="HVT73" s="556"/>
      <c r="HVU73" s="557"/>
      <c r="HVV73" s="557"/>
      <c r="HVW73" s="557"/>
      <c r="HVX73" s="557"/>
      <c r="HVY73" s="557"/>
      <c r="HVZ73" s="557"/>
      <c r="HWA73" s="557"/>
      <c r="HWB73" s="557"/>
      <c r="HWC73" s="557"/>
      <c r="HWD73" s="557"/>
      <c r="HWE73" s="557"/>
      <c r="HWF73" s="557"/>
      <c r="HWG73" s="557"/>
      <c r="HWH73" s="557"/>
      <c r="HWI73" s="557"/>
      <c r="HWJ73" s="557"/>
      <c r="HWK73" s="557"/>
      <c r="HWL73" s="557"/>
      <c r="HWM73" s="661"/>
      <c r="HWN73" s="556"/>
      <c r="HWO73" s="557"/>
      <c r="HWP73" s="557"/>
      <c r="HWQ73" s="557"/>
      <c r="HWR73" s="557"/>
      <c r="HWS73" s="557"/>
      <c r="HWT73" s="557"/>
      <c r="HWU73" s="557"/>
      <c r="HWV73" s="557"/>
      <c r="HWW73" s="557"/>
      <c r="HWX73" s="557"/>
      <c r="HWY73" s="557"/>
      <c r="HWZ73" s="557"/>
      <c r="HXA73" s="557"/>
      <c r="HXB73" s="557"/>
      <c r="HXC73" s="557"/>
      <c r="HXD73" s="557"/>
      <c r="HXE73" s="557"/>
      <c r="HXF73" s="557"/>
      <c r="HXG73" s="661"/>
      <c r="HXH73" s="556"/>
      <c r="HXI73" s="557"/>
      <c r="HXJ73" s="557"/>
      <c r="HXK73" s="557"/>
      <c r="HXL73" s="557"/>
      <c r="HXM73" s="557"/>
      <c r="HXN73" s="557"/>
      <c r="HXO73" s="557"/>
      <c r="HXP73" s="557"/>
      <c r="HXQ73" s="557"/>
      <c r="HXR73" s="557"/>
      <c r="HXS73" s="557"/>
      <c r="HXT73" s="557"/>
      <c r="HXU73" s="557"/>
      <c r="HXV73" s="557"/>
      <c r="HXW73" s="557"/>
      <c r="HXX73" s="557"/>
      <c r="HXY73" s="557"/>
      <c r="HXZ73" s="557"/>
      <c r="HYA73" s="661"/>
      <c r="HYB73" s="556"/>
      <c r="HYC73" s="557"/>
      <c r="HYD73" s="557"/>
      <c r="HYE73" s="557"/>
      <c r="HYF73" s="557"/>
      <c r="HYG73" s="557"/>
      <c r="HYH73" s="557"/>
      <c r="HYI73" s="557"/>
      <c r="HYJ73" s="557"/>
      <c r="HYK73" s="557"/>
      <c r="HYL73" s="557"/>
      <c r="HYM73" s="557"/>
      <c r="HYN73" s="557"/>
      <c r="HYO73" s="557"/>
      <c r="HYP73" s="557"/>
      <c r="HYQ73" s="557"/>
      <c r="HYR73" s="557"/>
      <c r="HYS73" s="557"/>
      <c r="HYT73" s="557"/>
      <c r="HYU73" s="661"/>
      <c r="HYV73" s="556"/>
      <c r="HYW73" s="557"/>
      <c r="HYX73" s="557"/>
      <c r="HYY73" s="557"/>
      <c r="HYZ73" s="557"/>
      <c r="HZA73" s="557"/>
      <c r="HZB73" s="557"/>
      <c r="HZC73" s="557"/>
      <c r="HZD73" s="557"/>
      <c r="HZE73" s="557"/>
      <c r="HZF73" s="557"/>
      <c r="HZG73" s="557"/>
      <c r="HZH73" s="557"/>
      <c r="HZI73" s="557"/>
      <c r="HZJ73" s="557"/>
      <c r="HZK73" s="557"/>
      <c r="HZL73" s="557"/>
      <c r="HZM73" s="557"/>
      <c r="HZN73" s="557"/>
      <c r="HZO73" s="661"/>
      <c r="HZP73" s="556"/>
      <c r="HZQ73" s="557"/>
      <c r="HZR73" s="557"/>
      <c r="HZS73" s="557"/>
      <c r="HZT73" s="557"/>
      <c r="HZU73" s="557"/>
      <c r="HZV73" s="557"/>
      <c r="HZW73" s="557"/>
      <c r="HZX73" s="557"/>
      <c r="HZY73" s="557"/>
      <c r="HZZ73" s="557"/>
      <c r="IAA73" s="557"/>
      <c r="IAB73" s="557"/>
      <c r="IAC73" s="557"/>
      <c r="IAD73" s="557"/>
      <c r="IAE73" s="557"/>
      <c r="IAF73" s="557"/>
      <c r="IAG73" s="557"/>
      <c r="IAH73" s="557"/>
      <c r="IAI73" s="661"/>
      <c r="IAJ73" s="556"/>
      <c r="IAK73" s="557"/>
      <c r="IAL73" s="557"/>
      <c r="IAM73" s="557"/>
      <c r="IAN73" s="557"/>
      <c r="IAO73" s="557"/>
      <c r="IAP73" s="557"/>
      <c r="IAQ73" s="557"/>
      <c r="IAR73" s="557"/>
      <c r="IAS73" s="557"/>
      <c r="IAT73" s="557"/>
      <c r="IAU73" s="557"/>
      <c r="IAV73" s="557"/>
      <c r="IAW73" s="557"/>
      <c r="IAX73" s="557"/>
      <c r="IAY73" s="557"/>
      <c r="IAZ73" s="557"/>
      <c r="IBA73" s="557"/>
      <c r="IBB73" s="557"/>
      <c r="IBC73" s="661"/>
      <c r="IBD73" s="556"/>
      <c r="IBE73" s="557"/>
      <c r="IBF73" s="557"/>
      <c r="IBG73" s="557"/>
      <c r="IBH73" s="557"/>
      <c r="IBI73" s="557"/>
      <c r="IBJ73" s="557"/>
      <c r="IBK73" s="557"/>
      <c r="IBL73" s="557"/>
      <c r="IBM73" s="557"/>
      <c r="IBN73" s="557"/>
      <c r="IBO73" s="557"/>
      <c r="IBP73" s="557"/>
      <c r="IBQ73" s="557"/>
      <c r="IBR73" s="557"/>
      <c r="IBS73" s="557"/>
      <c r="IBT73" s="557"/>
      <c r="IBU73" s="557"/>
      <c r="IBV73" s="557"/>
      <c r="IBW73" s="661"/>
      <c r="IBX73" s="556"/>
      <c r="IBY73" s="557"/>
      <c r="IBZ73" s="557"/>
      <c r="ICA73" s="557"/>
      <c r="ICB73" s="557"/>
      <c r="ICC73" s="557"/>
      <c r="ICD73" s="557"/>
      <c r="ICE73" s="557"/>
      <c r="ICF73" s="557"/>
      <c r="ICG73" s="557"/>
      <c r="ICH73" s="557"/>
      <c r="ICI73" s="557"/>
      <c r="ICJ73" s="557"/>
      <c r="ICK73" s="557"/>
      <c r="ICL73" s="557"/>
      <c r="ICM73" s="557"/>
      <c r="ICN73" s="557"/>
      <c r="ICO73" s="557"/>
      <c r="ICP73" s="557"/>
      <c r="ICQ73" s="661"/>
      <c r="ICR73" s="556"/>
      <c r="ICS73" s="557"/>
      <c r="ICT73" s="557"/>
      <c r="ICU73" s="557"/>
      <c r="ICV73" s="557"/>
      <c r="ICW73" s="557"/>
      <c r="ICX73" s="557"/>
      <c r="ICY73" s="557"/>
      <c r="ICZ73" s="557"/>
      <c r="IDA73" s="557"/>
      <c r="IDB73" s="557"/>
      <c r="IDC73" s="557"/>
      <c r="IDD73" s="557"/>
      <c r="IDE73" s="557"/>
      <c r="IDF73" s="557"/>
      <c r="IDG73" s="557"/>
      <c r="IDH73" s="557"/>
      <c r="IDI73" s="557"/>
      <c r="IDJ73" s="557"/>
      <c r="IDK73" s="661"/>
      <c r="IDL73" s="556"/>
      <c r="IDM73" s="557"/>
      <c r="IDN73" s="557"/>
      <c r="IDO73" s="557"/>
      <c r="IDP73" s="557"/>
      <c r="IDQ73" s="557"/>
      <c r="IDR73" s="557"/>
      <c r="IDS73" s="557"/>
      <c r="IDT73" s="557"/>
      <c r="IDU73" s="557"/>
      <c r="IDV73" s="557"/>
      <c r="IDW73" s="557"/>
      <c r="IDX73" s="557"/>
      <c r="IDY73" s="557"/>
      <c r="IDZ73" s="557"/>
      <c r="IEA73" s="557"/>
      <c r="IEB73" s="557"/>
      <c r="IEC73" s="557"/>
      <c r="IED73" s="557"/>
      <c r="IEE73" s="661"/>
      <c r="IEF73" s="556"/>
      <c r="IEG73" s="557"/>
      <c r="IEH73" s="557"/>
      <c r="IEI73" s="557"/>
      <c r="IEJ73" s="557"/>
      <c r="IEK73" s="557"/>
      <c r="IEL73" s="557"/>
      <c r="IEM73" s="557"/>
      <c r="IEN73" s="557"/>
      <c r="IEO73" s="557"/>
      <c r="IEP73" s="557"/>
      <c r="IEQ73" s="557"/>
      <c r="IER73" s="557"/>
      <c r="IES73" s="557"/>
      <c r="IET73" s="557"/>
      <c r="IEU73" s="557"/>
      <c r="IEV73" s="557"/>
      <c r="IEW73" s="557"/>
      <c r="IEX73" s="557"/>
      <c r="IEY73" s="661"/>
      <c r="IEZ73" s="556"/>
      <c r="IFA73" s="557"/>
      <c r="IFB73" s="557"/>
      <c r="IFC73" s="557"/>
      <c r="IFD73" s="557"/>
      <c r="IFE73" s="557"/>
      <c r="IFF73" s="557"/>
      <c r="IFG73" s="557"/>
      <c r="IFH73" s="557"/>
      <c r="IFI73" s="557"/>
      <c r="IFJ73" s="557"/>
      <c r="IFK73" s="557"/>
      <c r="IFL73" s="557"/>
      <c r="IFM73" s="557"/>
      <c r="IFN73" s="557"/>
      <c r="IFO73" s="557"/>
      <c r="IFP73" s="557"/>
      <c r="IFQ73" s="557"/>
      <c r="IFR73" s="557"/>
      <c r="IFS73" s="661"/>
      <c r="IFT73" s="556"/>
      <c r="IFU73" s="557"/>
      <c r="IFV73" s="557"/>
      <c r="IFW73" s="557"/>
      <c r="IFX73" s="557"/>
      <c r="IFY73" s="557"/>
      <c r="IFZ73" s="557"/>
      <c r="IGA73" s="557"/>
      <c r="IGB73" s="557"/>
      <c r="IGC73" s="557"/>
      <c r="IGD73" s="557"/>
      <c r="IGE73" s="557"/>
      <c r="IGF73" s="557"/>
      <c r="IGG73" s="557"/>
      <c r="IGH73" s="557"/>
      <c r="IGI73" s="557"/>
      <c r="IGJ73" s="557"/>
      <c r="IGK73" s="557"/>
      <c r="IGL73" s="557"/>
      <c r="IGM73" s="661"/>
      <c r="IGN73" s="556"/>
      <c r="IGO73" s="557"/>
      <c r="IGP73" s="557"/>
      <c r="IGQ73" s="557"/>
      <c r="IGR73" s="557"/>
      <c r="IGS73" s="557"/>
      <c r="IGT73" s="557"/>
      <c r="IGU73" s="557"/>
      <c r="IGV73" s="557"/>
      <c r="IGW73" s="557"/>
      <c r="IGX73" s="557"/>
      <c r="IGY73" s="557"/>
      <c r="IGZ73" s="557"/>
      <c r="IHA73" s="557"/>
      <c r="IHB73" s="557"/>
      <c r="IHC73" s="557"/>
      <c r="IHD73" s="557"/>
      <c r="IHE73" s="557"/>
      <c r="IHF73" s="557"/>
      <c r="IHG73" s="661"/>
      <c r="IHH73" s="556"/>
      <c r="IHI73" s="557"/>
      <c r="IHJ73" s="557"/>
      <c r="IHK73" s="557"/>
      <c r="IHL73" s="557"/>
      <c r="IHM73" s="557"/>
      <c r="IHN73" s="557"/>
      <c r="IHO73" s="557"/>
      <c r="IHP73" s="557"/>
      <c r="IHQ73" s="557"/>
      <c r="IHR73" s="557"/>
      <c r="IHS73" s="557"/>
      <c r="IHT73" s="557"/>
      <c r="IHU73" s="557"/>
      <c r="IHV73" s="557"/>
      <c r="IHW73" s="557"/>
      <c r="IHX73" s="557"/>
      <c r="IHY73" s="557"/>
      <c r="IHZ73" s="557"/>
      <c r="IIA73" s="661"/>
      <c r="IIB73" s="556"/>
      <c r="IIC73" s="557"/>
      <c r="IID73" s="557"/>
      <c r="IIE73" s="557"/>
      <c r="IIF73" s="557"/>
      <c r="IIG73" s="557"/>
      <c r="IIH73" s="557"/>
      <c r="III73" s="557"/>
      <c r="IIJ73" s="557"/>
      <c r="IIK73" s="557"/>
      <c r="IIL73" s="557"/>
      <c r="IIM73" s="557"/>
      <c r="IIN73" s="557"/>
      <c r="IIO73" s="557"/>
      <c r="IIP73" s="557"/>
      <c r="IIQ73" s="557"/>
      <c r="IIR73" s="557"/>
      <c r="IIS73" s="557"/>
      <c r="IIT73" s="557"/>
      <c r="IIU73" s="661"/>
      <c r="IIV73" s="556"/>
      <c r="IIW73" s="557"/>
      <c r="IIX73" s="557"/>
      <c r="IIY73" s="557"/>
      <c r="IIZ73" s="557"/>
      <c r="IJA73" s="557"/>
      <c r="IJB73" s="557"/>
      <c r="IJC73" s="557"/>
      <c r="IJD73" s="557"/>
      <c r="IJE73" s="557"/>
      <c r="IJF73" s="557"/>
      <c r="IJG73" s="557"/>
      <c r="IJH73" s="557"/>
      <c r="IJI73" s="557"/>
      <c r="IJJ73" s="557"/>
      <c r="IJK73" s="557"/>
      <c r="IJL73" s="557"/>
      <c r="IJM73" s="557"/>
      <c r="IJN73" s="557"/>
      <c r="IJO73" s="661"/>
      <c r="IJP73" s="556"/>
      <c r="IJQ73" s="557"/>
      <c r="IJR73" s="557"/>
      <c r="IJS73" s="557"/>
      <c r="IJT73" s="557"/>
      <c r="IJU73" s="557"/>
      <c r="IJV73" s="557"/>
      <c r="IJW73" s="557"/>
      <c r="IJX73" s="557"/>
      <c r="IJY73" s="557"/>
      <c r="IJZ73" s="557"/>
      <c r="IKA73" s="557"/>
      <c r="IKB73" s="557"/>
      <c r="IKC73" s="557"/>
      <c r="IKD73" s="557"/>
      <c r="IKE73" s="557"/>
      <c r="IKF73" s="557"/>
      <c r="IKG73" s="557"/>
      <c r="IKH73" s="557"/>
      <c r="IKI73" s="661"/>
      <c r="IKJ73" s="556"/>
      <c r="IKK73" s="557"/>
      <c r="IKL73" s="557"/>
      <c r="IKM73" s="557"/>
      <c r="IKN73" s="557"/>
      <c r="IKO73" s="557"/>
      <c r="IKP73" s="557"/>
      <c r="IKQ73" s="557"/>
      <c r="IKR73" s="557"/>
      <c r="IKS73" s="557"/>
      <c r="IKT73" s="557"/>
      <c r="IKU73" s="557"/>
      <c r="IKV73" s="557"/>
      <c r="IKW73" s="557"/>
      <c r="IKX73" s="557"/>
      <c r="IKY73" s="557"/>
      <c r="IKZ73" s="557"/>
      <c r="ILA73" s="557"/>
      <c r="ILB73" s="557"/>
      <c r="ILC73" s="661"/>
      <c r="ILD73" s="556"/>
      <c r="ILE73" s="557"/>
      <c r="ILF73" s="557"/>
      <c r="ILG73" s="557"/>
      <c r="ILH73" s="557"/>
      <c r="ILI73" s="557"/>
      <c r="ILJ73" s="557"/>
      <c r="ILK73" s="557"/>
      <c r="ILL73" s="557"/>
      <c r="ILM73" s="557"/>
      <c r="ILN73" s="557"/>
      <c r="ILO73" s="557"/>
      <c r="ILP73" s="557"/>
      <c r="ILQ73" s="557"/>
      <c r="ILR73" s="557"/>
      <c r="ILS73" s="557"/>
      <c r="ILT73" s="557"/>
      <c r="ILU73" s="557"/>
      <c r="ILV73" s="557"/>
      <c r="ILW73" s="661"/>
      <c r="ILX73" s="556"/>
      <c r="ILY73" s="557"/>
      <c r="ILZ73" s="557"/>
      <c r="IMA73" s="557"/>
      <c r="IMB73" s="557"/>
      <c r="IMC73" s="557"/>
      <c r="IMD73" s="557"/>
      <c r="IME73" s="557"/>
      <c r="IMF73" s="557"/>
      <c r="IMG73" s="557"/>
      <c r="IMH73" s="557"/>
      <c r="IMI73" s="557"/>
      <c r="IMJ73" s="557"/>
      <c r="IMK73" s="557"/>
      <c r="IML73" s="557"/>
      <c r="IMM73" s="557"/>
      <c r="IMN73" s="557"/>
      <c r="IMO73" s="557"/>
      <c r="IMP73" s="557"/>
      <c r="IMQ73" s="661"/>
      <c r="IMR73" s="556"/>
      <c r="IMS73" s="557"/>
      <c r="IMT73" s="557"/>
      <c r="IMU73" s="557"/>
      <c r="IMV73" s="557"/>
      <c r="IMW73" s="557"/>
      <c r="IMX73" s="557"/>
      <c r="IMY73" s="557"/>
      <c r="IMZ73" s="557"/>
      <c r="INA73" s="557"/>
      <c r="INB73" s="557"/>
      <c r="INC73" s="557"/>
      <c r="IND73" s="557"/>
      <c r="INE73" s="557"/>
      <c r="INF73" s="557"/>
      <c r="ING73" s="557"/>
      <c r="INH73" s="557"/>
      <c r="INI73" s="557"/>
      <c r="INJ73" s="557"/>
      <c r="INK73" s="661"/>
      <c r="INL73" s="556"/>
      <c r="INM73" s="557"/>
      <c r="INN73" s="557"/>
      <c r="INO73" s="557"/>
      <c r="INP73" s="557"/>
      <c r="INQ73" s="557"/>
      <c r="INR73" s="557"/>
      <c r="INS73" s="557"/>
      <c r="INT73" s="557"/>
      <c r="INU73" s="557"/>
      <c r="INV73" s="557"/>
      <c r="INW73" s="557"/>
      <c r="INX73" s="557"/>
      <c r="INY73" s="557"/>
      <c r="INZ73" s="557"/>
      <c r="IOA73" s="557"/>
      <c r="IOB73" s="557"/>
      <c r="IOC73" s="557"/>
      <c r="IOD73" s="557"/>
      <c r="IOE73" s="661"/>
      <c r="IOF73" s="556"/>
      <c r="IOG73" s="557"/>
      <c r="IOH73" s="557"/>
      <c r="IOI73" s="557"/>
      <c r="IOJ73" s="557"/>
      <c r="IOK73" s="557"/>
      <c r="IOL73" s="557"/>
      <c r="IOM73" s="557"/>
      <c r="ION73" s="557"/>
      <c r="IOO73" s="557"/>
      <c r="IOP73" s="557"/>
      <c r="IOQ73" s="557"/>
      <c r="IOR73" s="557"/>
      <c r="IOS73" s="557"/>
      <c r="IOT73" s="557"/>
      <c r="IOU73" s="557"/>
      <c r="IOV73" s="557"/>
      <c r="IOW73" s="557"/>
      <c r="IOX73" s="557"/>
      <c r="IOY73" s="661"/>
      <c r="IOZ73" s="556"/>
      <c r="IPA73" s="557"/>
      <c r="IPB73" s="557"/>
      <c r="IPC73" s="557"/>
      <c r="IPD73" s="557"/>
      <c r="IPE73" s="557"/>
      <c r="IPF73" s="557"/>
      <c r="IPG73" s="557"/>
      <c r="IPH73" s="557"/>
      <c r="IPI73" s="557"/>
      <c r="IPJ73" s="557"/>
      <c r="IPK73" s="557"/>
      <c r="IPL73" s="557"/>
      <c r="IPM73" s="557"/>
      <c r="IPN73" s="557"/>
      <c r="IPO73" s="557"/>
      <c r="IPP73" s="557"/>
      <c r="IPQ73" s="557"/>
      <c r="IPR73" s="557"/>
      <c r="IPS73" s="661"/>
      <c r="IPT73" s="556"/>
      <c r="IPU73" s="557"/>
      <c r="IPV73" s="557"/>
      <c r="IPW73" s="557"/>
      <c r="IPX73" s="557"/>
      <c r="IPY73" s="557"/>
      <c r="IPZ73" s="557"/>
      <c r="IQA73" s="557"/>
      <c r="IQB73" s="557"/>
      <c r="IQC73" s="557"/>
      <c r="IQD73" s="557"/>
      <c r="IQE73" s="557"/>
      <c r="IQF73" s="557"/>
      <c r="IQG73" s="557"/>
      <c r="IQH73" s="557"/>
      <c r="IQI73" s="557"/>
      <c r="IQJ73" s="557"/>
      <c r="IQK73" s="557"/>
      <c r="IQL73" s="557"/>
      <c r="IQM73" s="661"/>
      <c r="IQN73" s="556"/>
      <c r="IQO73" s="557"/>
      <c r="IQP73" s="557"/>
      <c r="IQQ73" s="557"/>
      <c r="IQR73" s="557"/>
      <c r="IQS73" s="557"/>
      <c r="IQT73" s="557"/>
      <c r="IQU73" s="557"/>
      <c r="IQV73" s="557"/>
      <c r="IQW73" s="557"/>
      <c r="IQX73" s="557"/>
      <c r="IQY73" s="557"/>
      <c r="IQZ73" s="557"/>
      <c r="IRA73" s="557"/>
      <c r="IRB73" s="557"/>
      <c r="IRC73" s="557"/>
      <c r="IRD73" s="557"/>
      <c r="IRE73" s="557"/>
      <c r="IRF73" s="557"/>
      <c r="IRG73" s="661"/>
      <c r="IRH73" s="556"/>
      <c r="IRI73" s="557"/>
      <c r="IRJ73" s="557"/>
      <c r="IRK73" s="557"/>
      <c r="IRL73" s="557"/>
      <c r="IRM73" s="557"/>
      <c r="IRN73" s="557"/>
      <c r="IRO73" s="557"/>
      <c r="IRP73" s="557"/>
      <c r="IRQ73" s="557"/>
      <c r="IRR73" s="557"/>
      <c r="IRS73" s="557"/>
      <c r="IRT73" s="557"/>
      <c r="IRU73" s="557"/>
      <c r="IRV73" s="557"/>
      <c r="IRW73" s="557"/>
      <c r="IRX73" s="557"/>
      <c r="IRY73" s="557"/>
      <c r="IRZ73" s="557"/>
      <c r="ISA73" s="661"/>
      <c r="ISB73" s="556"/>
      <c r="ISC73" s="557"/>
      <c r="ISD73" s="557"/>
      <c r="ISE73" s="557"/>
      <c r="ISF73" s="557"/>
      <c r="ISG73" s="557"/>
      <c r="ISH73" s="557"/>
      <c r="ISI73" s="557"/>
      <c r="ISJ73" s="557"/>
      <c r="ISK73" s="557"/>
      <c r="ISL73" s="557"/>
      <c r="ISM73" s="557"/>
      <c r="ISN73" s="557"/>
      <c r="ISO73" s="557"/>
      <c r="ISP73" s="557"/>
      <c r="ISQ73" s="557"/>
      <c r="ISR73" s="557"/>
      <c r="ISS73" s="557"/>
      <c r="IST73" s="557"/>
      <c r="ISU73" s="661"/>
      <c r="ISV73" s="556"/>
      <c r="ISW73" s="557"/>
      <c r="ISX73" s="557"/>
      <c r="ISY73" s="557"/>
      <c r="ISZ73" s="557"/>
      <c r="ITA73" s="557"/>
      <c r="ITB73" s="557"/>
      <c r="ITC73" s="557"/>
      <c r="ITD73" s="557"/>
      <c r="ITE73" s="557"/>
      <c r="ITF73" s="557"/>
      <c r="ITG73" s="557"/>
      <c r="ITH73" s="557"/>
      <c r="ITI73" s="557"/>
      <c r="ITJ73" s="557"/>
      <c r="ITK73" s="557"/>
      <c r="ITL73" s="557"/>
      <c r="ITM73" s="557"/>
      <c r="ITN73" s="557"/>
      <c r="ITO73" s="661"/>
      <c r="ITP73" s="556"/>
      <c r="ITQ73" s="557"/>
      <c r="ITR73" s="557"/>
      <c r="ITS73" s="557"/>
      <c r="ITT73" s="557"/>
      <c r="ITU73" s="557"/>
      <c r="ITV73" s="557"/>
      <c r="ITW73" s="557"/>
      <c r="ITX73" s="557"/>
      <c r="ITY73" s="557"/>
      <c r="ITZ73" s="557"/>
      <c r="IUA73" s="557"/>
      <c r="IUB73" s="557"/>
      <c r="IUC73" s="557"/>
      <c r="IUD73" s="557"/>
      <c r="IUE73" s="557"/>
      <c r="IUF73" s="557"/>
      <c r="IUG73" s="557"/>
      <c r="IUH73" s="557"/>
      <c r="IUI73" s="661"/>
      <c r="IUJ73" s="556"/>
      <c r="IUK73" s="557"/>
      <c r="IUL73" s="557"/>
      <c r="IUM73" s="557"/>
      <c r="IUN73" s="557"/>
      <c r="IUO73" s="557"/>
      <c r="IUP73" s="557"/>
      <c r="IUQ73" s="557"/>
      <c r="IUR73" s="557"/>
      <c r="IUS73" s="557"/>
      <c r="IUT73" s="557"/>
      <c r="IUU73" s="557"/>
      <c r="IUV73" s="557"/>
      <c r="IUW73" s="557"/>
      <c r="IUX73" s="557"/>
      <c r="IUY73" s="557"/>
      <c r="IUZ73" s="557"/>
      <c r="IVA73" s="557"/>
      <c r="IVB73" s="557"/>
      <c r="IVC73" s="661"/>
      <c r="IVD73" s="556"/>
      <c r="IVE73" s="557"/>
      <c r="IVF73" s="557"/>
      <c r="IVG73" s="557"/>
      <c r="IVH73" s="557"/>
      <c r="IVI73" s="557"/>
      <c r="IVJ73" s="557"/>
      <c r="IVK73" s="557"/>
      <c r="IVL73" s="557"/>
      <c r="IVM73" s="557"/>
      <c r="IVN73" s="557"/>
      <c r="IVO73" s="557"/>
      <c r="IVP73" s="557"/>
      <c r="IVQ73" s="557"/>
      <c r="IVR73" s="557"/>
      <c r="IVS73" s="557"/>
      <c r="IVT73" s="557"/>
      <c r="IVU73" s="557"/>
      <c r="IVV73" s="557"/>
      <c r="IVW73" s="661"/>
      <c r="IVX73" s="556"/>
      <c r="IVY73" s="557"/>
      <c r="IVZ73" s="557"/>
      <c r="IWA73" s="557"/>
      <c r="IWB73" s="557"/>
      <c r="IWC73" s="557"/>
      <c r="IWD73" s="557"/>
      <c r="IWE73" s="557"/>
      <c r="IWF73" s="557"/>
      <c r="IWG73" s="557"/>
      <c r="IWH73" s="557"/>
      <c r="IWI73" s="557"/>
      <c r="IWJ73" s="557"/>
      <c r="IWK73" s="557"/>
      <c r="IWL73" s="557"/>
      <c r="IWM73" s="557"/>
      <c r="IWN73" s="557"/>
      <c r="IWO73" s="557"/>
      <c r="IWP73" s="557"/>
      <c r="IWQ73" s="661"/>
      <c r="IWR73" s="556"/>
      <c r="IWS73" s="557"/>
      <c r="IWT73" s="557"/>
      <c r="IWU73" s="557"/>
      <c r="IWV73" s="557"/>
      <c r="IWW73" s="557"/>
      <c r="IWX73" s="557"/>
      <c r="IWY73" s="557"/>
      <c r="IWZ73" s="557"/>
      <c r="IXA73" s="557"/>
      <c r="IXB73" s="557"/>
      <c r="IXC73" s="557"/>
      <c r="IXD73" s="557"/>
      <c r="IXE73" s="557"/>
      <c r="IXF73" s="557"/>
      <c r="IXG73" s="557"/>
      <c r="IXH73" s="557"/>
      <c r="IXI73" s="557"/>
      <c r="IXJ73" s="557"/>
      <c r="IXK73" s="661"/>
      <c r="IXL73" s="556"/>
      <c r="IXM73" s="557"/>
      <c r="IXN73" s="557"/>
      <c r="IXO73" s="557"/>
      <c r="IXP73" s="557"/>
      <c r="IXQ73" s="557"/>
      <c r="IXR73" s="557"/>
      <c r="IXS73" s="557"/>
      <c r="IXT73" s="557"/>
      <c r="IXU73" s="557"/>
      <c r="IXV73" s="557"/>
      <c r="IXW73" s="557"/>
      <c r="IXX73" s="557"/>
      <c r="IXY73" s="557"/>
      <c r="IXZ73" s="557"/>
      <c r="IYA73" s="557"/>
      <c r="IYB73" s="557"/>
      <c r="IYC73" s="557"/>
      <c r="IYD73" s="557"/>
      <c r="IYE73" s="661"/>
      <c r="IYF73" s="556"/>
      <c r="IYG73" s="557"/>
      <c r="IYH73" s="557"/>
      <c r="IYI73" s="557"/>
      <c r="IYJ73" s="557"/>
      <c r="IYK73" s="557"/>
      <c r="IYL73" s="557"/>
      <c r="IYM73" s="557"/>
      <c r="IYN73" s="557"/>
      <c r="IYO73" s="557"/>
      <c r="IYP73" s="557"/>
      <c r="IYQ73" s="557"/>
      <c r="IYR73" s="557"/>
      <c r="IYS73" s="557"/>
      <c r="IYT73" s="557"/>
      <c r="IYU73" s="557"/>
      <c r="IYV73" s="557"/>
      <c r="IYW73" s="557"/>
      <c r="IYX73" s="557"/>
      <c r="IYY73" s="661"/>
      <c r="IYZ73" s="556"/>
      <c r="IZA73" s="557"/>
      <c r="IZB73" s="557"/>
      <c r="IZC73" s="557"/>
      <c r="IZD73" s="557"/>
      <c r="IZE73" s="557"/>
      <c r="IZF73" s="557"/>
      <c r="IZG73" s="557"/>
      <c r="IZH73" s="557"/>
      <c r="IZI73" s="557"/>
      <c r="IZJ73" s="557"/>
      <c r="IZK73" s="557"/>
      <c r="IZL73" s="557"/>
      <c r="IZM73" s="557"/>
      <c r="IZN73" s="557"/>
      <c r="IZO73" s="557"/>
      <c r="IZP73" s="557"/>
      <c r="IZQ73" s="557"/>
      <c r="IZR73" s="557"/>
      <c r="IZS73" s="661"/>
      <c r="IZT73" s="556"/>
      <c r="IZU73" s="557"/>
      <c r="IZV73" s="557"/>
      <c r="IZW73" s="557"/>
      <c r="IZX73" s="557"/>
      <c r="IZY73" s="557"/>
      <c r="IZZ73" s="557"/>
      <c r="JAA73" s="557"/>
      <c r="JAB73" s="557"/>
      <c r="JAC73" s="557"/>
      <c r="JAD73" s="557"/>
      <c r="JAE73" s="557"/>
      <c r="JAF73" s="557"/>
      <c r="JAG73" s="557"/>
      <c r="JAH73" s="557"/>
      <c r="JAI73" s="557"/>
      <c r="JAJ73" s="557"/>
      <c r="JAK73" s="557"/>
      <c r="JAL73" s="557"/>
      <c r="JAM73" s="661"/>
      <c r="JAN73" s="556"/>
      <c r="JAO73" s="557"/>
      <c r="JAP73" s="557"/>
      <c r="JAQ73" s="557"/>
      <c r="JAR73" s="557"/>
      <c r="JAS73" s="557"/>
      <c r="JAT73" s="557"/>
      <c r="JAU73" s="557"/>
      <c r="JAV73" s="557"/>
      <c r="JAW73" s="557"/>
      <c r="JAX73" s="557"/>
      <c r="JAY73" s="557"/>
      <c r="JAZ73" s="557"/>
      <c r="JBA73" s="557"/>
      <c r="JBB73" s="557"/>
      <c r="JBC73" s="557"/>
      <c r="JBD73" s="557"/>
      <c r="JBE73" s="557"/>
      <c r="JBF73" s="557"/>
      <c r="JBG73" s="661"/>
      <c r="JBH73" s="556"/>
      <c r="JBI73" s="557"/>
      <c r="JBJ73" s="557"/>
      <c r="JBK73" s="557"/>
      <c r="JBL73" s="557"/>
      <c r="JBM73" s="557"/>
      <c r="JBN73" s="557"/>
      <c r="JBO73" s="557"/>
      <c r="JBP73" s="557"/>
      <c r="JBQ73" s="557"/>
      <c r="JBR73" s="557"/>
      <c r="JBS73" s="557"/>
      <c r="JBT73" s="557"/>
      <c r="JBU73" s="557"/>
      <c r="JBV73" s="557"/>
      <c r="JBW73" s="557"/>
      <c r="JBX73" s="557"/>
      <c r="JBY73" s="557"/>
      <c r="JBZ73" s="557"/>
      <c r="JCA73" s="661"/>
      <c r="JCB73" s="556"/>
      <c r="JCC73" s="557"/>
      <c r="JCD73" s="557"/>
      <c r="JCE73" s="557"/>
      <c r="JCF73" s="557"/>
      <c r="JCG73" s="557"/>
      <c r="JCH73" s="557"/>
      <c r="JCI73" s="557"/>
      <c r="JCJ73" s="557"/>
      <c r="JCK73" s="557"/>
      <c r="JCL73" s="557"/>
      <c r="JCM73" s="557"/>
      <c r="JCN73" s="557"/>
      <c r="JCO73" s="557"/>
      <c r="JCP73" s="557"/>
      <c r="JCQ73" s="557"/>
      <c r="JCR73" s="557"/>
      <c r="JCS73" s="557"/>
      <c r="JCT73" s="557"/>
      <c r="JCU73" s="661"/>
      <c r="JCV73" s="556"/>
      <c r="JCW73" s="557"/>
      <c r="JCX73" s="557"/>
      <c r="JCY73" s="557"/>
      <c r="JCZ73" s="557"/>
      <c r="JDA73" s="557"/>
      <c r="JDB73" s="557"/>
      <c r="JDC73" s="557"/>
      <c r="JDD73" s="557"/>
      <c r="JDE73" s="557"/>
      <c r="JDF73" s="557"/>
      <c r="JDG73" s="557"/>
      <c r="JDH73" s="557"/>
      <c r="JDI73" s="557"/>
      <c r="JDJ73" s="557"/>
      <c r="JDK73" s="557"/>
      <c r="JDL73" s="557"/>
      <c r="JDM73" s="557"/>
      <c r="JDN73" s="557"/>
      <c r="JDO73" s="661"/>
      <c r="JDP73" s="556"/>
      <c r="JDQ73" s="557"/>
      <c r="JDR73" s="557"/>
      <c r="JDS73" s="557"/>
      <c r="JDT73" s="557"/>
      <c r="JDU73" s="557"/>
      <c r="JDV73" s="557"/>
      <c r="JDW73" s="557"/>
      <c r="JDX73" s="557"/>
      <c r="JDY73" s="557"/>
      <c r="JDZ73" s="557"/>
      <c r="JEA73" s="557"/>
      <c r="JEB73" s="557"/>
      <c r="JEC73" s="557"/>
      <c r="JED73" s="557"/>
      <c r="JEE73" s="557"/>
      <c r="JEF73" s="557"/>
      <c r="JEG73" s="557"/>
      <c r="JEH73" s="557"/>
      <c r="JEI73" s="661"/>
      <c r="JEJ73" s="556"/>
      <c r="JEK73" s="557"/>
      <c r="JEL73" s="557"/>
      <c r="JEM73" s="557"/>
      <c r="JEN73" s="557"/>
      <c r="JEO73" s="557"/>
      <c r="JEP73" s="557"/>
      <c r="JEQ73" s="557"/>
      <c r="JER73" s="557"/>
      <c r="JES73" s="557"/>
      <c r="JET73" s="557"/>
      <c r="JEU73" s="557"/>
      <c r="JEV73" s="557"/>
      <c r="JEW73" s="557"/>
      <c r="JEX73" s="557"/>
      <c r="JEY73" s="557"/>
      <c r="JEZ73" s="557"/>
      <c r="JFA73" s="557"/>
      <c r="JFB73" s="557"/>
      <c r="JFC73" s="661"/>
      <c r="JFD73" s="556"/>
      <c r="JFE73" s="557"/>
      <c r="JFF73" s="557"/>
      <c r="JFG73" s="557"/>
      <c r="JFH73" s="557"/>
      <c r="JFI73" s="557"/>
      <c r="JFJ73" s="557"/>
      <c r="JFK73" s="557"/>
      <c r="JFL73" s="557"/>
      <c r="JFM73" s="557"/>
      <c r="JFN73" s="557"/>
      <c r="JFO73" s="557"/>
      <c r="JFP73" s="557"/>
      <c r="JFQ73" s="557"/>
      <c r="JFR73" s="557"/>
      <c r="JFS73" s="557"/>
      <c r="JFT73" s="557"/>
      <c r="JFU73" s="557"/>
      <c r="JFV73" s="557"/>
      <c r="JFW73" s="661"/>
      <c r="JFX73" s="556"/>
      <c r="JFY73" s="557"/>
      <c r="JFZ73" s="557"/>
      <c r="JGA73" s="557"/>
      <c r="JGB73" s="557"/>
      <c r="JGC73" s="557"/>
      <c r="JGD73" s="557"/>
      <c r="JGE73" s="557"/>
      <c r="JGF73" s="557"/>
      <c r="JGG73" s="557"/>
      <c r="JGH73" s="557"/>
      <c r="JGI73" s="557"/>
      <c r="JGJ73" s="557"/>
      <c r="JGK73" s="557"/>
      <c r="JGL73" s="557"/>
      <c r="JGM73" s="557"/>
      <c r="JGN73" s="557"/>
      <c r="JGO73" s="557"/>
      <c r="JGP73" s="557"/>
      <c r="JGQ73" s="661"/>
      <c r="JGR73" s="556"/>
      <c r="JGS73" s="557"/>
      <c r="JGT73" s="557"/>
      <c r="JGU73" s="557"/>
      <c r="JGV73" s="557"/>
      <c r="JGW73" s="557"/>
      <c r="JGX73" s="557"/>
      <c r="JGY73" s="557"/>
      <c r="JGZ73" s="557"/>
      <c r="JHA73" s="557"/>
      <c r="JHB73" s="557"/>
      <c r="JHC73" s="557"/>
      <c r="JHD73" s="557"/>
      <c r="JHE73" s="557"/>
      <c r="JHF73" s="557"/>
      <c r="JHG73" s="557"/>
      <c r="JHH73" s="557"/>
      <c r="JHI73" s="557"/>
      <c r="JHJ73" s="557"/>
      <c r="JHK73" s="661"/>
      <c r="JHL73" s="556"/>
      <c r="JHM73" s="557"/>
      <c r="JHN73" s="557"/>
      <c r="JHO73" s="557"/>
      <c r="JHP73" s="557"/>
      <c r="JHQ73" s="557"/>
      <c r="JHR73" s="557"/>
      <c r="JHS73" s="557"/>
      <c r="JHT73" s="557"/>
      <c r="JHU73" s="557"/>
      <c r="JHV73" s="557"/>
      <c r="JHW73" s="557"/>
      <c r="JHX73" s="557"/>
      <c r="JHY73" s="557"/>
      <c r="JHZ73" s="557"/>
      <c r="JIA73" s="557"/>
      <c r="JIB73" s="557"/>
      <c r="JIC73" s="557"/>
      <c r="JID73" s="557"/>
      <c r="JIE73" s="661"/>
      <c r="JIF73" s="556"/>
      <c r="JIG73" s="557"/>
      <c r="JIH73" s="557"/>
      <c r="JII73" s="557"/>
      <c r="JIJ73" s="557"/>
      <c r="JIK73" s="557"/>
      <c r="JIL73" s="557"/>
      <c r="JIM73" s="557"/>
      <c r="JIN73" s="557"/>
      <c r="JIO73" s="557"/>
      <c r="JIP73" s="557"/>
      <c r="JIQ73" s="557"/>
      <c r="JIR73" s="557"/>
      <c r="JIS73" s="557"/>
      <c r="JIT73" s="557"/>
      <c r="JIU73" s="557"/>
      <c r="JIV73" s="557"/>
      <c r="JIW73" s="557"/>
      <c r="JIX73" s="557"/>
      <c r="JIY73" s="661"/>
      <c r="JIZ73" s="556"/>
      <c r="JJA73" s="557"/>
      <c r="JJB73" s="557"/>
      <c r="JJC73" s="557"/>
      <c r="JJD73" s="557"/>
      <c r="JJE73" s="557"/>
      <c r="JJF73" s="557"/>
      <c r="JJG73" s="557"/>
      <c r="JJH73" s="557"/>
      <c r="JJI73" s="557"/>
      <c r="JJJ73" s="557"/>
      <c r="JJK73" s="557"/>
      <c r="JJL73" s="557"/>
      <c r="JJM73" s="557"/>
      <c r="JJN73" s="557"/>
      <c r="JJO73" s="557"/>
      <c r="JJP73" s="557"/>
      <c r="JJQ73" s="557"/>
      <c r="JJR73" s="557"/>
      <c r="JJS73" s="661"/>
      <c r="JJT73" s="556"/>
      <c r="JJU73" s="557"/>
      <c r="JJV73" s="557"/>
      <c r="JJW73" s="557"/>
      <c r="JJX73" s="557"/>
      <c r="JJY73" s="557"/>
      <c r="JJZ73" s="557"/>
      <c r="JKA73" s="557"/>
      <c r="JKB73" s="557"/>
      <c r="JKC73" s="557"/>
      <c r="JKD73" s="557"/>
      <c r="JKE73" s="557"/>
      <c r="JKF73" s="557"/>
      <c r="JKG73" s="557"/>
      <c r="JKH73" s="557"/>
      <c r="JKI73" s="557"/>
      <c r="JKJ73" s="557"/>
      <c r="JKK73" s="557"/>
      <c r="JKL73" s="557"/>
      <c r="JKM73" s="661"/>
      <c r="JKN73" s="556"/>
      <c r="JKO73" s="557"/>
      <c r="JKP73" s="557"/>
      <c r="JKQ73" s="557"/>
      <c r="JKR73" s="557"/>
      <c r="JKS73" s="557"/>
      <c r="JKT73" s="557"/>
      <c r="JKU73" s="557"/>
      <c r="JKV73" s="557"/>
      <c r="JKW73" s="557"/>
      <c r="JKX73" s="557"/>
      <c r="JKY73" s="557"/>
      <c r="JKZ73" s="557"/>
      <c r="JLA73" s="557"/>
      <c r="JLB73" s="557"/>
      <c r="JLC73" s="557"/>
      <c r="JLD73" s="557"/>
      <c r="JLE73" s="557"/>
      <c r="JLF73" s="557"/>
      <c r="JLG73" s="661"/>
      <c r="JLH73" s="556"/>
      <c r="JLI73" s="557"/>
      <c r="JLJ73" s="557"/>
      <c r="JLK73" s="557"/>
      <c r="JLL73" s="557"/>
      <c r="JLM73" s="557"/>
      <c r="JLN73" s="557"/>
      <c r="JLO73" s="557"/>
      <c r="JLP73" s="557"/>
      <c r="JLQ73" s="557"/>
      <c r="JLR73" s="557"/>
      <c r="JLS73" s="557"/>
      <c r="JLT73" s="557"/>
      <c r="JLU73" s="557"/>
      <c r="JLV73" s="557"/>
      <c r="JLW73" s="557"/>
      <c r="JLX73" s="557"/>
      <c r="JLY73" s="557"/>
      <c r="JLZ73" s="557"/>
      <c r="JMA73" s="661"/>
      <c r="JMB73" s="556"/>
      <c r="JMC73" s="557"/>
      <c r="JMD73" s="557"/>
      <c r="JME73" s="557"/>
      <c r="JMF73" s="557"/>
      <c r="JMG73" s="557"/>
      <c r="JMH73" s="557"/>
      <c r="JMI73" s="557"/>
      <c r="JMJ73" s="557"/>
      <c r="JMK73" s="557"/>
      <c r="JML73" s="557"/>
      <c r="JMM73" s="557"/>
      <c r="JMN73" s="557"/>
      <c r="JMO73" s="557"/>
      <c r="JMP73" s="557"/>
      <c r="JMQ73" s="557"/>
      <c r="JMR73" s="557"/>
      <c r="JMS73" s="557"/>
      <c r="JMT73" s="557"/>
      <c r="JMU73" s="661"/>
      <c r="JMV73" s="556"/>
      <c r="JMW73" s="557"/>
      <c r="JMX73" s="557"/>
      <c r="JMY73" s="557"/>
      <c r="JMZ73" s="557"/>
      <c r="JNA73" s="557"/>
      <c r="JNB73" s="557"/>
      <c r="JNC73" s="557"/>
      <c r="JND73" s="557"/>
      <c r="JNE73" s="557"/>
      <c r="JNF73" s="557"/>
      <c r="JNG73" s="557"/>
      <c r="JNH73" s="557"/>
      <c r="JNI73" s="557"/>
      <c r="JNJ73" s="557"/>
      <c r="JNK73" s="557"/>
      <c r="JNL73" s="557"/>
      <c r="JNM73" s="557"/>
      <c r="JNN73" s="557"/>
      <c r="JNO73" s="661"/>
      <c r="JNP73" s="556"/>
      <c r="JNQ73" s="557"/>
      <c r="JNR73" s="557"/>
      <c r="JNS73" s="557"/>
      <c r="JNT73" s="557"/>
      <c r="JNU73" s="557"/>
      <c r="JNV73" s="557"/>
      <c r="JNW73" s="557"/>
      <c r="JNX73" s="557"/>
      <c r="JNY73" s="557"/>
      <c r="JNZ73" s="557"/>
      <c r="JOA73" s="557"/>
      <c r="JOB73" s="557"/>
      <c r="JOC73" s="557"/>
      <c r="JOD73" s="557"/>
      <c r="JOE73" s="557"/>
      <c r="JOF73" s="557"/>
      <c r="JOG73" s="557"/>
      <c r="JOH73" s="557"/>
      <c r="JOI73" s="661"/>
      <c r="JOJ73" s="556"/>
      <c r="JOK73" s="557"/>
      <c r="JOL73" s="557"/>
      <c r="JOM73" s="557"/>
      <c r="JON73" s="557"/>
      <c r="JOO73" s="557"/>
      <c r="JOP73" s="557"/>
      <c r="JOQ73" s="557"/>
      <c r="JOR73" s="557"/>
      <c r="JOS73" s="557"/>
      <c r="JOT73" s="557"/>
      <c r="JOU73" s="557"/>
      <c r="JOV73" s="557"/>
      <c r="JOW73" s="557"/>
      <c r="JOX73" s="557"/>
      <c r="JOY73" s="557"/>
      <c r="JOZ73" s="557"/>
      <c r="JPA73" s="557"/>
      <c r="JPB73" s="557"/>
      <c r="JPC73" s="661"/>
      <c r="JPD73" s="556"/>
      <c r="JPE73" s="557"/>
      <c r="JPF73" s="557"/>
      <c r="JPG73" s="557"/>
      <c r="JPH73" s="557"/>
      <c r="JPI73" s="557"/>
      <c r="JPJ73" s="557"/>
      <c r="JPK73" s="557"/>
      <c r="JPL73" s="557"/>
      <c r="JPM73" s="557"/>
      <c r="JPN73" s="557"/>
      <c r="JPO73" s="557"/>
      <c r="JPP73" s="557"/>
      <c r="JPQ73" s="557"/>
      <c r="JPR73" s="557"/>
      <c r="JPS73" s="557"/>
      <c r="JPT73" s="557"/>
      <c r="JPU73" s="557"/>
      <c r="JPV73" s="557"/>
      <c r="JPW73" s="661"/>
      <c r="JPX73" s="556"/>
      <c r="JPY73" s="557"/>
      <c r="JPZ73" s="557"/>
      <c r="JQA73" s="557"/>
      <c r="JQB73" s="557"/>
      <c r="JQC73" s="557"/>
      <c r="JQD73" s="557"/>
      <c r="JQE73" s="557"/>
      <c r="JQF73" s="557"/>
      <c r="JQG73" s="557"/>
      <c r="JQH73" s="557"/>
      <c r="JQI73" s="557"/>
      <c r="JQJ73" s="557"/>
      <c r="JQK73" s="557"/>
      <c r="JQL73" s="557"/>
      <c r="JQM73" s="557"/>
      <c r="JQN73" s="557"/>
      <c r="JQO73" s="557"/>
      <c r="JQP73" s="557"/>
      <c r="JQQ73" s="661"/>
      <c r="JQR73" s="556"/>
      <c r="JQS73" s="557"/>
      <c r="JQT73" s="557"/>
      <c r="JQU73" s="557"/>
      <c r="JQV73" s="557"/>
      <c r="JQW73" s="557"/>
      <c r="JQX73" s="557"/>
      <c r="JQY73" s="557"/>
      <c r="JQZ73" s="557"/>
      <c r="JRA73" s="557"/>
      <c r="JRB73" s="557"/>
      <c r="JRC73" s="557"/>
      <c r="JRD73" s="557"/>
      <c r="JRE73" s="557"/>
      <c r="JRF73" s="557"/>
      <c r="JRG73" s="557"/>
      <c r="JRH73" s="557"/>
      <c r="JRI73" s="557"/>
      <c r="JRJ73" s="557"/>
      <c r="JRK73" s="661"/>
      <c r="JRL73" s="556"/>
      <c r="JRM73" s="557"/>
      <c r="JRN73" s="557"/>
      <c r="JRO73" s="557"/>
      <c r="JRP73" s="557"/>
      <c r="JRQ73" s="557"/>
      <c r="JRR73" s="557"/>
      <c r="JRS73" s="557"/>
      <c r="JRT73" s="557"/>
      <c r="JRU73" s="557"/>
      <c r="JRV73" s="557"/>
      <c r="JRW73" s="557"/>
      <c r="JRX73" s="557"/>
      <c r="JRY73" s="557"/>
      <c r="JRZ73" s="557"/>
      <c r="JSA73" s="557"/>
      <c r="JSB73" s="557"/>
      <c r="JSC73" s="557"/>
      <c r="JSD73" s="557"/>
      <c r="JSE73" s="661"/>
      <c r="JSF73" s="556"/>
      <c r="JSG73" s="557"/>
      <c r="JSH73" s="557"/>
      <c r="JSI73" s="557"/>
      <c r="JSJ73" s="557"/>
      <c r="JSK73" s="557"/>
      <c r="JSL73" s="557"/>
      <c r="JSM73" s="557"/>
      <c r="JSN73" s="557"/>
      <c r="JSO73" s="557"/>
      <c r="JSP73" s="557"/>
      <c r="JSQ73" s="557"/>
      <c r="JSR73" s="557"/>
      <c r="JSS73" s="557"/>
      <c r="JST73" s="557"/>
      <c r="JSU73" s="557"/>
      <c r="JSV73" s="557"/>
      <c r="JSW73" s="557"/>
      <c r="JSX73" s="557"/>
      <c r="JSY73" s="661"/>
      <c r="JSZ73" s="556"/>
      <c r="JTA73" s="557"/>
      <c r="JTB73" s="557"/>
      <c r="JTC73" s="557"/>
      <c r="JTD73" s="557"/>
      <c r="JTE73" s="557"/>
      <c r="JTF73" s="557"/>
      <c r="JTG73" s="557"/>
      <c r="JTH73" s="557"/>
      <c r="JTI73" s="557"/>
      <c r="JTJ73" s="557"/>
      <c r="JTK73" s="557"/>
      <c r="JTL73" s="557"/>
      <c r="JTM73" s="557"/>
      <c r="JTN73" s="557"/>
      <c r="JTO73" s="557"/>
      <c r="JTP73" s="557"/>
      <c r="JTQ73" s="557"/>
      <c r="JTR73" s="557"/>
      <c r="JTS73" s="661"/>
      <c r="JTT73" s="556"/>
      <c r="JTU73" s="557"/>
      <c r="JTV73" s="557"/>
      <c r="JTW73" s="557"/>
      <c r="JTX73" s="557"/>
      <c r="JTY73" s="557"/>
      <c r="JTZ73" s="557"/>
      <c r="JUA73" s="557"/>
      <c r="JUB73" s="557"/>
      <c r="JUC73" s="557"/>
      <c r="JUD73" s="557"/>
      <c r="JUE73" s="557"/>
      <c r="JUF73" s="557"/>
      <c r="JUG73" s="557"/>
      <c r="JUH73" s="557"/>
      <c r="JUI73" s="557"/>
      <c r="JUJ73" s="557"/>
      <c r="JUK73" s="557"/>
      <c r="JUL73" s="557"/>
      <c r="JUM73" s="661"/>
      <c r="JUN73" s="556"/>
      <c r="JUO73" s="557"/>
      <c r="JUP73" s="557"/>
      <c r="JUQ73" s="557"/>
      <c r="JUR73" s="557"/>
      <c r="JUS73" s="557"/>
      <c r="JUT73" s="557"/>
      <c r="JUU73" s="557"/>
      <c r="JUV73" s="557"/>
      <c r="JUW73" s="557"/>
      <c r="JUX73" s="557"/>
      <c r="JUY73" s="557"/>
      <c r="JUZ73" s="557"/>
      <c r="JVA73" s="557"/>
      <c r="JVB73" s="557"/>
      <c r="JVC73" s="557"/>
      <c r="JVD73" s="557"/>
      <c r="JVE73" s="557"/>
      <c r="JVF73" s="557"/>
      <c r="JVG73" s="661"/>
      <c r="JVH73" s="556"/>
      <c r="JVI73" s="557"/>
      <c r="JVJ73" s="557"/>
      <c r="JVK73" s="557"/>
      <c r="JVL73" s="557"/>
      <c r="JVM73" s="557"/>
      <c r="JVN73" s="557"/>
      <c r="JVO73" s="557"/>
      <c r="JVP73" s="557"/>
      <c r="JVQ73" s="557"/>
      <c r="JVR73" s="557"/>
      <c r="JVS73" s="557"/>
      <c r="JVT73" s="557"/>
      <c r="JVU73" s="557"/>
      <c r="JVV73" s="557"/>
      <c r="JVW73" s="557"/>
      <c r="JVX73" s="557"/>
      <c r="JVY73" s="557"/>
      <c r="JVZ73" s="557"/>
      <c r="JWA73" s="661"/>
      <c r="JWB73" s="556"/>
      <c r="JWC73" s="557"/>
      <c r="JWD73" s="557"/>
      <c r="JWE73" s="557"/>
      <c r="JWF73" s="557"/>
      <c r="JWG73" s="557"/>
      <c r="JWH73" s="557"/>
      <c r="JWI73" s="557"/>
      <c r="JWJ73" s="557"/>
      <c r="JWK73" s="557"/>
      <c r="JWL73" s="557"/>
      <c r="JWM73" s="557"/>
      <c r="JWN73" s="557"/>
      <c r="JWO73" s="557"/>
      <c r="JWP73" s="557"/>
      <c r="JWQ73" s="557"/>
      <c r="JWR73" s="557"/>
      <c r="JWS73" s="557"/>
      <c r="JWT73" s="557"/>
      <c r="JWU73" s="661"/>
      <c r="JWV73" s="556"/>
      <c r="JWW73" s="557"/>
      <c r="JWX73" s="557"/>
      <c r="JWY73" s="557"/>
      <c r="JWZ73" s="557"/>
      <c r="JXA73" s="557"/>
      <c r="JXB73" s="557"/>
      <c r="JXC73" s="557"/>
      <c r="JXD73" s="557"/>
      <c r="JXE73" s="557"/>
      <c r="JXF73" s="557"/>
      <c r="JXG73" s="557"/>
      <c r="JXH73" s="557"/>
      <c r="JXI73" s="557"/>
      <c r="JXJ73" s="557"/>
      <c r="JXK73" s="557"/>
      <c r="JXL73" s="557"/>
      <c r="JXM73" s="557"/>
      <c r="JXN73" s="557"/>
      <c r="JXO73" s="661"/>
      <c r="JXP73" s="556"/>
      <c r="JXQ73" s="557"/>
      <c r="JXR73" s="557"/>
      <c r="JXS73" s="557"/>
      <c r="JXT73" s="557"/>
      <c r="JXU73" s="557"/>
      <c r="JXV73" s="557"/>
      <c r="JXW73" s="557"/>
      <c r="JXX73" s="557"/>
      <c r="JXY73" s="557"/>
      <c r="JXZ73" s="557"/>
      <c r="JYA73" s="557"/>
      <c r="JYB73" s="557"/>
      <c r="JYC73" s="557"/>
      <c r="JYD73" s="557"/>
      <c r="JYE73" s="557"/>
      <c r="JYF73" s="557"/>
      <c r="JYG73" s="557"/>
      <c r="JYH73" s="557"/>
      <c r="JYI73" s="661"/>
      <c r="JYJ73" s="556"/>
      <c r="JYK73" s="557"/>
      <c r="JYL73" s="557"/>
      <c r="JYM73" s="557"/>
      <c r="JYN73" s="557"/>
      <c r="JYO73" s="557"/>
      <c r="JYP73" s="557"/>
      <c r="JYQ73" s="557"/>
      <c r="JYR73" s="557"/>
      <c r="JYS73" s="557"/>
      <c r="JYT73" s="557"/>
      <c r="JYU73" s="557"/>
      <c r="JYV73" s="557"/>
      <c r="JYW73" s="557"/>
      <c r="JYX73" s="557"/>
      <c r="JYY73" s="557"/>
      <c r="JYZ73" s="557"/>
      <c r="JZA73" s="557"/>
      <c r="JZB73" s="557"/>
      <c r="JZC73" s="661"/>
      <c r="JZD73" s="556"/>
      <c r="JZE73" s="557"/>
      <c r="JZF73" s="557"/>
      <c r="JZG73" s="557"/>
      <c r="JZH73" s="557"/>
      <c r="JZI73" s="557"/>
      <c r="JZJ73" s="557"/>
      <c r="JZK73" s="557"/>
      <c r="JZL73" s="557"/>
      <c r="JZM73" s="557"/>
      <c r="JZN73" s="557"/>
      <c r="JZO73" s="557"/>
      <c r="JZP73" s="557"/>
      <c r="JZQ73" s="557"/>
      <c r="JZR73" s="557"/>
      <c r="JZS73" s="557"/>
      <c r="JZT73" s="557"/>
      <c r="JZU73" s="557"/>
      <c r="JZV73" s="557"/>
      <c r="JZW73" s="661"/>
      <c r="JZX73" s="556"/>
      <c r="JZY73" s="557"/>
      <c r="JZZ73" s="557"/>
      <c r="KAA73" s="557"/>
      <c r="KAB73" s="557"/>
      <c r="KAC73" s="557"/>
      <c r="KAD73" s="557"/>
      <c r="KAE73" s="557"/>
      <c r="KAF73" s="557"/>
      <c r="KAG73" s="557"/>
      <c r="KAH73" s="557"/>
      <c r="KAI73" s="557"/>
      <c r="KAJ73" s="557"/>
      <c r="KAK73" s="557"/>
      <c r="KAL73" s="557"/>
      <c r="KAM73" s="557"/>
      <c r="KAN73" s="557"/>
      <c r="KAO73" s="557"/>
      <c r="KAP73" s="557"/>
      <c r="KAQ73" s="661"/>
      <c r="KAR73" s="556"/>
      <c r="KAS73" s="557"/>
      <c r="KAT73" s="557"/>
      <c r="KAU73" s="557"/>
      <c r="KAV73" s="557"/>
      <c r="KAW73" s="557"/>
      <c r="KAX73" s="557"/>
      <c r="KAY73" s="557"/>
      <c r="KAZ73" s="557"/>
      <c r="KBA73" s="557"/>
      <c r="KBB73" s="557"/>
      <c r="KBC73" s="557"/>
      <c r="KBD73" s="557"/>
      <c r="KBE73" s="557"/>
      <c r="KBF73" s="557"/>
      <c r="KBG73" s="557"/>
      <c r="KBH73" s="557"/>
      <c r="KBI73" s="557"/>
      <c r="KBJ73" s="557"/>
      <c r="KBK73" s="661"/>
      <c r="KBL73" s="556"/>
      <c r="KBM73" s="557"/>
      <c r="KBN73" s="557"/>
      <c r="KBO73" s="557"/>
      <c r="KBP73" s="557"/>
      <c r="KBQ73" s="557"/>
      <c r="KBR73" s="557"/>
      <c r="KBS73" s="557"/>
      <c r="KBT73" s="557"/>
      <c r="KBU73" s="557"/>
      <c r="KBV73" s="557"/>
      <c r="KBW73" s="557"/>
      <c r="KBX73" s="557"/>
      <c r="KBY73" s="557"/>
      <c r="KBZ73" s="557"/>
      <c r="KCA73" s="557"/>
      <c r="KCB73" s="557"/>
      <c r="KCC73" s="557"/>
      <c r="KCD73" s="557"/>
      <c r="KCE73" s="661"/>
      <c r="KCF73" s="556"/>
      <c r="KCG73" s="557"/>
      <c r="KCH73" s="557"/>
      <c r="KCI73" s="557"/>
      <c r="KCJ73" s="557"/>
      <c r="KCK73" s="557"/>
      <c r="KCL73" s="557"/>
      <c r="KCM73" s="557"/>
      <c r="KCN73" s="557"/>
      <c r="KCO73" s="557"/>
      <c r="KCP73" s="557"/>
      <c r="KCQ73" s="557"/>
      <c r="KCR73" s="557"/>
      <c r="KCS73" s="557"/>
      <c r="KCT73" s="557"/>
      <c r="KCU73" s="557"/>
      <c r="KCV73" s="557"/>
      <c r="KCW73" s="557"/>
      <c r="KCX73" s="557"/>
      <c r="KCY73" s="661"/>
      <c r="KCZ73" s="556"/>
      <c r="KDA73" s="557"/>
      <c r="KDB73" s="557"/>
      <c r="KDC73" s="557"/>
      <c r="KDD73" s="557"/>
      <c r="KDE73" s="557"/>
      <c r="KDF73" s="557"/>
      <c r="KDG73" s="557"/>
      <c r="KDH73" s="557"/>
      <c r="KDI73" s="557"/>
      <c r="KDJ73" s="557"/>
      <c r="KDK73" s="557"/>
      <c r="KDL73" s="557"/>
      <c r="KDM73" s="557"/>
      <c r="KDN73" s="557"/>
      <c r="KDO73" s="557"/>
      <c r="KDP73" s="557"/>
      <c r="KDQ73" s="557"/>
      <c r="KDR73" s="557"/>
      <c r="KDS73" s="661"/>
      <c r="KDT73" s="556"/>
      <c r="KDU73" s="557"/>
      <c r="KDV73" s="557"/>
      <c r="KDW73" s="557"/>
      <c r="KDX73" s="557"/>
      <c r="KDY73" s="557"/>
      <c r="KDZ73" s="557"/>
      <c r="KEA73" s="557"/>
      <c r="KEB73" s="557"/>
      <c r="KEC73" s="557"/>
      <c r="KED73" s="557"/>
      <c r="KEE73" s="557"/>
      <c r="KEF73" s="557"/>
      <c r="KEG73" s="557"/>
      <c r="KEH73" s="557"/>
      <c r="KEI73" s="557"/>
      <c r="KEJ73" s="557"/>
      <c r="KEK73" s="557"/>
      <c r="KEL73" s="557"/>
      <c r="KEM73" s="661"/>
      <c r="KEN73" s="556"/>
      <c r="KEO73" s="557"/>
      <c r="KEP73" s="557"/>
      <c r="KEQ73" s="557"/>
      <c r="KER73" s="557"/>
      <c r="KES73" s="557"/>
      <c r="KET73" s="557"/>
      <c r="KEU73" s="557"/>
      <c r="KEV73" s="557"/>
      <c r="KEW73" s="557"/>
      <c r="KEX73" s="557"/>
      <c r="KEY73" s="557"/>
      <c r="KEZ73" s="557"/>
      <c r="KFA73" s="557"/>
      <c r="KFB73" s="557"/>
      <c r="KFC73" s="557"/>
      <c r="KFD73" s="557"/>
      <c r="KFE73" s="557"/>
      <c r="KFF73" s="557"/>
      <c r="KFG73" s="661"/>
      <c r="KFH73" s="556"/>
      <c r="KFI73" s="557"/>
      <c r="KFJ73" s="557"/>
      <c r="KFK73" s="557"/>
      <c r="KFL73" s="557"/>
      <c r="KFM73" s="557"/>
      <c r="KFN73" s="557"/>
      <c r="KFO73" s="557"/>
      <c r="KFP73" s="557"/>
      <c r="KFQ73" s="557"/>
      <c r="KFR73" s="557"/>
      <c r="KFS73" s="557"/>
      <c r="KFT73" s="557"/>
      <c r="KFU73" s="557"/>
      <c r="KFV73" s="557"/>
      <c r="KFW73" s="557"/>
      <c r="KFX73" s="557"/>
      <c r="KFY73" s="557"/>
      <c r="KFZ73" s="557"/>
      <c r="KGA73" s="661"/>
      <c r="KGB73" s="556"/>
      <c r="KGC73" s="557"/>
      <c r="KGD73" s="557"/>
      <c r="KGE73" s="557"/>
      <c r="KGF73" s="557"/>
      <c r="KGG73" s="557"/>
      <c r="KGH73" s="557"/>
      <c r="KGI73" s="557"/>
      <c r="KGJ73" s="557"/>
      <c r="KGK73" s="557"/>
      <c r="KGL73" s="557"/>
      <c r="KGM73" s="557"/>
      <c r="KGN73" s="557"/>
      <c r="KGO73" s="557"/>
      <c r="KGP73" s="557"/>
      <c r="KGQ73" s="557"/>
      <c r="KGR73" s="557"/>
      <c r="KGS73" s="557"/>
      <c r="KGT73" s="557"/>
      <c r="KGU73" s="661"/>
      <c r="KGV73" s="556"/>
      <c r="KGW73" s="557"/>
      <c r="KGX73" s="557"/>
      <c r="KGY73" s="557"/>
      <c r="KGZ73" s="557"/>
      <c r="KHA73" s="557"/>
      <c r="KHB73" s="557"/>
      <c r="KHC73" s="557"/>
      <c r="KHD73" s="557"/>
      <c r="KHE73" s="557"/>
      <c r="KHF73" s="557"/>
      <c r="KHG73" s="557"/>
      <c r="KHH73" s="557"/>
      <c r="KHI73" s="557"/>
      <c r="KHJ73" s="557"/>
      <c r="KHK73" s="557"/>
      <c r="KHL73" s="557"/>
      <c r="KHM73" s="557"/>
      <c r="KHN73" s="557"/>
      <c r="KHO73" s="661"/>
      <c r="KHP73" s="556"/>
      <c r="KHQ73" s="557"/>
      <c r="KHR73" s="557"/>
      <c r="KHS73" s="557"/>
      <c r="KHT73" s="557"/>
      <c r="KHU73" s="557"/>
      <c r="KHV73" s="557"/>
      <c r="KHW73" s="557"/>
      <c r="KHX73" s="557"/>
      <c r="KHY73" s="557"/>
      <c r="KHZ73" s="557"/>
      <c r="KIA73" s="557"/>
      <c r="KIB73" s="557"/>
      <c r="KIC73" s="557"/>
      <c r="KID73" s="557"/>
      <c r="KIE73" s="557"/>
      <c r="KIF73" s="557"/>
      <c r="KIG73" s="557"/>
      <c r="KIH73" s="557"/>
      <c r="KII73" s="661"/>
      <c r="KIJ73" s="556"/>
      <c r="KIK73" s="557"/>
      <c r="KIL73" s="557"/>
      <c r="KIM73" s="557"/>
      <c r="KIN73" s="557"/>
      <c r="KIO73" s="557"/>
      <c r="KIP73" s="557"/>
      <c r="KIQ73" s="557"/>
      <c r="KIR73" s="557"/>
      <c r="KIS73" s="557"/>
      <c r="KIT73" s="557"/>
      <c r="KIU73" s="557"/>
      <c r="KIV73" s="557"/>
      <c r="KIW73" s="557"/>
      <c r="KIX73" s="557"/>
      <c r="KIY73" s="557"/>
      <c r="KIZ73" s="557"/>
      <c r="KJA73" s="557"/>
      <c r="KJB73" s="557"/>
      <c r="KJC73" s="661"/>
      <c r="KJD73" s="556"/>
      <c r="KJE73" s="557"/>
      <c r="KJF73" s="557"/>
      <c r="KJG73" s="557"/>
      <c r="KJH73" s="557"/>
      <c r="KJI73" s="557"/>
      <c r="KJJ73" s="557"/>
      <c r="KJK73" s="557"/>
      <c r="KJL73" s="557"/>
      <c r="KJM73" s="557"/>
      <c r="KJN73" s="557"/>
      <c r="KJO73" s="557"/>
      <c r="KJP73" s="557"/>
      <c r="KJQ73" s="557"/>
      <c r="KJR73" s="557"/>
      <c r="KJS73" s="557"/>
      <c r="KJT73" s="557"/>
      <c r="KJU73" s="557"/>
      <c r="KJV73" s="557"/>
      <c r="KJW73" s="661"/>
      <c r="KJX73" s="556"/>
      <c r="KJY73" s="557"/>
      <c r="KJZ73" s="557"/>
      <c r="KKA73" s="557"/>
      <c r="KKB73" s="557"/>
      <c r="KKC73" s="557"/>
      <c r="KKD73" s="557"/>
      <c r="KKE73" s="557"/>
      <c r="KKF73" s="557"/>
      <c r="KKG73" s="557"/>
      <c r="KKH73" s="557"/>
      <c r="KKI73" s="557"/>
      <c r="KKJ73" s="557"/>
      <c r="KKK73" s="557"/>
      <c r="KKL73" s="557"/>
      <c r="KKM73" s="557"/>
      <c r="KKN73" s="557"/>
      <c r="KKO73" s="557"/>
      <c r="KKP73" s="557"/>
      <c r="KKQ73" s="661"/>
      <c r="KKR73" s="556"/>
      <c r="KKS73" s="557"/>
      <c r="KKT73" s="557"/>
      <c r="KKU73" s="557"/>
      <c r="KKV73" s="557"/>
      <c r="KKW73" s="557"/>
      <c r="KKX73" s="557"/>
      <c r="KKY73" s="557"/>
      <c r="KKZ73" s="557"/>
      <c r="KLA73" s="557"/>
      <c r="KLB73" s="557"/>
      <c r="KLC73" s="557"/>
      <c r="KLD73" s="557"/>
      <c r="KLE73" s="557"/>
      <c r="KLF73" s="557"/>
      <c r="KLG73" s="557"/>
      <c r="KLH73" s="557"/>
      <c r="KLI73" s="557"/>
      <c r="KLJ73" s="557"/>
      <c r="KLK73" s="661"/>
      <c r="KLL73" s="556"/>
      <c r="KLM73" s="557"/>
      <c r="KLN73" s="557"/>
      <c r="KLO73" s="557"/>
      <c r="KLP73" s="557"/>
      <c r="KLQ73" s="557"/>
      <c r="KLR73" s="557"/>
      <c r="KLS73" s="557"/>
      <c r="KLT73" s="557"/>
      <c r="KLU73" s="557"/>
      <c r="KLV73" s="557"/>
      <c r="KLW73" s="557"/>
      <c r="KLX73" s="557"/>
      <c r="KLY73" s="557"/>
      <c r="KLZ73" s="557"/>
      <c r="KMA73" s="557"/>
      <c r="KMB73" s="557"/>
      <c r="KMC73" s="557"/>
      <c r="KMD73" s="557"/>
      <c r="KME73" s="661"/>
      <c r="KMF73" s="556"/>
      <c r="KMG73" s="557"/>
      <c r="KMH73" s="557"/>
      <c r="KMI73" s="557"/>
      <c r="KMJ73" s="557"/>
      <c r="KMK73" s="557"/>
      <c r="KML73" s="557"/>
      <c r="KMM73" s="557"/>
      <c r="KMN73" s="557"/>
      <c r="KMO73" s="557"/>
      <c r="KMP73" s="557"/>
      <c r="KMQ73" s="557"/>
      <c r="KMR73" s="557"/>
      <c r="KMS73" s="557"/>
      <c r="KMT73" s="557"/>
      <c r="KMU73" s="557"/>
      <c r="KMV73" s="557"/>
      <c r="KMW73" s="557"/>
      <c r="KMX73" s="557"/>
      <c r="KMY73" s="661"/>
      <c r="KMZ73" s="556"/>
      <c r="KNA73" s="557"/>
      <c r="KNB73" s="557"/>
      <c r="KNC73" s="557"/>
      <c r="KND73" s="557"/>
      <c r="KNE73" s="557"/>
      <c r="KNF73" s="557"/>
      <c r="KNG73" s="557"/>
      <c r="KNH73" s="557"/>
      <c r="KNI73" s="557"/>
      <c r="KNJ73" s="557"/>
      <c r="KNK73" s="557"/>
      <c r="KNL73" s="557"/>
      <c r="KNM73" s="557"/>
      <c r="KNN73" s="557"/>
      <c r="KNO73" s="557"/>
      <c r="KNP73" s="557"/>
      <c r="KNQ73" s="557"/>
      <c r="KNR73" s="557"/>
      <c r="KNS73" s="661"/>
      <c r="KNT73" s="556"/>
      <c r="KNU73" s="557"/>
      <c r="KNV73" s="557"/>
      <c r="KNW73" s="557"/>
      <c r="KNX73" s="557"/>
      <c r="KNY73" s="557"/>
      <c r="KNZ73" s="557"/>
      <c r="KOA73" s="557"/>
      <c r="KOB73" s="557"/>
      <c r="KOC73" s="557"/>
      <c r="KOD73" s="557"/>
      <c r="KOE73" s="557"/>
      <c r="KOF73" s="557"/>
      <c r="KOG73" s="557"/>
      <c r="KOH73" s="557"/>
      <c r="KOI73" s="557"/>
      <c r="KOJ73" s="557"/>
      <c r="KOK73" s="557"/>
      <c r="KOL73" s="557"/>
      <c r="KOM73" s="661"/>
      <c r="KON73" s="556"/>
      <c r="KOO73" s="557"/>
      <c r="KOP73" s="557"/>
      <c r="KOQ73" s="557"/>
      <c r="KOR73" s="557"/>
      <c r="KOS73" s="557"/>
      <c r="KOT73" s="557"/>
      <c r="KOU73" s="557"/>
      <c r="KOV73" s="557"/>
      <c r="KOW73" s="557"/>
      <c r="KOX73" s="557"/>
      <c r="KOY73" s="557"/>
      <c r="KOZ73" s="557"/>
      <c r="KPA73" s="557"/>
      <c r="KPB73" s="557"/>
      <c r="KPC73" s="557"/>
      <c r="KPD73" s="557"/>
      <c r="KPE73" s="557"/>
      <c r="KPF73" s="557"/>
      <c r="KPG73" s="661"/>
      <c r="KPH73" s="556"/>
      <c r="KPI73" s="557"/>
      <c r="KPJ73" s="557"/>
      <c r="KPK73" s="557"/>
      <c r="KPL73" s="557"/>
      <c r="KPM73" s="557"/>
      <c r="KPN73" s="557"/>
      <c r="KPO73" s="557"/>
      <c r="KPP73" s="557"/>
      <c r="KPQ73" s="557"/>
      <c r="KPR73" s="557"/>
      <c r="KPS73" s="557"/>
      <c r="KPT73" s="557"/>
      <c r="KPU73" s="557"/>
      <c r="KPV73" s="557"/>
      <c r="KPW73" s="557"/>
      <c r="KPX73" s="557"/>
      <c r="KPY73" s="557"/>
      <c r="KPZ73" s="557"/>
      <c r="KQA73" s="661"/>
      <c r="KQB73" s="556"/>
      <c r="KQC73" s="557"/>
      <c r="KQD73" s="557"/>
      <c r="KQE73" s="557"/>
      <c r="KQF73" s="557"/>
      <c r="KQG73" s="557"/>
      <c r="KQH73" s="557"/>
      <c r="KQI73" s="557"/>
      <c r="KQJ73" s="557"/>
      <c r="KQK73" s="557"/>
      <c r="KQL73" s="557"/>
      <c r="KQM73" s="557"/>
      <c r="KQN73" s="557"/>
      <c r="KQO73" s="557"/>
      <c r="KQP73" s="557"/>
      <c r="KQQ73" s="557"/>
      <c r="KQR73" s="557"/>
      <c r="KQS73" s="557"/>
      <c r="KQT73" s="557"/>
      <c r="KQU73" s="661"/>
      <c r="KQV73" s="556"/>
      <c r="KQW73" s="557"/>
      <c r="KQX73" s="557"/>
      <c r="KQY73" s="557"/>
      <c r="KQZ73" s="557"/>
      <c r="KRA73" s="557"/>
      <c r="KRB73" s="557"/>
      <c r="KRC73" s="557"/>
      <c r="KRD73" s="557"/>
      <c r="KRE73" s="557"/>
      <c r="KRF73" s="557"/>
      <c r="KRG73" s="557"/>
      <c r="KRH73" s="557"/>
      <c r="KRI73" s="557"/>
      <c r="KRJ73" s="557"/>
      <c r="KRK73" s="557"/>
      <c r="KRL73" s="557"/>
      <c r="KRM73" s="557"/>
      <c r="KRN73" s="557"/>
      <c r="KRO73" s="661"/>
      <c r="KRP73" s="556"/>
      <c r="KRQ73" s="557"/>
      <c r="KRR73" s="557"/>
      <c r="KRS73" s="557"/>
      <c r="KRT73" s="557"/>
      <c r="KRU73" s="557"/>
      <c r="KRV73" s="557"/>
      <c r="KRW73" s="557"/>
      <c r="KRX73" s="557"/>
      <c r="KRY73" s="557"/>
      <c r="KRZ73" s="557"/>
      <c r="KSA73" s="557"/>
      <c r="KSB73" s="557"/>
      <c r="KSC73" s="557"/>
      <c r="KSD73" s="557"/>
      <c r="KSE73" s="557"/>
      <c r="KSF73" s="557"/>
      <c r="KSG73" s="557"/>
      <c r="KSH73" s="557"/>
      <c r="KSI73" s="661"/>
      <c r="KSJ73" s="556"/>
      <c r="KSK73" s="557"/>
      <c r="KSL73" s="557"/>
      <c r="KSM73" s="557"/>
      <c r="KSN73" s="557"/>
      <c r="KSO73" s="557"/>
      <c r="KSP73" s="557"/>
      <c r="KSQ73" s="557"/>
      <c r="KSR73" s="557"/>
      <c r="KSS73" s="557"/>
      <c r="KST73" s="557"/>
      <c r="KSU73" s="557"/>
      <c r="KSV73" s="557"/>
      <c r="KSW73" s="557"/>
      <c r="KSX73" s="557"/>
      <c r="KSY73" s="557"/>
      <c r="KSZ73" s="557"/>
      <c r="KTA73" s="557"/>
      <c r="KTB73" s="557"/>
      <c r="KTC73" s="661"/>
      <c r="KTD73" s="556"/>
      <c r="KTE73" s="557"/>
      <c r="KTF73" s="557"/>
      <c r="KTG73" s="557"/>
      <c r="KTH73" s="557"/>
      <c r="KTI73" s="557"/>
      <c r="KTJ73" s="557"/>
      <c r="KTK73" s="557"/>
      <c r="KTL73" s="557"/>
      <c r="KTM73" s="557"/>
      <c r="KTN73" s="557"/>
      <c r="KTO73" s="557"/>
      <c r="KTP73" s="557"/>
      <c r="KTQ73" s="557"/>
      <c r="KTR73" s="557"/>
      <c r="KTS73" s="557"/>
      <c r="KTT73" s="557"/>
      <c r="KTU73" s="557"/>
      <c r="KTV73" s="557"/>
      <c r="KTW73" s="661"/>
      <c r="KTX73" s="556"/>
      <c r="KTY73" s="557"/>
      <c r="KTZ73" s="557"/>
      <c r="KUA73" s="557"/>
      <c r="KUB73" s="557"/>
      <c r="KUC73" s="557"/>
      <c r="KUD73" s="557"/>
      <c r="KUE73" s="557"/>
      <c r="KUF73" s="557"/>
      <c r="KUG73" s="557"/>
      <c r="KUH73" s="557"/>
      <c r="KUI73" s="557"/>
      <c r="KUJ73" s="557"/>
      <c r="KUK73" s="557"/>
      <c r="KUL73" s="557"/>
      <c r="KUM73" s="557"/>
      <c r="KUN73" s="557"/>
      <c r="KUO73" s="557"/>
      <c r="KUP73" s="557"/>
      <c r="KUQ73" s="661"/>
      <c r="KUR73" s="556"/>
      <c r="KUS73" s="557"/>
      <c r="KUT73" s="557"/>
      <c r="KUU73" s="557"/>
      <c r="KUV73" s="557"/>
      <c r="KUW73" s="557"/>
      <c r="KUX73" s="557"/>
      <c r="KUY73" s="557"/>
      <c r="KUZ73" s="557"/>
      <c r="KVA73" s="557"/>
      <c r="KVB73" s="557"/>
      <c r="KVC73" s="557"/>
      <c r="KVD73" s="557"/>
      <c r="KVE73" s="557"/>
      <c r="KVF73" s="557"/>
      <c r="KVG73" s="557"/>
      <c r="KVH73" s="557"/>
      <c r="KVI73" s="557"/>
      <c r="KVJ73" s="557"/>
      <c r="KVK73" s="661"/>
      <c r="KVL73" s="556"/>
      <c r="KVM73" s="557"/>
      <c r="KVN73" s="557"/>
      <c r="KVO73" s="557"/>
      <c r="KVP73" s="557"/>
      <c r="KVQ73" s="557"/>
      <c r="KVR73" s="557"/>
      <c r="KVS73" s="557"/>
      <c r="KVT73" s="557"/>
      <c r="KVU73" s="557"/>
      <c r="KVV73" s="557"/>
      <c r="KVW73" s="557"/>
      <c r="KVX73" s="557"/>
      <c r="KVY73" s="557"/>
      <c r="KVZ73" s="557"/>
      <c r="KWA73" s="557"/>
      <c r="KWB73" s="557"/>
      <c r="KWC73" s="557"/>
      <c r="KWD73" s="557"/>
      <c r="KWE73" s="661"/>
      <c r="KWF73" s="556"/>
      <c r="KWG73" s="557"/>
      <c r="KWH73" s="557"/>
      <c r="KWI73" s="557"/>
      <c r="KWJ73" s="557"/>
      <c r="KWK73" s="557"/>
      <c r="KWL73" s="557"/>
      <c r="KWM73" s="557"/>
      <c r="KWN73" s="557"/>
      <c r="KWO73" s="557"/>
      <c r="KWP73" s="557"/>
      <c r="KWQ73" s="557"/>
      <c r="KWR73" s="557"/>
      <c r="KWS73" s="557"/>
      <c r="KWT73" s="557"/>
      <c r="KWU73" s="557"/>
      <c r="KWV73" s="557"/>
      <c r="KWW73" s="557"/>
      <c r="KWX73" s="557"/>
      <c r="KWY73" s="661"/>
      <c r="KWZ73" s="556"/>
      <c r="KXA73" s="557"/>
      <c r="KXB73" s="557"/>
      <c r="KXC73" s="557"/>
      <c r="KXD73" s="557"/>
      <c r="KXE73" s="557"/>
      <c r="KXF73" s="557"/>
      <c r="KXG73" s="557"/>
      <c r="KXH73" s="557"/>
      <c r="KXI73" s="557"/>
      <c r="KXJ73" s="557"/>
      <c r="KXK73" s="557"/>
      <c r="KXL73" s="557"/>
      <c r="KXM73" s="557"/>
      <c r="KXN73" s="557"/>
      <c r="KXO73" s="557"/>
      <c r="KXP73" s="557"/>
      <c r="KXQ73" s="557"/>
      <c r="KXR73" s="557"/>
      <c r="KXS73" s="661"/>
      <c r="KXT73" s="556"/>
      <c r="KXU73" s="557"/>
      <c r="KXV73" s="557"/>
      <c r="KXW73" s="557"/>
      <c r="KXX73" s="557"/>
      <c r="KXY73" s="557"/>
      <c r="KXZ73" s="557"/>
      <c r="KYA73" s="557"/>
      <c r="KYB73" s="557"/>
      <c r="KYC73" s="557"/>
      <c r="KYD73" s="557"/>
      <c r="KYE73" s="557"/>
      <c r="KYF73" s="557"/>
      <c r="KYG73" s="557"/>
      <c r="KYH73" s="557"/>
      <c r="KYI73" s="557"/>
      <c r="KYJ73" s="557"/>
      <c r="KYK73" s="557"/>
      <c r="KYL73" s="557"/>
      <c r="KYM73" s="661"/>
      <c r="KYN73" s="556"/>
      <c r="KYO73" s="557"/>
      <c r="KYP73" s="557"/>
      <c r="KYQ73" s="557"/>
      <c r="KYR73" s="557"/>
      <c r="KYS73" s="557"/>
      <c r="KYT73" s="557"/>
      <c r="KYU73" s="557"/>
      <c r="KYV73" s="557"/>
      <c r="KYW73" s="557"/>
      <c r="KYX73" s="557"/>
      <c r="KYY73" s="557"/>
      <c r="KYZ73" s="557"/>
      <c r="KZA73" s="557"/>
      <c r="KZB73" s="557"/>
      <c r="KZC73" s="557"/>
      <c r="KZD73" s="557"/>
      <c r="KZE73" s="557"/>
      <c r="KZF73" s="557"/>
      <c r="KZG73" s="661"/>
      <c r="KZH73" s="556"/>
      <c r="KZI73" s="557"/>
      <c r="KZJ73" s="557"/>
      <c r="KZK73" s="557"/>
      <c r="KZL73" s="557"/>
      <c r="KZM73" s="557"/>
      <c r="KZN73" s="557"/>
      <c r="KZO73" s="557"/>
      <c r="KZP73" s="557"/>
      <c r="KZQ73" s="557"/>
      <c r="KZR73" s="557"/>
      <c r="KZS73" s="557"/>
      <c r="KZT73" s="557"/>
      <c r="KZU73" s="557"/>
      <c r="KZV73" s="557"/>
      <c r="KZW73" s="557"/>
      <c r="KZX73" s="557"/>
      <c r="KZY73" s="557"/>
      <c r="KZZ73" s="557"/>
      <c r="LAA73" s="661"/>
      <c r="LAB73" s="556"/>
      <c r="LAC73" s="557"/>
      <c r="LAD73" s="557"/>
      <c r="LAE73" s="557"/>
      <c r="LAF73" s="557"/>
      <c r="LAG73" s="557"/>
      <c r="LAH73" s="557"/>
      <c r="LAI73" s="557"/>
      <c r="LAJ73" s="557"/>
      <c r="LAK73" s="557"/>
      <c r="LAL73" s="557"/>
      <c r="LAM73" s="557"/>
      <c r="LAN73" s="557"/>
      <c r="LAO73" s="557"/>
      <c r="LAP73" s="557"/>
      <c r="LAQ73" s="557"/>
      <c r="LAR73" s="557"/>
      <c r="LAS73" s="557"/>
      <c r="LAT73" s="557"/>
      <c r="LAU73" s="661"/>
      <c r="LAV73" s="556"/>
      <c r="LAW73" s="557"/>
      <c r="LAX73" s="557"/>
      <c r="LAY73" s="557"/>
      <c r="LAZ73" s="557"/>
      <c r="LBA73" s="557"/>
      <c r="LBB73" s="557"/>
      <c r="LBC73" s="557"/>
      <c r="LBD73" s="557"/>
      <c r="LBE73" s="557"/>
      <c r="LBF73" s="557"/>
      <c r="LBG73" s="557"/>
      <c r="LBH73" s="557"/>
      <c r="LBI73" s="557"/>
      <c r="LBJ73" s="557"/>
      <c r="LBK73" s="557"/>
      <c r="LBL73" s="557"/>
      <c r="LBM73" s="557"/>
      <c r="LBN73" s="557"/>
      <c r="LBO73" s="661"/>
      <c r="LBP73" s="556"/>
      <c r="LBQ73" s="557"/>
      <c r="LBR73" s="557"/>
      <c r="LBS73" s="557"/>
      <c r="LBT73" s="557"/>
      <c r="LBU73" s="557"/>
      <c r="LBV73" s="557"/>
      <c r="LBW73" s="557"/>
      <c r="LBX73" s="557"/>
      <c r="LBY73" s="557"/>
      <c r="LBZ73" s="557"/>
      <c r="LCA73" s="557"/>
      <c r="LCB73" s="557"/>
      <c r="LCC73" s="557"/>
      <c r="LCD73" s="557"/>
      <c r="LCE73" s="557"/>
      <c r="LCF73" s="557"/>
      <c r="LCG73" s="557"/>
      <c r="LCH73" s="557"/>
      <c r="LCI73" s="661"/>
      <c r="LCJ73" s="556"/>
      <c r="LCK73" s="557"/>
      <c r="LCL73" s="557"/>
      <c r="LCM73" s="557"/>
      <c r="LCN73" s="557"/>
      <c r="LCO73" s="557"/>
      <c r="LCP73" s="557"/>
      <c r="LCQ73" s="557"/>
      <c r="LCR73" s="557"/>
      <c r="LCS73" s="557"/>
      <c r="LCT73" s="557"/>
      <c r="LCU73" s="557"/>
      <c r="LCV73" s="557"/>
      <c r="LCW73" s="557"/>
      <c r="LCX73" s="557"/>
      <c r="LCY73" s="557"/>
      <c r="LCZ73" s="557"/>
      <c r="LDA73" s="557"/>
      <c r="LDB73" s="557"/>
      <c r="LDC73" s="661"/>
      <c r="LDD73" s="556"/>
      <c r="LDE73" s="557"/>
      <c r="LDF73" s="557"/>
      <c r="LDG73" s="557"/>
      <c r="LDH73" s="557"/>
      <c r="LDI73" s="557"/>
      <c r="LDJ73" s="557"/>
      <c r="LDK73" s="557"/>
      <c r="LDL73" s="557"/>
      <c r="LDM73" s="557"/>
      <c r="LDN73" s="557"/>
      <c r="LDO73" s="557"/>
      <c r="LDP73" s="557"/>
      <c r="LDQ73" s="557"/>
      <c r="LDR73" s="557"/>
      <c r="LDS73" s="557"/>
      <c r="LDT73" s="557"/>
      <c r="LDU73" s="557"/>
      <c r="LDV73" s="557"/>
      <c r="LDW73" s="661"/>
      <c r="LDX73" s="556"/>
      <c r="LDY73" s="557"/>
      <c r="LDZ73" s="557"/>
      <c r="LEA73" s="557"/>
      <c r="LEB73" s="557"/>
      <c r="LEC73" s="557"/>
      <c r="LED73" s="557"/>
      <c r="LEE73" s="557"/>
      <c r="LEF73" s="557"/>
      <c r="LEG73" s="557"/>
      <c r="LEH73" s="557"/>
      <c r="LEI73" s="557"/>
      <c r="LEJ73" s="557"/>
      <c r="LEK73" s="557"/>
      <c r="LEL73" s="557"/>
      <c r="LEM73" s="557"/>
      <c r="LEN73" s="557"/>
      <c r="LEO73" s="557"/>
      <c r="LEP73" s="557"/>
      <c r="LEQ73" s="661"/>
      <c r="LER73" s="556"/>
      <c r="LES73" s="557"/>
      <c r="LET73" s="557"/>
      <c r="LEU73" s="557"/>
      <c r="LEV73" s="557"/>
      <c r="LEW73" s="557"/>
      <c r="LEX73" s="557"/>
      <c r="LEY73" s="557"/>
      <c r="LEZ73" s="557"/>
      <c r="LFA73" s="557"/>
      <c r="LFB73" s="557"/>
      <c r="LFC73" s="557"/>
      <c r="LFD73" s="557"/>
      <c r="LFE73" s="557"/>
      <c r="LFF73" s="557"/>
      <c r="LFG73" s="557"/>
      <c r="LFH73" s="557"/>
      <c r="LFI73" s="557"/>
      <c r="LFJ73" s="557"/>
      <c r="LFK73" s="661"/>
      <c r="LFL73" s="556"/>
      <c r="LFM73" s="557"/>
      <c r="LFN73" s="557"/>
      <c r="LFO73" s="557"/>
      <c r="LFP73" s="557"/>
      <c r="LFQ73" s="557"/>
      <c r="LFR73" s="557"/>
      <c r="LFS73" s="557"/>
      <c r="LFT73" s="557"/>
      <c r="LFU73" s="557"/>
      <c r="LFV73" s="557"/>
      <c r="LFW73" s="557"/>
      <c r="LFX73" s="557"/>
      <c r="LFY73" s="557"/>
      <c r="LFZ73" s="557"/>
      <c r="LGA73" s="557"/>
      <c r="LGB73" s="557"/>
      <c r="LGC73" s="557"/>
      <c r="LGD73" s="557"/>
      <c r="LGE73" s="661"/>
      <c r="LGF73" s="556"/>
      <c r="LGG73" s="557"/>
      <c r="LGH73" s="557"/>
      <c r="LGI73" s="557"/>
      <c r="LGJ73" s="557"/>
      <c r="LGK73" s="557"/>
      <c r="LGL73" s="557"/>
      <c r="LGM73" s="557"/>
      <c r="LGN73" s="557"/>
      <c r="LGO73" s="557"/>
      <c r="LGP73" s="557"/>
      <c r="LGQ73" s="557"/>
      <c r="LGR73" s="557"/>
      <c r="LGS73" s="557"/>
      <c r="LGT73" s="557"/>
      <c r="LGU73" s="557"/>
      <c r="LGV73" s="557"/>
      <c r="LGW73" s="557"/>
      <c r="LGX73" s="557"/>
      <c r="LGY73" s="661"/>
      <c r="LGZ73" s="556"/>
      <c r="LHA73" s="557"/>
      <c r="LHB73" s="557"/>
      <c r="LHC73" s="557"/>
      <c r="LHD73" s="557"/>
      <c r="LHE73" s="557"/>
      <c r="LHF73" s="557"/>
      <c r="LHG73" s="557"/>
      <c r="LHH73" s="557"/>
      <c r="LHI73" s="557"/>
      <c r="LHJ73" s="557"/>
      <c r="LHK73" s="557"/>
      <c r="LHL73" s="557"/>
      <c r="LHM73" s="557"/>
      <c r="LHN73" s="557"/>
      <c r="LHO73" s="557"/>
      <c r="LHP73" s="557"/>
      <c r="LHQ73" s="557"/>
      <c r="LHR73" s="557"/>
      <c r="LHS73" s="661"/>
      <c r="LHT73" s="556"/>
      <c r="LHU73" s="557"/>
      <c r="LHV73" s="557"/>
      <c r="LHW73" s="557"/>
      <c r="LHX73" s="557"/>
      <c r="LHY73" s="557"/>
      <c r="LHZ73" s="557"/>
      <c r="LIA73" s="557"/>
      <c r="LIB73" s="557"/>
      <c r="LIC73" s="557"/>
      <c r="LID73" s="557"/>
      <c r="LIE73" s="557"/>
      <c r="LIF73" s="557"/>
      <c r="LIG73" s="557"/>
      <c r="LIH73" s="557"/>
      <c r="LII73" s="557"/>
      <c r="LIJ73" s="557"/>
      <c r="LIK73" s="557"/>
      <c r="LIL73" s="557"/>
      <c r="LIM73" s="661"/>
      <c r="LIN73" s="556"/>
      <c r="LIO73" s="557"/>
      <c r="LIP73" s="557"/>
      <c r="LIQ73" s="557"/>
      <c r="LIR73" s="557"/>
      <c r="LIS73" s="557"/>
      <c r="LIT73" s="557"/>
      <c r="LIU73" s="557"/>
      <c r="LIV73" s="557"/>
      <c r="LIW73" s="557"/>
      <c r="LIX73" s="557"/>
      <c r="LIY73" s="557"/>
      <c r="LIZ73" s="557"/>
      <c r="LJA73" s="557"/>
      <c r="LJB73" s="557"/>
      <c r="LJC73" s="557"/>
      <c r="LJD73" s="557"/>
      <c r="LJE73" s="557"/>
      <c r="LJF73" s="557"/>
      <c r="LJG73" s="661"/>
      <c r="LJH73" s="556"/>
      <c r="LJI73" s="557"/>
      <c r="LJJ73" s="557"/>
      <c r="LJK73" s="557"/>
      <c r="LJL73" s="557"/>
      <c r="LJM73" s="557"/>
      <c r="LJN73" s="557"/>
      <c r="LJO73" s="557"/>
      <c r="LJP73" s="557"/>
      <c r="LJQ73" s="557"/>
      <c r="LJR73" s="557"/>
      <c r="LJS73" s="557"/>
      <c r="LJT73" s="557"/>
      <c r="LJU73" s="557"/>
      <c r="LJV73" s="557"/>
      <c r="LJW73" s="557"/>
      <c r="LJX73" s="557"/>
      <c r="LJY73" s="557"/>
      <c r="LJZ73" s="557"/>
      <c r="LKA73" s="661"/>
      <c r="LKB73" s="556"/>
      <c r="LKC73" s="557"/>
      <c r="LKD73" s="557"/>
      <c r="LKE73" s="557"/>
      <c r="LKF73" s="557"/>
      <c r="LKG73" s="557"/>
      <c r="LKH73" s="557"/>
      <c r="LKI73" s="557"/>
      <c r="LKJ73" s="557"/>
      <c r="LKK73" s="557"/>
      <c r="LKL73" s="557"/>
      <c r="LKM73" s="557"/>
      <c r="LKN73" s="557"/>
      <c r="LKO73" s="557"/>
      <c r="LKP73" s="557"/>
      <c r="LKQ73" s="557"/>
      <c r="LKR73" s="557"/>
      <c r="LKS73" s="557"/>
      <c r="LKT73" s="557"/>
      <c r="LKU73" s="661"/>
      <c r="LKV73" s="556"/>
      <c r="LKW73" s="557"/>
      <c r="LKX73" s="557"/>
      <c r="LKY73" s="557"/>
      <c r="LKZ73" s="557"/>
      <c r="LLA73" s="557"/>
      <c r="LLB73" s="557"/>
      <c r="LLC73" s="557"/>
      <c r="LLD73" s="557"/>
      <c r="LLE73" s="557"/>
      <c r="LLF73" s="557"/>
      <c r="LLG73" s="557"/>
      <c r="LLH73" s="557"/>
      <c r="LLI73" s="557"/>
      <c r="LLJ73" s="557"/>
      <c r="LLK73" s="557"/>
      <c r="LLL73" s="557"/>
      <c r="LLM73" s="557"/>
      <c r="LLN73" s="557"/>
      <c r="LLO73" s="661"/>
      <c r="LLP73" s="556"/>
      <c r="LLQ73" s="557"/>
      <c r="LLR73" s="557"/>
      <c r="LLS73" s="557"/>
      <c r="LLT73" s="557"/>
      <c r="LLU73" s="557"/>
      <c r="LLV73" s="557"/>
      <c r="LLW73" s="557"/>
      <c r="LLX73" s="557"/>
      <c r="LLY73" s="557"/>
      <c r="LLZ73" s="557"/>
      <c r="LMA73" s="557"/>
      <c r="LMB73" s="557"/>
      <c r="LMC73" s="557"/>
      <c r="LMD73" s="557"/>
      <c r="LME73" s="557"/>
      <c r="LMF73" s="557"/>
      <c r="LMG73" s="557"/>
      <c r="LMH73" s="557"/>
      <c r="LMI73" s="661"/>
      <c r="LMJ73" s="556"/>
      <c r="LMK73" s="557"/>
      <c r="LML73" s="557"/>
      <c r="LMM73" s="557"/>
      <c r="LMN73" s="557"/>
      <c r="LMO73" s="557"/>
      <c r="LMP73" s="557"/>
      <c r="LMQ73" s="557"/>
      <c r="LMR73" s="557"/>
      <c r="LMS73" s="557"/>
      <c r="LMT73" s="557"/>
      <c r="LMU73" s="557"/>
      <c r="LMV73" s="557"/>
      <c r="LMW73" s="557"/>
      <c r="LMX73" s="557"/>
      <c r="LMY73" s="557"/>
      <c r="LMZ73" s="557"/>
      <c r="LNA73" s="557"/>
      <c r="LNB73" s="557"/>
      <c r="LNC73" s="661"/>
      <c r="LND73" s="556"/>
      <c r="LNE73" s="557"/>
      <c r="LNF73" s="557"/>
      <c r="LNG73" s="557"/>
      <c r="LNH73" s="557"/>
      <c r="LNI73" s="557"/>
      <c r="LNJ73" s="557"/>
      <c r="LNK73" s="557"/>
      <c r="LNL73" s="557"/>
      <c r="LNM73" s="557"/>
      <c r="LNN73" s="557"/>
      <c r="LNO73" s="557"/>
      <c r="LNP73" s="557"/>
      <c r="LNQ73" s="557"/>
      <c r="LNR73" s="557"/>
      <c r="LNS73" s="557"/>
      <c r="LNT73" s="557"/>
      <c r="LNU73" s="557"/>
      <c r="LNV73" s="557"/>
      <c r="LNW73" s="661"/>
      <c r="LNX73" s="556"/>
      <c r="LNY73" s="557"/>
      <c r="LNZ73" s="557"/>
      <c r="LOA73" s="557"/>
      <c r="LOB73" s="557"/>
      <c r="LOC73" s="557"/>
      <c r="LOD73" s="557"/>
      <c r="LOE73" s="557"/>
      <c r="LOF73" s="557"/>
      <c r="LOG73" s="557"/>
      <c r="LOH73" s="557"/>
      <c r="LOI73" s="557"/>
      <c r="LOJ73" s="557"/>
      <c r="LOK73" s="557"/>
      <c r="LOL73" s="557"/>
      <c r="LOM73" s="557"/>
      <c r="LON73" s="557"/>
      <c r="LOO73" s="557"/>
      <c r="LOP73" s="557"/>
      <c r="LOQ73" s="661"/>
      <c r="LOR73" s="556"/>
      <c r="LOS73" s="557"/>
      <c r="LOT73" s="557"/>
      <c r="LOU73" s="557"/>
      <c r="LOV73" s="557"/>
      <c r="LOW73" s="557"/>
      <c r="LOX73" s="557"/>
      <c r="LOY73" s="557"/>
      <c r="LOZ73" s="557"/>
      <c r="LPA73" s="557"/>
      <c r="LPB73" s="557"/>
      <c r="LPC73" s="557"/>
      <c r="LPD73" s="557"/>
      <c r="LPE73" s="557"/>
      <c r="LPF73" s="557"/>
      <c r="LPG73" s="557"/>
      <c r="LPH73" s="557"/>
      <c r="LPI73" s="557"/>
      <c r="LPJ73" s="557"/>
      <c r="LPK73" s="661"/>
      <c r="LPL73" s="556"/>
      <c r="LPM73" s="557"/>
      <c r="LPN73" s="557"/>
      <c r="LPO73" s="557"/>
      <c r="LPP73" s="557"/>
      <c r="LPQ73" s="557"/>
      <c r="LPR73" s="557"/>
      <c r="LPS73" s="557"/>
      <c r="LPT73" s="557"/>
      <c r="LPU73" s="557"/>
      <c r="LPV73" s="557"/>
      <c r="LPW73" s="557"/>
      <c r="LPX73" s="557"/>
      <c r="LPY73" s="557"/>
      <c r="LPZ73" s="557"/>
      <c r="LQA73" s="557"/>
      <c r="LQB73" s="557"/>
      <c r="LQC73" s="557"/>
      <c r="LQD73" s="557"/>
      <c r="LQE73" s="661"/>
      <c r="LQF73" s="556"/>
      <c r="LQG73" s="557"/>
      <c r="LQH73" s="557"/>
      <c r="LQI73" s="557"/>
      <c r="LQJ73" s="557"/>
      <c r="LQK73" s="557"/>
      <c r="LQL73" s="557"/>
      <c r="LQM73" s="557"/>
      <c r="LQN73" s="557"/>
      <c r="LQO73" s="557"/>
      <c r="LQP73" s="557"/>
      <c r="LQQ73" s="557"/>
      <c r="LQR73" s="557"/>
      <c r="LQS73" s="557"/>
      <c r="LQT73" s="557"/>
      <c r="LQU73" s="557"/>
      <c r="LQV73" s="557"/>
      <c r="LQW73" s="557"/>
      <c r="LQX73" s="557"/>
      <c r="LQY73" s="661"/>
      <c r="LQZ73" s="556"/>
      <c r="LRA73" s="557"/>
      <c r="LRB73" s="557"/>
      <c r="LRC73" s="557"/>
      <c r="LRD73" s="557"/>
      <c r="LRE73" s="557"/>
      <c r="LRF73" s="557"/>
      <c r="LRG73" s="557"/>
      <c r="LRH73" s="557"/>
      <c r="LRI73" s="557"/>
      <c r="LRJ73" s="557"/>
      <c r="LRK73" s="557"/>
      <c r="LRL73" s="557"/>
      <c r="LRM73" s="557"/>
      <c r="LRN73" s="557"/>
      <c r="LRO73" s="557"/>
      <c r="LRP73" s="557"/>
      <c r="LRQ73" s="557"/>
      <c r="LRR73" s="557"/>
      <c r="LRS73" s="661"/>
      <c r="LRT73" s="556"/>
      <c r="LRU73" s="557"/>
      <c r="LRV73" s="557"/>
      <c r="LRW73" s="557"/>
      <c r="LRX73" s="557"/>
      <c r="LRY73" s="557"/>
      <c r="LRZ73" s="557"/>
      <c r="LSA73" s="557"/>
      <c r="LSB73" s="557"/>
      <c r="LSC73" s="557"/>
      <c r="LSD73" s="557"/>
      <c r="LSE73" s="557"/>
      <c r="LSF73" s="557"/>
      <c r="LSG73" s="557"/>
      <c r="LSH73" s="557"/>
      <c r="LSI73" s="557"/>
      <c r="LSJ73" s="557"/>
      <c r="LSK73" s="557"/>
      <c r="LSL73" s="557"/>
      <c r="LSM73" s="661"/>
      <c r="LSN73" s="556"/>
      <c r="LSO73" s="557"/>
      <c r="LSP73" s="557"/>
      <c r="LSQ73" s="557"/>
      <c r="LSR73" s="557"/>
      <c r="LSS73" s="557"/>
      <c r="LST73" s="557"/>
      <c r="LSU73" s="557"/>
      <c r="LSV73" s="557"/>
      <c r="LSW73" s="557"/>
      <c r="LSX73" s="557"/>
      <c r="LSY73" s="557"/>
      <c r="LSZ73" s="557"/>
      <c r="LTA73" s="557"/>
      <c r="LTB73" s="557"/>
      <c r="LTC73" s="557"/>
      <c r="LTD73" s="557"/>
      <c r="LTE73" s="557"/>
      <c r="LTF73" s="557"/>
      <c r="LTG73" s="661"/>
      <c r="LTH73" s="556"/>
      <c r="LTI73" s="557"/>
      <c r="LTJ73" s="557"/>
      <c r="LTK73" s="557"/>
      <c r="LTL73" s="557"/>
      <c r="LTM73" s="557"/>
      <c r="LTN73" s="557"/>
      <c r="LTO73" s="557"/>
      <c r="LTP73" s="557"/>
      <c r="LTQ73" s="557"/>
      <c r="LTR73" s="557"/>
      <c r="LTS73" s="557"/>
      <c r="LTT73" s="557"/>
      <c r="LTU73" s="557"/>
      <c r="LTV73" s="557"/>
      <c r="LTW73" s="557"/>
      <c r="LTX73" s="557"/>
      <c r="LTY73" s="557"/>
      <c r="LTZ73" s="557"/>
      <c r="LUA73" s="661"/>
      <c r="LUB73" s="556"/>
      <c r="LUC73" s="557"/>
      <c r="LUD73" s="557"/>
      <c r="LUE73" s="557"/>
      <c r="LUF73" s="557"/>
      <c r="LUG73" s="557"/>
      <c r="LUH73" s="557"/>
      <c r="LUI73" s="557"/>
      <c r="LUJ73" s="557"/>
      <c r="LUK73" s="557"/>
      <c r="LUL73" s="557"/>
      <c r="LUM73" s="557"/>
      <c r="LUN73" s="557"/>
      <c r="LUO73" s="557"/>
      <c r="LUP73" s="557"/>
      <c r="LUQ73" s="557"/>
      <c r="LUR73" s="557"/>
      <c r="LUS73" s="557"/>
      <c r="LUT73" s="557"/>
      <c r="LUU73" s="661"/>
      <c r="LUV73" s="556"/>
      <c r="LUW73" s="557"/>
      <c r="LUX73" s="557"/>
      <c r="LUY73" s="557"/>
      <c r="LUZ73" s="557"/>
      <c r="LVA73" s="557"/>
      <c r="LVB73" s="557"/>
      <c r="LVC73" s="557"/>
      <c r="LVD73" s="557"/>
      <c r="LVE73" s="557"/>
      <c r="LVF73" s="557"/>
      <c r="LVG73" s="557"/>
      <c r="LVH73" s="557"/>
      <c r="LVI73" s="557"/>
      <c r="LVJ73" s="557"/>
      <c r="LVK73" s="557"/>
      <c r="LVL73" s="557"/>
      <c r="LVM73" s="557"/>
      <c r="LVN73" s="557"/>
      <c r="LVO73" s="661"/>
      <c r="LVP73" s="556"/>
      <c r="LVQ73" s="557"/>
      <c r="LVR73" s="557"/>
      <c r="LVS73" s="557"/>
      <c r="LVT73" s="557"/>
      <c r="LVU73" s="557"/>
      <c r="LVV73" s="557"/>
      <c r="LVW73" s="557"/>
      <c r="LVX73" s="557"/>
      <c r="LVY73" s="557"/>
      <c r="LVZ73" s="557"/>
      <c r="LWA73" s="557"/>
      <c r="LWB73" s="557"/>
      <c r="LWC73" s="557"/>
      <c r="LWD73" s="557"/>
      <c r="LWE73" s="557"/>
      <c r="LWF73" s="557"/>
      <c r="LWG73" s="557"/>
      <c r="LWH73" s="557"/>
      <c r="LWI73" s="661"/>
      <c r="LWJ73" s="556"/>
      <c r="LWK73" s="557"/>
      <c r="LWL73" s="557"/>
      <c r="LWM73" s="557"/>
      <c r="LWN73" s="557"/>
      <c r="LWO73" s="557"/>
      <c r="LWP73" s="557"/>
      <c r="LWQ73" s="557"/>
      <c r="LWR73" s="557"/>
      <c r="LWS73" s="557"/>
      <c r="LWT73" s="557"/>
      <c r="LWU73" s="557"/>
      <c r="LWV73" s="557"/>
      <c r="LWW73" s="557"/>
      <c r="LWX73" s="557"/>
      <c r="LWY73" s="557"/>
      <c r="LWZ73" s="557"/>
      <c r="LXA73" s="557"/>
      <c r="LXB73" s="557"/>
      <c r="LXC73" s="661"/>
      <c r="LXD73" s="556"/>
      <c r="LXE73" s="557"/>
      <c r="LXF73" s="557"/>
      <c r="LXG73" s="557"/>
      <c r="LXH73" s="557"/>
      <c r="LXI73" s="557"/>
      <c r="LXJ73" s="557"/>
      <c r="LXK73" s="557"/>
      <c r="LXL73" s="557"/>
      <c r="LXM73" s="557"/>
      <c r="LXN73" s="557"/>
      <c r="LXO73" s="557"/>
      <c r="LXP73" s="557"/>
      <c r="LXQ73" s="557"/>
      <c r="LXR73" s="557"/>
      <c r="LXS73" s="557"/>
      <c r="LXT73" s="557"/>
      <c r="LXU73" s="557"/>
      <c r="LXV73" s="557"/>
      <c r="LXW73" s="661"/>
      <c r="LXX73" s="556"/>
      <c r="LXY73" s="557"/>
      <c r="LXZ73" s="557"/>
      <c r="LYA73" s="557"/>
      <c r="LYB73" s="557"/>
      <c r="LYC73" s="557"/>
      <c r="LYD73" s="557"/>
      <c r="LYE73" s="557"/>
      <c r="LYF73" s="557"/>
      <c r="LYG73" s="557"/>
      <c r="LYH73" s="557"/>
      <c r="LYI73" s="557"/>
      <c r="LYJ73" s="557"/>
      <c r="LYK73" s="557"/>
      <c r="LYL73" s="557"/>
      <c r="LYM73" s="557"/>
      <c r="LYN73" s="557"/>
      <c r="LYO73" s="557"/>
      <c r="LYP73" s="557"/>
      <c r="LYQ73" s="661"/>
      <c r="LYR73" s="556"/>
      <c r="LYS73" s="557"/>
      <c r="LYT73" s="557"/>
      <c r="LYU73" s="557"/>
      <c r="LYV73" s="557"/>
      <c r="LYW73" s="557"/>
      <c r="LYX73" s="557"/>
      <c r="LYY73" s="557"/>
      <c r="LYZ73" s="557"/>
      <c r="LZA73" s="557"/>
      <c r="LZB73" s="557"/>
      <c r="LZC73" s="557"/>
      <c r="LZD73" s="557"/>
      <c r="LZE73" s="557"/>
      <c r="LZF73" s="557"/>
      <c r="LZG73" s="557"/>
      <c r="LZH73" s="557"/>
      <c r="LZI73" s="557"/>
      <c r="LZJ73" s="557"/>
      <c r="LZK73" s="661"/>
      <c r="LZL73" s="556"/>
      <c r="LZM73" s="557"/>
      <c r="LZN73" s="557"/>
      <c r="LZO73" s="557"/>
      <c r="LZP73" s="557"/>
      <c r="LZQ73" s="557"/>
      <c r="LZR73" s="557"/>
      <c r="LZS73" s="557"/>
      <c r="LZT73" s="557"/>
      <c r="LZU73" s="557"/>
      <c r="LZV73" s="557"/>
      <c r="LZW73" s="557"/>
      <c r="LZX73" s="557"/>
      <c r="LZY73" s="557"/>
      <c r="LZZ73" s="557"/>
      <c r="MAA73" s="557"/>
      <c r="MAB73" s="557"/>
      <c r="MAC73" s="557"/>
      <c r="MAD73" s="557"/>
      <c r="MAE73" s="661"/>
      <c r="MAF73" s="556"/>
      <c r="MAG73" s="557"/>
      <c r="MAH73" s="557"/>
      <c r="MAI73" s="557"/>
      <c r="MAJ73" s="557"/>
      <c r="MAK73" s="557"/>
      <c r="MAL73" s="557"/>
      <c r="MAM73" s="557"/>
      <c r="MAN73" s="557"/>
      <c r="MAO73" s="557"/>
      <c r="MAP73" s="557"/>
      <c r="MAQ73" s="557"/>
      <c r="MAR73" s="557"/>
      <c r="MAS73" s="557"/>
      <c r="MAT73" s="557"/>
      <c r="MAU73" s="557"/>
      <c r="MAV73" s="557"/>
      <c r="MAW73" s="557"/>
      <c r="MAX73" s="557"/>
      <c r="MAY73" s="661"/>
      <c r="MAZ73" s="556"/>
      <c r="MBA73" s="557"/>
      <c r="MBB73" s="557"/>
      <c r="MBC73" s="557"/>
      <c r="MBD73" s="557"/>
      <c r="MBE73" s="557"/>
      <c r="MBF73" s="557"/>
      <c r="MBG73" s="557"/>
      <c r="MBH73" s="557"/>
      <c r="MBI73" s="557"/>
      <c r="MBJ73" s="557"/>
      <c r="MBK73" s="557"/>
      <c r="MBL73" s="557"/>
      <c r="MBM73" s="557"/>
      <c r="MBN73" s="557"/>
      <c r="MBO73" s="557"/>
      <c r="MBP73" s="557"/>
      <c r="MBQ73" s="557"/>
      <c r="MBR73" s="557"/>
      <c r="MBS73" s="661"/>
      <c r="MBT73" s="556"/>
      <c r="MBU73" s="557"/>
      <c r="MBV73" s="557"/>
      <c r="MBW73" s="557"/>
      <c r="MBX73" s="557"/>
      <c r="MBY73" s="557"/>
      <c r="MBZ73" s="557"/>
      <c r="MCA73" s="557"/>
      <c r="MCB73" s="557"/>
      <c r="MCC73" s="557"/>
      <c r="MCD73" s="557"/>
      <c r="MCE73" s="557"/>
      <c r="MCF73" s="557"/>
      <c r="MCG73" s="557"/>
      <c r="MCH73" s="557"/>
      <c r="MCI73" s="557"/>
      <c r="MCJ73" s="557"/>
      <c r="MCK73" s="557"/>
      <c r="MCL73" s="557"/>
      <c r="MCM73" s="661"/>
      <c r="MCN73" s="556"/>
      <c r="MCO73" s="557"/>
      <c r="MCP73" s="557"/>
      <c r="MCQ73" s="557"/>
      <c r="MCR73" s="557"/>
      <c r="MCS73" s="557"/>
      <c r="MCT73" s="557"/>
      <c r="MCU73" s="557"/>
      <c r="MCV73" s="557"/>
      <c r="MCW73" s="557"/>
      <c r="MCX73" s="557"/>
      <c r="MCY73" s="557"/>
      <c r="MCZ73" s="557"/>
      <c r="MDA73" s="557"/>
      <c r="MDB73" s="557"/>
      <c r="MDC73" s="557"/>
      <c r="MDD73" s="557"/>
      <c r="MDE73" s="557"/>
      <c r="MDF73" s="557"/>
      <c r="MDG73" s="661"/>
      <c r="MDH73" s="556"/>
      <c r="MDI73" s="557"/>
      <c r="MDJ73" s="557"/>
      <c r="MDK73" s="557"/>
      <c r="MDL73" s="557"/>
      <c r="MDM73" s="557"/>
      <c r="MDN73" s="557"/>
      <c r="MDO73" s="557"/>
      <c r="MDP73" s="557"/>
      <c r="MDQ73" s="557"/>
      <c r="MDR73" s="557"/>
      <c r="MDS73" s="557"/>
      <c r="MDT73" s="557"/>
      <c r="MDU73" s="557"/>
      <c r="MDV73" s="557"/>
      <c r="MDW73" s="557"/>
      <c r="MDX73" s="557"/>
      <c r="MDY73" s="557"/>
      <c r="MDZ73" s="557"/>
      <c r="MEA73" s="661"/>
      <c r="MEB73" s="556"/>
      <c r="MEC73" s="557"/>
      <c r="MED73" s="557"/>
      <c r="MEE73" s="557"/>
      <c r="MEF73" s="557"/>
      <c r="MEG73" s="557"/>
      <c r="MEH73" s="557"/>
      <c r="MEI73" s="557"/>
      <c r="MEJ73" s="557"/>
      <c r="MEK73" s="557"/>
      <c r="MEL73" s="557"/>
      <c r="MEM73" s="557"/>
      <c r="MEN73" s="557"/>
      <c r="MEO73" s="557"/>
      <c r="MEP73" s="557"/>
      <c r="MEQ73" s="557"/>
      <c r="MER73" s="557"/>
      <c r="MES73" s="557"/>
      <c r="MET73" s="557"/>
      <c r="MEU73" s="661"/>
      <c r="MEV73" s="556"/>
      <c r="MEW73" s="557"/>
      <c r="MEX73" s="557"/>
      <c r="MEY73" s="557"/>
      <c r="MEZ73" s="557"/>
      <c r="MFA73" s="557"/>
      <c r="MFB73" s="557"/>
      <c r="MFC73" s="557"/>
      <c r="MFD73" s="557"/>
      <c r="MFE73" s="557"/>
      <c r="MFF73" s="557"/>
      <c r="MFG73" s="557"/>
      <c r="MFH73" s="557"/>
      <c r="MFI73" s="557"/>
      <c r="MFJ73" s="557"/>
      <c r="MFK73" s="557"/>
      <c r="MFL73" s="557"/>
      <c r="MFM73" s="557"/>
      <c r="MFN73" s="557"/>
      <c r="MFO73" s="661"/>
      <c r="MFP73" s="556"/>
      <c r="MFQ73" s="557"/>
      <c r="MFR73" s="557"/>
      <c r="MFS73" s="557"/>
      <c r="MFT73" s="557"/>
      <c r="MFU73" s="557"/>
      <c r="MFV73" s="557"/>
      <c r="MFW73" s="557"/>
      <c r="MFX73" s="557"/>
      <c r="MFY73" s="557"/>
      <c r="MFZ73" s="557"/>
      <c r="MGA73" s="557"/>
      <c r="MGB73" s="557"/>
      <c r="MGC73" s="557"/>
      <c r="MGD73" s="557"/>
      <c r="MGE73" s="557"/>
      <c r="MGF73" s="557"/>
      <c r="MGG73" s="557"/>
      <c r="MGH73" s="557"/>
      <c r="MGI73" s="661"/>
      <c r="MGJ73" s="556"/>
      <c r="MGK73" s="557"/>
      <c r="MGL73" s="557"/>
      <c r="MGM73" s="557"/>
      <c r="MGN73" s="557"/>
      <c r="MGO73" s="557"/>
      <c r="MGP73" s="557"/>
      <c r="MGQ73" s="557"/>
      <c r="MGR73" s="557"/>
      <c r="MGS73" s="557"/>
      <c r="MGT73" s="557"/>
      <c r="MGU73" s="557"/>
      <c r="MGV73" s="557"/>
      <c r="MGW73" s="557"/>
      <c r="MGX73" s="557"/>
      <c r="MGY73" s="557"/>
      <c r="MGZ73" s="557"/>
      <c r="MHA73" s="557"/>
      <c r="MHB73" s="557"/>
      <c r="MHC73" s="661"/>
      <c r="MHD73" s="556"/>
      <c r="MHE73" s="557"/>
      <c r="MHF73" s="557"/>
      <c r="MHG73" s="557"/>
      <c r="MHH73" s="557"/>
      <c r="MHI73" s="557"/>
      <c r="MHJ73" s="557"/>
      <c r="MHK73" s="557"/>
      <c r="MHL73" s="557"/>
      <c r="MHM73" s="557"/>
      <c r="MHN73" s="557"/>
      <c r="MHO73" s="557"/>
      <c r="MHP73" s="557"/>
      <c r="MHQ73" s="557"/>
      <c r="MHR73" s="557"/>
      <c r="MHS73" s="557"/>
      <c r="MHT73" s="557"/>
      <c r="MHU73" s="557"/>
      <c r="MHV73" s="557"/>
      <c r="MHW73" s="661"/>
      <c r="MHX73" s="556"/>
      <c r="MHY73" s="557"/>
      <c r="MHZ73" s="557"/>
      <c r="MIA73" s="557"/>
      <c r="MIB73" s="557"/>
      <c r="MIC73" s="557"/>
      <c r="MID73" s="557"/>
      <c r="MIE73" s="557"/>
      <c r="MIF73" s="557"/>
      <c r="MIG73" s="557"/>
      <c r="MIH73" s="557"/>
      <c r="MII73" s="557"/>
      <c r="MIJ73" s="557"/>
      <c r="MIK73" s="557"/>
      <c r="MIL73" s="557"/>
      <c r="MIM73" s="557"/>
      <c r="MIN73" s="557"/>
      <c r="MIO73" s="557"/>
      <c r="MIP73" s="557"/>
      <c r="MIQ73" s="661"/>
      <c r="MIR73" s="556"/>
      <c r="MIS73" s="557"/>
      <c r="MIT73" s="557"/>
      <c r="MIU73" s="557"/>
      <c r="MIV73" s="557"/>
      <c r="MIW73" s="557"/>
      <c r="MIX73" s="557"/>
      <c r="MIY73" s="557"/>
      <c r="MIZ73" s="557"/>
      <c r="MJA73" s="557"/>
      <c r="MJB73" s="557"/>
      <c r="MJC73" s="557"/>
      <c r="MJD73" s="557"/>
      <c r="MJE73" s="557"/>
      <c r="MJF73" s="557"/>
      <c r="MJG73" s="557"/>
      <c r="MJH73" s="557"/>
      <c r="MJI73" s="557"/>
      <c r="MJJ73" s="557"/>
      <c r="MJK73" s="661"/>
      <c r="MJL73" s="556"/>
      <c r="MJM73" s="557"/>
      <c r="MJN73" s="557"/>
      <c r="MJO73" s="557"/>
      <c r="MJP73" s="557"/>
      <c r="MJQ73" s="557"/>
      <c r="MJR73" s="557"/>
      <c r="MJS73" s="557"/>
      <c r="MJT73" s="557"/>
      <c r="MJU73" s="557"/>
      <c r="MJV73" s="557"/>
      <c r="MJW73" s="557"/>
      <c r="MJX73" s="557"/>
      <c r="MJY73" s="557"/>
      <c r="MJZ73" s="557"/>
      <c r="MKA73" s="557"/>
      <c r="MKB73" s="557"/>
      <c r="MKC73" s="557"/>
      <c r="MKD73" s="557"/>
      <c r="MKE73" s="661"/>
      <c r="MKF73" s="556"/>
      <c r="MKG73" s="557"/>
      <c r="MKH73" s="557"/>
      <c r="MKI73" s="557"/>
      <c r="MKJ73" s="557"/>
      <c r="MKK73" s="557"/>
      <c r="MKL73" s="557"/>
      <c r="MKM73" s="557"/>
      <c r="MKN73" s="557"/>
      <c r="MKO73" s="557"/>
      <c r="MKP73" s="557"/>
      <c r="MKQ73" s="557"/>
      <c r="MKR73" s="557"/>
      <c r="MKS73" s="557"/>
      <c r="MKT73" s="557"/>
      <c r="MKU73" s="557"/>
      <c r="MKV73" s="557"/>
      <c r="MKW73" s="557"/>
      <c r="MKX73" s="557"/>
      <c r="MKY73" s="661"/>
      <c r="MKZ73" s="556"/>
      <c r="MLA73" s="557"/>
      <c r="MLB73" s="557"/>
      <c r="MLC73" s="557"/>
      <c r="MLD73" s="557"/>
      <c r="MLE73" s="557"/>
      <c r="MLF73" s="557"/>
      <c r="MLG73" s="557"/>
      <c r="MLH73" s="557"/>
      <c r="MLI73" s="557"/>
      <c r="MLJ73" s="557"/>
      <c r="MLK73" s="557"/>
      <c r="MLL73" s="557"/>
      <c r="MLM73" s="557"/>
      <c r="MLN73" s="557"/>
      <c r="MLO73" s="557"/>
      <c r="MLP73" s="557"/>
      <c r="MLQ73" s="557"/>
      <c r="MLR73" s="557"/>
      <c r="MLS73" s="661"/>
      <c r="MLT73" s="556"/>
      <c r="MLU73" s="557"/>
      <c r="MLV73" s="557"/>
      <c r="MLW73" s="557"/>
      <c r="MLX73" s="557"/>
      <c r="MLY73" s="557"/>
      <c r="MLZ73" s="557"/>
      <c r="MMA73" s="557"/>
      <c r="MMB73" s="557"/>
      <c r="MMC73" s="557"/>
      <c r="MMD73" s="557"/>
      <c r="MME73" s="557"/>
      <c r="MMF73" s="557"/>
      <c r="MMG73" s="557"/>
      <c r="MMH73" s="557"/>
      <c r="MMI73" s="557"/>
      <c r="MMJ73" s="557"/>
      <c r="MMK73" s="557"/>
      <c r="MML73" s="557"/>
      <c r="MMM73" s="661"/>
      <c r="MMN73" s="556"/>
      <c r="MMO73" s="557"/>
      <c r="MMP73" s="557"/>
      <c r="MMQ73" s="557"/>
      <c r="MMR73" s="557"/>
      <c r="MMS73" s="557"/>
      <c r="MMT73" s="557"/>
      <c r="MMU73" s="557"/>
      <c r="MMV73" s="557"/>
      <c r="MMW73" s="557"/>
      <c r="MMX73" s="557"/>
      <c r="MMY73" s="557"/>
      <c r="MMZ73" s="557"/>
      <c r="MNA73" s="557"/>
      <c r="MNB73" s="557"/>
      <c r="MNC73" s="557"/>
      <c r="MND73" s="557"/>
      <c r="MNE73" s="557"/>
      <c r="MNF73" s="557"/>
      <c r="MNG73" s="661"/>
      <c r="MNH73" s="556"/>
      <c r="MNI73" s="557"/>
      <c r="MNJ73" s="557"/>
      <c r="MNK73" s="557"/>
      <c r="MNL73" s="557"/>
      <c r="MNM73" s="557"/>
      <c r="MNN73" s="557"/>
      <c r="MNO73" s="557"/>
      <c r="MNP73" s="557"/>
      <c r="MNQ73" s="557"/>
      <c r="MNR73" s="557"/>
      <c r="MNS73" s="557"/>
      <c r="MNT73" s="557"/>
      <c r="MNU73" s="557"/>
      <c r="MNV73" s="557"/>
      <c r="MNW73" s="557"/>
      <c r="MNX73" s="557"/>
      <c r="MNY73" s="557"/>
      <c r="MNZ73" s="557"/>
      <c r="MOA73" s="661"/>
      <c r="MOB73" s="556"/>
      <c r="MOC73" s="557"/>
      <c r="MOD73" s="557"/>
      <c r="MOE73" s="557"/>
      <c r="MOF73" s="557"/>
      <c r="MOG73" s="557"/>
      <c r="MOH73" s="557"/>
      <c r="MOI73" s="557"/>
      <c r="MOJ73" s="557"/>
      <c r="MOK73" s="557"/>
      <c r="MOL73" s="557"/>
      <c r="MOM73" s="557"/>
      <c r="MON73" s="557"/>
      <c r="MOO73" s="557"/>
      <c r="MOP73" s="557"/>
      <c r="MOQ73" s="557"/>
      <c r="MOR73" s="557"/>
      <c r="MOS73" s="557"/>
      <c r="MOT73" s="557"/>
      <c r="MOU73" s="661"/>
      <c r="MOV73" s="556"/>
      <c r="MOW73" s="557"/>
      <c r="MOX73" s="557"/>
      <c r="MOY73" s="557"/>
      <c r="MOZ73" s="557"/>
      <c r="MPA73" s="557"/>
      <c r="MPB73" s="557"/>
      <c r="MPC73" s="557"/>
      <c r="MPD73" s="557"/>
      <c r="MPE73" s="557"/>
      <c r="MPF73" s="557"/>
      <c r="MPG73" s="557"/>
      <c r="MPH73" s="557"/>
      <c r="MPI73" s="557"/>
      <c r="MPJ73" s="557"/>
      <c r="MPK73" s="557"/>
      <c r="MPL73" s="557"/>
      <c r="MPM73" s="557"/>
      <c r="MPN73" s="557"/>
      <c r="MPO73" s="661"/>
      <c r="MPP73" s="556"/>
      <c r="MPQ73" s="557"/>
      <c r="MPR73" s="557"/>
      <c r="MPS73" s="557"/>
      <c r="MPT73" s="557"/>
      <c r="MPU73" s="557"/>
      <c r="MPV73" s="557"/>
      <c r="MPW73" s="557"/>
      <c r="MPX73" s="557"/>
      <c r="MPY73" s="557"/>
      <c r="MPZ73" s="557"/>
      <c r="MQA73" s="557"/>
      <c r="MQB73" s="557"/>
      <c r="MQC73" s="557"/>
      <c r="MQD73" s="557"/>
      <c r="MQE73" s="557"/>
      <c r="MQF73" s="557"/>
      <c r="MQG73" s="557"/>
      <c r="MQH73" s="557"/>
      <c r="MQI73" s="661"/>
      <c r="MQJ73" s="556"/>
      <c r="MQK73" s="557"/>
      <c r="MQL73" s="557"/>
      <c r="MQM73" s="557"/>
      <c r="MQN73" s="557"/>
      <c r="MQO73" s="557"/>
      <c r="MQP73" s="557"/>
      <c r="MQQ73" s="557"/>
      <c r="MQR73" s="557"/>
      <c r="MQS73" s="557"/>
      <c r="MQT73" s="557"/>
      <c r="MQU73" s="557"/>
      <c r="MQV73" s="557"/>
      <c r="MQW73" s="557"/>
      <c r="MQX73" s="557"/>
      <c r="MQY73" s="557"/>
      <c r="MQZ73" s="557"/>
      <c r="MRA73" s="557"/>
      <c r="MRB73" s="557"/>
      <c r="MRC73" s="661"/>
      <c r="MRD73" s="556"/>
      <c r="MRE73" s="557"/>
      <c r="MRF73" s="557"/>
      <c r="MRG73" s="557"/>
      <c r="MRH73" s="557"/>
      <c r="MRI73" s="557"/>
      <c r="MRJ73" s="557"/>
      <c r="MRK73" s="557"/>
      <c r="MRL73" s="557"/>
      <c r="MRM73" s="557"/>
      <c r="MRN73" s="557"/>
      <c r="MRO73" s="557"/>
      <c r="MRP73" s="557"/>
      <c r="MRQ73" s="557"/>
      <c r="MRR73" s="557"/>
      <c r="MRS73" s="557"/>
      <c r="MRT73" s="557"/>
      <c r="MRU73" s="557"/>
      <c r="MRV73" s="557"/>
      <c r="MRW73" s="661"/>
      <c r="MRX73" s="556"/>
      <c r="MRY73" s="557"/>
      <c r="MRZ73" s="557"/>
      <c r="MSA73" s="557"/>
      <c r="MSB73" s="557"/>
      <c r="MSC73" s="557"/>
      <c r="MSD73" s="557"/>
      <c r="MSE73" s="557"/>
      <c r="MSF73" s="557"/>
      <c r="MSG73" s="557"/>
      <c r="MSH73" s="557"/>
      <c r="MSI73" s="557"/>
      <c r="MSJ73" s="557"/>
      <c r="MSK73" s="557"/>
      <c r="MSL73" s="557"/>
      <c r="MSM73" s="557"/>
      <c r="MSN73" s="557"/>
      <c r="MSO73" s="557"/>
      <c r="MSP73" s="557"/>
      <c r="MSQ73" s="661"/>
      <c r="MSR73" s="556"/>
      <c r="MSS73" s="557"/>
      <c r="MST73" s="557"/>
      <c r="MSU73" s="557"/>
      <c r="MSV73" s="557"/>
      <c r="MSW73" s="557"/>
      <c r="MSX73" s="557"/>
      <c r="MSY73" s="557"/>
      <c r="MSZ73" s="557"/>
      <c r="MTA73" s="557"/>
      <c r="MTB73" s="557"/>
      <c r="MTC73" s="557"/>
      <c r="MTD73" s="557"/>
      <c r="MTE73" s="557"/>
      <c r="MTF73" s="557"/>
      <c r="MTG73" s="557"/>
      <c r="MTH73" s="557"/>
      <c r="MTI73" s="557"/>
      <c r="MTJ73" s="557"/>
      <c r="MTK73" s="661"/>
      <c r="MTL73" s="556"/>
      <c r="MTM73" s="557"/>
      <c r="MTN73" s="557"/>
      <c r="MTO73" s="557"/>
      <c r="MTP73" s="557"/>
      <c r="MTQ73" s="557"/>
      <c r="MTR73" s="557"/>
      <c r="MTS73" s="557"/>
      <c r="MTT73" s="557"/>
      <c r="MTU73" s="557"/>
      <c r="MTV73" s="557"/>
      <c r="MTW73" s="557"/>
      <c r="MTX73" s="557"/>
      <c r="MTY73" s="557"/>
      <c r="MTZ73" s="557"/>
      <c r="MUA73" s="557"/>
      <c r="MUB73" s="557"/>
      <c r="MUC73" s="557"/>
      <c r="MUD73" s="557"/>
      <c r="MUE73" s="661"/>
      <c r="MUF73" s="556"/>
      <c r="MUG73" s="557"/>
      <c r="MUH73" s="557"/>
      <c r="MUI73" s="557"/>
      <c r="MUJ73" s="557"/>
      <c r="MUK73" s="557"/>
      <c r="MUL73" s="557"/>
      <c r="MUM73" s="557"/>
      <c r="MUN73" s="557"/>
      <c r="MUO73" s="557"/>
      <c r="MUP73" s="557"/>
      <c r="MUQ73" s="557"/>
      <c r="MUR73" s="557"/>
      <c r="MUS73" s="557"/>
      <c r="MUT73" s="557"/>
      <c r="MUU73" s="557"/>
      <c r="MUV73" s="557"/>
      <c r="MUW73" s="557"/>
      <c r="MUX73" s="557"/>
      <c r="MUY73" s="661"/>
      <c r="MUZ73" s="556"/>
      <c r="MVA73" s="557"/>
      <c r="MVB73" s="557"/>
      <c r="MVC73" s="557"/>
      <c r="MVD73" s="557"/>
      <c r="MVE73" s="557"/>
      <c r="MVF73" s="557"/>
      <c r="MVG73" s="557"/>
      <c r="MVH73" s="557"/>
      <c r="MVI73" s="557"/>
      <c r="MVJ73" s="557"/>
      <c r="MVK73" s="557"/>
      <c r="MVL73" s="557"/>
      <c r="MVM73" s="557"/>
      <c r="MVN73" s="557"/>
      <c r="MVO73" s="557"/>
      <c r="MVP73" s="557"/>
      <c r="MVQ73" s="557"/>
      <c r="MVR73" s="557"/>
      <c r="MVS73" s="661"/>
      <c r="MVT73" s="556"/>
      <c r="MVU73" s="557"/>
      <c r="MVV73" s="557"/>
      <c r="MVW73" s="557"/>
      <c r="MVX73" s="557"/>
      <c r="MVY73" s="557"/>
      <c r="MVZ73" s="557"/>
      <c r="MWA73" s="557"/>
      <c r="MWB73" s="557"/>
      <c r="MWC73" s="557"/>
      <c r="MWD73" s="557"/>
      <c r="MWE73" s="557"/>
      <c r="MWF73" s="557"/>
      <c r="MWG73" s="557"/>
      <c r="MWH73" s="557"/>
      <c r="MWI73" s="557"/>
      <c r="MWJ73" s="557"/>
      <c r="MWK73" s="557"/>
      <c r="MWL73" s="557"/>
      <c r="MWM73" s="661"/>
      <c r="MWN73" s="556"/>
      <c r="MWO73" s="557"/>
      <c r="MWP73" s="557"/>
      <c r="MWQ73" s="557"/>
      <c r="MWR73" s="557"/>
      <c r="MWS73" s="557"/>
      <c r="MWT73" s="557"/>
      <c r="MWU73" s="557"/>
      <c r="MWV73" s="557"/>
      <c r="MWW73" s="557"/>
      <c r="MWX73" s="557"/>
      <c r="MWY73" s="557"/>
      <c r="MWZ73" s="557"/>
      <c r="MXA73" s="557"/>
      <c r="MXB73" s="557"/>
      <c r="MXC73" s="557"/>
      <c r="MXD73" s="557"/>
      <c r="MXE73" s="557"/>
      <c r="MXF73" s="557"/>
      <c r="MXG73" s="661"/>
      <c r="MXH73" s="556"/>
      <c r="MXI73" s="557"/>
      <c r="MXJ73" s="557"/>
      <c r="MXK73" s="557"/>
      <c r="MXL73" s="557"/>
      <c r="MXM73" s="557"/>
      <c r="MXN73" s="557"/>
      <c r="MXO73" s="557"/>
      <c r="MXP73" s="557"/>
      <c r="MXQ73" s="557"/>
      <c r="MXR73" s="557"/>
      <c r="MXS73" s="557"/>
      <c r="MXT73" s="557"/>
      <c r="MXU73" s="557"/>
      <c r="MXV73" s="557"/>
      <c r="MXW73" s="557"/>
      <c r="MXX73" s="557"/>
      <c r="MXY73" s="557"/>
      <c r="MXZ73" s="557"/>
      <c r="MYA73" s="661"/>
      <c r="MYB73" s="556"/>
      <c r="MYC73" s="557"/>
      <c r="MYD73" s="557"/>
      <c r="MYE73" s="557"/>
      <c r="MYF73" s="557"/>
      <c r="MYG73" s="557"/>
      <c r="MYH73" s="557"/>
      <c r="MYI73" s="557"/>
      <c r="MYJ73" s="557"/>
      <c r="MYK73" s="557"/>
      <c r="MYL73" s="557"/>
      <c r="MYM73" s="557"/>
      <c r="MYN73" s="557"/>
      <c r="MYO73" s="557"/>
      <c r="MYP73" s="557"/>
      <c r="MYQ73" s="557"/>
      <c r="MYR73" s="557"/>
      <c r="MYS73" s="557"/>
      <c r="MYT73" s="557"/>
      <c r="MYU73" s="661"/>
      <c r="MYV73" s="556"/>
      <c r="MYW73" s="557"/>
      <c r="MYX73" s="557"/>
      <c r="MYY73" s="557"/>
      <c r="MYZ73" s="557"/>
      <c r="MZA73" s="557"/>
      <c r="MZB73" s="557"/>
      <c r="MZC73" s="557"/>
      <c r="MZD73" s="557"/>
      <c r="MZE73" s="557"/>
      <c r="MZF73" s="557"/>
      <c r="MZG73" s="557"/>
      <c r="MZH73" s="557"/>
      <c r="MZI73" s="557"/>
      <c r="MZJ73" s="557"/>
      <c r="MZK73" s="557"/>
      <c r="MZL73" s="557"/>
      <c r="MZM73" s="557"/>
      <c r="MZN73" s="557"/>
      <c r="MZO73" s="661"/>
      <c r="MZP73" s="556"/>
      <c r="MZQ73" s="557"/>
      <c r="MZR73" s="557"/>
      <c r="MZS73" s="557"/>
      <c r="MZT73" s="557"/>
      <c r="MZU73" s="557"/>
      <c r="MZV73" s="557"/>
      <c r="MZW73" s="557"/>
      <c r="MZX73" s="557"/>
      <c r="MZY73" s="557"/>
      <c r="MZZ73" s="557"/>
      <c r="NAA73" s="557"/>
      <c r="NAB73" s="557"/>
      <c r="NAC73" s="557"/>
      <c r="NAD73" s="557"/>
      <c r="NAE73" s="557"/>
      <c r="NAF73" s="557"/>
      <c r="NAG73" s="557"/>
      <c r="NAH73" s="557"/>
      <c r="NAI73" s="661"/>
      <c r="NAJ73" s="556"/>
      <c r="NAK73" s="557"/>
      <c r="NAL73" s="557"/>
      <c r="NAM73" s="557"/>
      <c r="NAN73" s="557"/>
      <c r="NAO73" s="557"/>
      <c r="NAP73" s="557"/>
      <c r="NAQ73" s="557"/>
      <c r="NAR73" s="557"/>
      <c r="NAS73" s="557"/>
      <c r="NAT73" s="557"/>
      <c r="NAU73" s="557"/>
      <c r="NAV73" s="557"/>
      <c r="NAW73" s="557"/>
      <c r="NAX73" s="557"/>
      <c r="NAY73" s="557"/>
      <c r="NAZ73" s="557"/>
      <c r="NBA73" s="557"/>
      <c r="NBB73" s="557"/>
      <c r="NBC73" s="661"/>
      <c r="NBD73" s="556"/>
      <c r="NBE73" s="557"/>
      <c r="NBF73" s="557"/>
      <c r="NBG73" s="557"/>
      <c r="NBH73" s="557"/>
      <c r="NBI73" s="557"/>
      <c r="NBJ73" s="557"/>
      <c r="NBK73" s="557"/>
      <c r="NBL73" s="557"/>
      <c r="NBM73" s="557"/>
      <c r="NBN73" s="557"/>
      <c r="NBO73" s="557"/>
      <c r="NBP73" s="557"/>
      <c r="NBQ73" s="557"/>
      <c r="NBR73" s="557"/>
      <c r="NBS73" s="557"/>
      <c r="NBT73" s="557"/>
      <c r="NBU73" s="557"/>
      <c r="NBV73" s="557"/>
      <c r="NBW73" s="661"/>
      <c r="NBX73" s="556"/>
      <c r="NBY73" s="557"/>
      <c r="NBZ73" s="557"/>
      <c r="NCA73" s="557"/>
      <c r="NCB73" s="557"/>
      <c r="NCC73" s="557"/>
      <c r="NCD73" s="557"/>
      <c r="NCE73" s="557"/>
      <c r="NCF73" s="557"/>
      <c r="NCG73" s="557"/>
      <c r="NCH73" s="557"/>
      <c r="NCI73" s="557"/>
      <c r="NCJ73" s="557"/>
      <c r="NCK73" s="557"/>
      <c r="NCL73" s="557"/>
      <c r="NCM73" s="557"/>
      <c r="NCN73" s="557"/>
      <c r="NCO73" s="557"/>
      <c r="NCP73" s="557"/>
      <c r="NCQ73" s="661"/>
      <c r="NCR73" s="556"/>
      <c r="NCS73" s="557"/>
      <c r="NCT73" s="557"/>
      <c r="NCU73" s="557"/>
      <c r="NCV73" s="557"/>
      <c r="NCW73" s="557"/>
      <c r="NCX73" s="557"/>
      <c r="NCY73" s="557"/>
      <c r="NCZ73" s="557"/>
      <c r="NDA73" s="557"/>
      <c r="NDB73" s="557"/>
      <c r="NDC73" s="557"/>
      <c r="NDD73" s="557"/>
      <c r="NDE73" s="557"/>
      <c r="NDF73" s="557"/>
      <c r="NDG73" s="557"/>
      <c r="NDH73" s="557"/>
      <c r="NDI73" s="557"/>
      <c r="NDJ73" s="557"/>
      <c r="NDK73" s="661"/>
      <c r="NDL73" s="556"/>
      <c r="NDM73" s="557"/>
      <c r="NDN73" s="557"/>
      <c r="NDO73" s="557"/>
      <c r="NDP73" s="557"/>
      <c r="NDQ73" s="557"/>
      <c r="NDR73" s="557"/>
      <c r="NDS73" s="557"/>
      <c r="NDT73" s="557"/>
      <c r="NDU73" s="557"/>
      <c r="NDV73" s="557"/>
      <c r="NDW73" s="557"/>
      <c r="NDX73" s="557"/>
      <c r="NDY73" s="557"/>
      <c r="NDZ73" s="557"/>
      <c r="NEA73" s="557"/>
      <c r="NEB73" s="557"/>
      <c r="NEC73" s="557"/>
      <c r="NED73" s="557"/>
      <c r="NEE73" s="661"/>
      <c r="NEF73" s="556"/>
      <c r="NEG73" s="557"/>
      <c r="NEH73" s="557"/>
      <c r="NEI73" s="557"/>
      <c r="NEJ73" s="557"/>
      <c r="NEK73" s="557"/>
      <c r="NEL73" s="557"/>
      <c r="NEM73" s="557"/>
      <c r="NEN73" s="557"/>
      <c r="NEO73" s="557"/>
      <c r="NEP73" s="557"/>
      <c r="NEQ73" s="557"/>
      <c r="NER73" s="557"/>
      <c r="NES73" s="557"/>
      <c r="NET73" s="557"/>
      <c r="NEU73" s="557"/>
      <c r="NEV73" s="557"/>
      <c r="NEW73" s="557"/>
      <c r="NEX73" s="557"/>
      <c r="NEY73" s="661"/>
      <c r="NEZ73" s="556"/>
      <c r="NFA73" s="557"/>
      <c r="NFB73" s="557"/>
      <c r="NFC73" s="557"/>
      <c r="NFD73" s="557"/>
      <c r="NFE73" s="557"/>
      <c r="NFF73" s="557"/>
      <c r="NFG73" s="557"/>
      <c r="NFH73" s="557"/>
      <c r="NFI73" s="557"/>
      <c r="NFJ73" s="557"/>
      <c r="NFK73" s="557"/>
      <c r="NFL73" s="557"/>
      <c r="NFM73" s="557"/>
      <c r="NFN73" s="557"/>
      <c r="NFO73" s="557"/>
      <c r="NFP73" s="557"/>
      <c r="NFQ73" s="557"/>
      <c r="NFR73" s="557"/>
      <c r="NFS73" s="661"/>
      <c r="NFT73" s="556"/>
      <c r="NFU73" s="557"/>
      <c r="NFV73" s="557"/>
      <c r="NFW73" s="557"/>
      <c r="NFX73" s="557"/>
      <c r="NFY73" s="557"/>
      <c r="NFZ73" s="557"/>
      <c r="NGA73" s="557"/>
      <c r="NGB73" s="557"/>
      <c r="NGC73" s="557"/>
      <c r="NGD73" s="557"/>
      <c r="NGE73" s="557"/>
      <c r="NGF73" s="557"/>
      <c r="NGG73" s="557"/>
      <c r="NGH73" s="557"/>
      <c r="NGI73" s="557"/>
      <c r="NGJ73" s="557"/>
      <c r="NGK73" s="557"/>
      <c r="NGL73" s="557"/>
      <c r="NGM73" s="661"/>
      <c r="NGN73" s="556"/>
      <c r="NGO73" s="557"/>
      <c r="NGP73" s="557"/>
      <c r="NGQ73" s="557"/>
      <c r="NGR73" s="557"/>
      <c r="NGS73" s="557"/>
      <c r="NGT73" s="557"/>
      <c r="NGU73" s="557"/>
      <c r="NGV73" s="557"/>
      <c r="NGW73" s="557"/>
      <c r="NGX73" s="557"/>
      <c r="NGY73" s="557"/>
      <c r="NGZ73" s="557"/>
      <c r="NHA73" s="557"/>
      <c r="NHB73" s="557"/>
      <c r="NHC73" s="557"/>
      <c r="NHD73" s="557"/>
      <c r="NHE73" s="557"/>
      <c r="NHF73" s="557"/>
      <c r="NHG73" s="661"/>
      <c r="NHH73" s="556"/>
      <c r="NHI73" s="557"/>
      <c r="NHJ73" s="557"/>
      <c r="NHK73" s="557"/>
      <c r="NHL73" s="557"/>
      <c r="NHM73" s="557"/>
      <c r="NHN73" s="557"/>
      <c r="NHO73" s="557"/>
      <c r="NHP73" s="557"/>
      <c r="NHQ73" s="557"/>
      <c r="NHR73" s="557"/>
      <c r="NHS73" s="557"/>
      <c r="NHT73" s="557"/>
      <c r="NHU73" s="557"/>
      <c r="NHV73" s="557"/>
      <c r="NHW73" s="557"/>
      <c r="NHX73" s="557"/>
      <c r="NHY73" s="557"/>
      <c r="NHZ73" s="557"/>
      <c r="NIA73" s="661"/>
      <c r="NIB73" s="556"/>
      <c r="NIC73" s="557"/>
      <c r="NID73" s="557"/>
      <c r="NIE73" s="557"/>
      <c r="NIF73" s="557"/>
      <c r="NIG73" s="557"/>
      <c r="NIH73" s="557"/>
      <c r="NII73" s="557"/>
      <c r="NIJ73" s="557"/>
      <c r="NIK73" s="557"/>
      <c r="NIL73" s="557"/>
      <c r="NIM73" s="557"/>
      <c r="NIN73" s="557"/>
      <c r="NIO73" s="557"/>
      <c r="NIP73" s="557"/>
      <c r="NIQ73" s="557"/>
      <c r="NIR73" s="557"/>
      <c r="NIS73" s="557"/>
      <c r="NIT73" s="557"/>
      <c r="NIU73" s="661"/>
      <c r="NIV73" s="556"/>
      <c r="NIW73" s="557"/>
      <c r="NIX73" s="557"/>
      <c r="NIY73" s="557"/>
      <c r="NIZ73" s="557"/>
      <c r="NJA73" s="557"/>
      <c r="NJB73" s="557"/>
      <c r="NJC73" s="557"/>
      <c r="NJD73" s="557"/>
      <c r="NJE73" s="557"/>
      <c r="NJF73" s="557"/>
      <c r="NJG73" s="557"/>
      <c r="NJH73" s="557"/>
      <c r="NJI73" s="557"/>
      <c r="NJJ73" s="557"/>
      <c r="NJK73" s="557"/>
      <c r="NJL73" s="557"/>
      <c r="NJM73" s="557"/>
      <c r="NJN73" s="557"/>
      <c r="NJO73" s="661"/>
      <c r="NJP73" s="556"/>
      <c r="NJQ73" s="557"/>
      <c r="NJR73" s="557"/>
      <c r="NJS73" s="557"/>
      <c r="NJT73" s="557"/>
      <c r="NJU73" s="557"/>
      <c r="NJV73" s="557"/>
      <c r="NJW73" s="557"/>
      <c r="NJX73" s="557"/>
      <c r="NJY73" s="557"/>
      <c r="NJZ73" s="557"/>
      <c r="NKA73" s="557"/>
      <c r="NKB73" s="557"/>
      <c r="NKC73" s="557"/>
      <c r="NKD73" s="557"/>
      <c r="NKE73" s="557"/>
      <c r="NKF73" s="557"/>
      <c r="NKG73" s="557"/>
      <c r="NKH73" s="557"/>
      <c r="NKI73" s="661"/>
      <c r="NKJ73" s="556"/>
      <c r="NKK73" s="557"/>
      <c r="NKL73" s="557"/>
      <c r="NKM73" s="557"/>
      <c r="NKN73" s="557"/>
      <c r="NKO73" s="557"/>
      <c r="NKP73" s="557"/>
      <c r="NKQ73" s="557"/>
      <c r="NKR73" s="557"/>
      <c r="NKS73" s="557"/>
      <c r="NKT73" s="557"/>
      <c r="NKU73" s="557"/>
      <c r="NKV73" s="557"/>
      <c r="NKW73" s="557"/>
      <c r="NKX73" s="557"/>
      <c r="NKY73" s="557"/>
      <c r="NKZ73" s="557"/>
      <c r="NLA73" s="557"/>
      <c r="NLB73" s="557"/>
      <c r="NLC73" s="661"/>
      <c r="NLD73" s="556"/>
      <c r="NLE73" s="557"/>
      <c r="NLF73" s="557"/>
      <c r="NLG73" s="557"/>
      <c r="NLH73" s="557"/>
      <c r="NLI73" s="557"/>
      <c r="NLJ73" s="557"/>
      <c r="NLK73" s="557"/>
      <c r="NLL73" s="557"/>
      <c r="NLM73" s="557"/>
      <c r="NLN73" s="557"/>
      <c r="NLO73" s="557"/>
      <c r="NLP73" s="557"/>
      <c r="NLQ73" s="557"/>
      <c r="NLR73" s="557"/>
      <c r="NLS73" s="557"/>
      <c r="NLT73" s="557"/>
      <c r="NLU73" s="557"/>
      <c r="NLV73" s="557"/>
      <c r="NLW73" s="661"/>
      <c r="NLX73" s="556"/>
      <c r="NLY73" s="557"/>
      <c r="NLZ73" s="557"/>
      <c r="NMA73" s="557"/>
      <c r="NMB73" s="557"/>
      <c r="NMC73" s="557"/>
      <c r="NMD73" s="557"/>
      <c r="NME73" s="557"/>
      <c r="NMF73" s="557"/>
      <c r="NMG73" s="557"/>
      <c r="NMH73" s="557"/>
      <c r="NMI73" s="557"/>
      <c r="NMJ73" s="557"/>
      <c r="NMK73" s="557"/>
      <c r="NML73" s="557"/>
      <c r="NMM73" s="557"/>
      <c r="NMN73" s="557"/>
      <c r="NMO73" s="557"/>
      <c r="NMP73" s="557"/>
      <c r="NMQ73" s="661"/>
      <c r="NMR73" s="556"/>
      <c r="NMS73" s="557"/>
      <c r="NMT73" s="557"/>
      <c r="NMU73" s="557"/>
      <c r="NMV73" s="557"/>
      <c r="NMW73" s="557"/>
      <c r="NMX73" s="557"/>
      <c r="NMY73" s="557"/>
      <c r="NMZ73" s="557"/>
      <c r="NNA73" s="557"/>
      <c r="NNB73" s="557"/>
      <c r="NNC73" s="557"/>
      <c r="NND73" s="557"/>
      <c r="NNE73" s="557"/>
      <c r="NNF73" s="557"/>
      <c r="NNG73" s="557"/>
      <c r="NNH73" s="557"/>
      <c r="NNI73" s="557"/>
      <c r="NNJ73" s="557"/>
      <c r="NNK73" s="661"/>
      <c r="NNL73" s="556"/>
      <c r="NNM73" s="557"/>
      <c r="NNN73" s="557"/>
      <c r="NNO73" s="557"/>
      <c r="NNP73" s="557"/>
      <c r="NNQ73" s="557"/>
      <c r="NNR73" s="557"/>
      <c r="NNS73" s="557"/>
      <c r="NNT73" s="557"/>
      <c r="NNU73" s="557"/>
      <c r="NNV73" s="557"/>
      <c r="NNW73" s="557"/>
      <c r="NNX73" s="557"/>
      <c r="NNY73" s="557"/>
      <c r="NNZ73" s="557"/>
      <c r="NOA73" s="557"/>
      <c r="NOB73" s="557"/>
      <c r="NOC73" s="557"/>
      <c r="NOD73" s="557"/>
      <c r="NOE73" s="661"/>
      <c r="NOF73" s="556"/>
      <c r="NOG73" s="557"/>
      <c r="NOH73" s="557"/>
      <c r="NOI73" s="557"/>
      <c r="NOJ73" s="557"/>
      <c r="NOK73" s="557"/>
      <c r="NOL73" s="557"/>
      <c r="NOM73" s="557"/>
      <c r="NON73" s="557"/>
      <c r="NOO73" s="557"/>
      <c r="NOP73" s="557"/>
      <c r="NOQ73" s="557"/>
      <c r="NOR73" s="557"/>
      <c r="NOS73" s="557"/>
      <c r="NOT73" s="557"/>
      <c r="NOU73" s="557"/>
      <c r="NOV73" s="557"/>
      <c r="NOW73" s="557"/>
      <c r="NOX73" s="557"/>
      <c r="NOY73" s="661"/>
      <c r="NOZ73" s="556"/>
      <c r="NPA73" s="557"/>
      <c r="NPB73" s="557"/>
      <c r="NPC73" s="557"/>
      <c r="NPD73" s="557"/>
      <c r="NPE73" s="557"/>
      <c r="NPF73" s="557"/>
      <c r="NPG73" s="557"/>
      <c r="NPH73" s="557"/>
      <c r="NPI73" s="557"/>
      <c r="NPJ73" s="557"/>
      <c r="NPK73" s="557"/>
      <c r="NPL73" s="557"/>
      <c r="NPM73" s="557"/>
      <c r="NPN73" s="557"/>
      <c r="NPO73" s="557"/>
      <c r="NPP73" s="557"/>
      <c r="NPQ73" s="557"/>
      <c r="NPR73" s="557"/>
      <c r="NPS73" s="661"/>
      <c r="NPT73" s="556"/>
      <c r="NPU73" s="557"/>
      <c r="NPV73" s="557"/>
      <c r="NPW73" s="557"/>
      <c r="NPX73" s="557"/>
      <c r="NPY73" s="557"/>
      <c r="NPZ73" s="557"/>
      <c r="NQA73" s="557"/>
      <c r="NQB73" s="557"/>
      <c r="NQC73" s="557"/>
      <c r="NQD73" s="557"/>
      <c r="NQE73" s="557"/>
      <c r="NQF73" s="557"/>
      <c r="NQG73" s="557"/>
      <c r="NQH73" s="557"/>
      <c r="NQI73" s="557"/>
      <c r="NQJ73" s="557"/>
      <c r="NQK73" s="557"/>
      <c r="NQL73" s="557"/>
      <c r="NQM73" s="661"/>
      <c r="NQN73" s="556"/>
      <c r="NQO73" s="557"/>
      <c r="NQP73" s="557"/>
      <c r="NQQ73" s="557"/>
      <c r="NQR73" s="557"/>
      <c r="NQS73" s="557"/>
      <c r="NQT73" s="557"/>
      <c r="NQU73" s="557"/>
      <c r="NQV73" s="557"/>
      <c r="NQW73" s="557"/>
      <c r="NQX73" s="557"/>
      <c r="NQY73" s="557"/>
      <c r="NQZ73" s="557"/>
      <c r="NRA73" s="557"/>
      <c r="NRB73" s="557"/>
      <c r="NRC73" s="557"/>
      <c r="NRD73" s="557"/>
      <c r="NRE73" s="557"/>
      <c r="NRF73" s="557"/>
      <c r="NRG73" s="661"/>
      <c r="NRH73" s="556"/>
      <c r="NRI73" s="557"/>
      <c r="NRJ73" s="557"/>
      <c r="NRK73" s="557"/>
      <c r="NRL73" s="557"/>
      <c r="NRM73" s="557"/>
      <c r="NRN73" s="557"/>
      <c r="NRO73" s="557"/>
      <c r="NRP73" s="557"/>
      <c r="NRQ73" s="557"/>
      <c r="NRR73" s="557"/>
      <c r="NRS73" s="557"/>
      <c r="NRT73" s="557"/>
      <c r="NRU73" s="557"/>
      <c r="NRV73" s="557"/>
      <c r="NRW73" s="557"/>
      <c r="NRX73" s="557"/>
      <c r="NRY73" s="557"/>
      <c r="NRZ73" s="557"/>
      <c r="NSA73" s="661"/>
      <c r="NSB73" s="556"/>
      <c r="NSC73" s="557"/>
      <c r="NSD73" s="557"/>
      <c r="NSE73" s="557"/>
      <c r="NSF73" s="557"/>
      <c r="NSG73" s="557"/>
      <c r="NSH73" s="557"/>
      <c r="NSI73" s="557"/>
      <c r="NSJ73" s="557"/>
      <c r="NSK73" s="557"/>
      <c r="NSL73" s="557"/>
      <c r="NSM73" s="557"/>
      <c r="NSN73" s="557"/>
      <c r="NSO73" s="557"/>
      <c r="NSP73" s="557"/>
      <c r="NSQ73" s="557"/>
      <c r="NSR73" s="557"/>
      <c r="NSS73" s="557"/>
      <c r="NST73" s="557"/>
      <c r="NSU73" s="661"/>
      <c r="NSV73" s="556"/>
      <c r="NSW73" s="557"/>
      <c r="NSX73" s="557"/>
      <c r="NSY73" s="557"/>
      <c r="NSZ73" s="557"/>
      <c r="NTA73" s="557"/>
      <c r="NTB73" s="557"/>
      <c r="NTC73" s="557"/>
      <c r="NTD73" s="557"/>
      <c r="NTE73" s="557"/>
      <c r="NTF73" s="557"/>
      <c r="NTG73" s="557"/>
      <c r="NTH73" s="557"/>
      <c r="NTI73" s="557"/>
      <c r="NTJ73" s="557"/>
      <c r="NTK73" s="557"/>
      <c r="NTL73" s="557"/>
      <c r="NTM73" s="557"/>
      <c r="NTN73" s="557"/>
      <c r="NTO73" s="661"/>
      <c r="NTP73" s="556"/>
      <c r="NTQ73" s="557"/>
      <c r="NTR73" s="557"/>
      <c r="NTS73" s="557"/>
      <c r="NTT73" s="557"/>
      <c r="NTU73" s="557"/>
      <c r="NTV73" s="557"/>
      <c r="NTW73" s="557"/>
      <c r="NTX73" s="557"/>
      <c r="NTY73" s="557"/>
      <c r="NTZ73" s="557"/>
      <c r="NUA73" s="557"/>
      <c r="NUB73" s="557"/>
      <c r="NUC73" s="557"/>
      <c r="NUD73" s="557"/>
      <c r="NUE73" s="557"/>
      <c r="NUF73" s="557"/>
      <c r="NUG73" s="557"/>
      <c r="NUH73" s="557"/>
      <c r="NUI73" s="661"/>
      <c r="NUJ73" s="556"/>
      <c r="NUK73" s="557"/>
      <c r="NUL73" s="557"/>
      <c r="NUM73" s="557"/>
      <c r="NUN73" s="557"/>
      <c r="NUO73" s="557"/>
      <c r="NUP73" s="557"/>
      <c r="NUQ73" s="557"/>
      <c r="NUR73" s="557"/>
      <c r="NUS73" s="557"/>
      <c r="NUT73" s="557"/>
      <c r="NUU73" s="557"/>
      <c r="NUV73" s="557"/>
      <c r="NUW73" s="557"/>
      <c r="NUX73" s="557"/>
      <c r="NUY73" s="557"/>
      <c r="NUZ73" s="557"/>
      <c r="NVA73" s="557"/>
      <c r="NVB73" s="557"/>
      <c r="NVC73" s="661"/>
      <c r="NVD73" s="556"/>
      <c r="NVE73" s="557"/>
      <c r="NVF73" s="557"/>
      <c r="NVG73" s="557"/>
      <c r="NVH73" s="557"/>
      <c r="NVI73" s="557"/>
      <c r="NVJ73" s="557"/>
      <c r="NVK73" s="557"/>
      <c r="NVL73" s="557"/>
      <c r="NVM73" s="557"/>
      <c r="NVN73" s="557"/>
      <c r="NVO73" s="557"/>
      <c r="NVP73" s="557"/>
      <c r="NVQ73" s="557"/>
      <c r="NVR73" s="557"/>
      <c r="NVS73" s="557"/>
      <c r="NVT73" s="557"/>
      <c r="NVU73" s="557"/>
      <c r="NVV73" s="557"/>
      <c r="NVW73" s="661"/>
      <c r="NVX73" s="556"/>
      <c r="NVY73" s="557"/>
      <c r="NVZ73" s="557"/>
      <c r="NWA73" s="557"/>
      <c r="NWB73" s="557"/>
      <c r="NWC73" s="557"/>
      <c r="NWD73" s="557"/>
      <c r="NWE73" s="557"/>
      <c r="NWF73" s="557"/>
      <c r="NWG73" s="557"/>
      <c r="NWH73" s="557"/>
      <c r="NWI73" s="557"/>
      <c r="NWJ73" s="557"/>
      <c r="NWK73" s="557"/>
      <c r="NWL73" s="557"/>
      <c r="NWM73" s="557"/>
      <c r="NWN73" s="557"/>
      <c r="NWO73" s="557"/>
      <c r="NWP73" s="557"/>
      <c r="NWQ73" s="661"/>
      <c r="NWR73" s="556"/>
      <c r="NWS73" s="557"/>
      <c r="NWT73" s="557"/>
      <c r="NWU73" s="557"/>
      <c r="NWV73" s="557"/>
      <c r="NWW73" s="557"/>
      <c r="NWX73" s="557"/>
      <c r="NWY73" s="557"/>
      <c r="NWZ73" s="557"/>
      <c r="NXA73" s="557"/>
      <c r="NXB73" s="557"/>
      <c r="NXC73" s="557"/>
      <c r="NXD73" s="557"/>
      <c r="NXE73" s="557"/>
      <c r="NXF73" s="557"/>
      <c r="NXG73" s="557"/>
      <c r="NXH73" s="557"/>
      <c r="NXI73" s="557"/>
      <c r="NXJ73" s="557"/>
      <c r="NXK73" s="661"/>
      <c r="NXL73" s="556"/>
      <c r="NXM73" s="557"/>
      <c r="NXN73" s="557"/>
      <c r="NXO73" s="557"/>
      <c r="NXP73" s="557"/>
      <c r="NXQ73" s="557"/>
      <c r="NXR73" s="557"/>
      <c r="NXS73" s="557"/>
      <c r="NXT73" s="557"/>
      <c r="NXU73" s="557"/>
      <c r="NXV73" s="557"/>
      <c r="NXW73" s="557"/>
      <c r="NXX73" s="557"/>
      <c r="NXY73" s="557"/>
      <c r="NXZ73" s="557"/>
      <c r="NYA73" s="557"/>
      <c r="NYB73" s="557"/>
      <c r="NYC73" s="557"/>
      <c r="NYD73" s="557"/>
      <c r="NYE73" s="661"/>
      <c r="NYF73" s="556"/>
      <c r="NYG73" s="557"/>
      <c r="NYH73" s="557"/>
      <c r="NYI73" s="557"/>
      <c r="NYJ73" s="557"/>
      <c r="NYK73" s="557"/>
      <c r="NYL73" s="557"/>
      <c r="NYM73" s="557"/>
      <c r="NYN73" s="557"/>
      <c r="NYO73" s="557"/>
      <c r="NYP73" s="557"/>
      <c r="NYQ73" s="557"/>
      <c r="NYR73" s="557"/>
      <c r="NYS73" s="557"/>
      <c r="NYT73" s="557"/>
      <c r="NYU73" s="557"/>
      <c r="NYV73" s="557"/>
      <c r="NYW73" s="557"/>
      <c r="NYX73" s="557"/>
      <c r="NYY73" s="661"/>
      <c r="NYZ73" s="556"/>
      <c r="NZA73" s="557"/>
      <c r="NZB73" s="557"/>
      <c r="NZC73" s="557"/>
      <c r="NZD73" s="557"/>
      <c r="NZE73" s="557"/>
      <c r="NZF73" s="557"/>
      <c r="NZG73" s="557"/>
      <c r="NZH73" s="557"/>
      <c r="NZI73" s="557"/>
      <c r="NZJ73" s="557"/>
      <c r="NZK73" s="557"/>
      <c r="NZL73" s="557"/>
      <c r="NZM73" s="557"/>
      <c r="NZN73" s="557"/>
      <c r="NZO73" s="557"/>
      <c r="NZP73" s="557"/>
      <c r="NZQ73" s="557"/>
      <c r="NZR73" s="557"/>
      <c r="NZS73" s="661"/>
      <c r="NZT73" s="556"/>
      <c r="NZU73" s="557"/>
      <c r="NZV73" s="557"/>
      <c r="NZW73" s="557"/>
      <c r="NZX73" s="557"/>
      <c r="NZY73" s="557"/>
      <c r="NZZ73" s="557"/>
      <c r="OAA73" s="557"/>
      <c r="OAB73" s="557"/>
      <c r="OAC73" s="557"/>
      <c r="OAD73" s="557"/>
      <c r="OAE73" s="557"/>
      <c r="OAF73" s="557"/>
      <c r="OAG73" s="557"/>
      <c r="OAH73" s="557"/>
      <c r="OAI73" s="557"/>
      <c r="OAJ73" s="557"/>
      <c r="OAK73" s="557"/>
      <c r="OAL73" s="557"/>
      <c r="OAM73" s="661"/>
      <c r="OAN73" s="556"/>
      <c r="OAO73" s="557"/>
      <c r="OAP73" s="557"/>
      <c r="OAQ73" s="557"/>
      <c r="OAR73" s="557"/>
      <c r="OAS73" s="557"/>
      <c r="OAT73" s="557"/>
      <c r="OAU73" s="557"/>
      <c r="OAV73" s="557"/>
      <c r="OAW73" s="557"/>
      <c r="OAX73" s="557"/>
      <c r="OAY73" s="557"/>
      <c r="OAZ73" s="557"/>
      <c r="OBA73" s="557"/>
      <c r="OBB73" s="557"/>
      <c r="OBC73" s="557"/>
      <c r="OBD73" s="557"/>
      <c r="OBE73" s="557"/>
      <c r="OBF73" s="557"/>
      <c r="OBG73" s="661"/>
      <c r="OBH73" s="556"/>
      <c r="OBI73" s="557"/>
      <c r="OBJ73" s="557"/>
      <c r="OBK73" s="557"/>
      <c r="OBL73" s="557"/>
      <c r="OBM73" s="557"/>
      <c r="OBN73" s="557"/>
      <c r="OBO73" s="557"/>
      <c r="OBP73" s="557"/>
      <c r="OBQ73" s="557"/>
      <c r="OBR73" s="557"/>
      <c r="OBS73" s="557"/>
      <c r="OBT73" s="557"/>
      <c r="OBU73" s="557"/>
      <c r="OBV73" s="557"/>
      <c r="OBW73" s="557"/>
      <c r="OBX73" s="557"/>
      <c r="OBY73" s="557"/>
      <c r="OBZ73" s="557"/>
      <c r="OCA73" s="661"/>
      <c r="OCB73" s="556"/>
      <c r="OCC73" s="557"/>
      <c r="OCD73" s="557"/>
      <c r="OCE73" s="557"/>
      <c r="OCF73" s="557"/>
      <c r="OCG73" s="557"/>
      <c r="OCH73" s="557"/>
      <c r="OCI73" s="557"/>
      <c r="OCJ73" s="557"/>
      <c r="OCK73" s="557"/>
      <c r="OCL73" s="557"/>
      <c r="OCM73" s="557"/>
      <c r="OCN73" s="557"/>
      <c r="OCO73" s="557"/>
      <c r="OCP73" s="557"/>
      <c r="OCQ73" s="557"/>
      <c r="OCR73" s="557"/>
      <c r="OCS73" s="557"/>
      <c r="OCT73" s="557"/>
      <c r="OCU73" s="661"/>
      <c r="OCV73" s="556"/>
      <c r="OCW73" s="557"/>
      <c r="OCX73" s="557"/>
      <c r="OCY73" s="557"/>
      <c r="OCZ73" s="557"/>
      <c r="ODA73" s="557"/>
      <c r="ODB73" s="557"/>
      <c r="ODC73" s="557"/>
      <c r="ODD73" s="557"/>
      <c r="ODE73" s="557"/>
      <c r="ODF73" s="557"/>
      <c r="ODG73" s="557"/>
      <c r="ODH73" s="557"/>
      <c r="ODI73" s="557"/>
      <c r="ODJ73" s="557"/>
      <c r="ODK73" s="557"/>
      <c r="ODL73" s="557"/>
      <c r="ODM73" s="557"/>
      <c r="ODN73" s="557"/>
      <c r="ODO73" s="661"/>
      <c r="ODP73" s="556"/>
      <c r="ODQ73" s="557"/>
      <c r="ODR73" s="557"/>
      <c r="ODS73" s="557"/>
      <c r="ODT73" s="557"/>
      <c r="ODU73" s="557"/>
      <c r="ODV73" s="557"/>
      <c r="ODW73" s="557"/>
      <c r="ODX73" s="557"/>
      <c r="ODY73" s="557"/>
      <c r="ODZ73" s="557"/>
      <c r="OEA73" s="557"/>
      <c r="OEB73" s="557"/>
      <c r="OEC73" s="557"/>
      <c r="OED73" s="557"/>
      <c r="OEE73" s="557"/>
      <c r="OEF73" s="557"/>
      <c r="OEG73" s="557"/>
      <c r="OEH73" s="557"/>
      <c r="OEI73" s="661"/>
      <c r="OEJ73" s="556"/>
      <c r="OEK73" s="557"/>
      <c r="OEL73" s="557"/>
      <c r="OEM73" s="557"/>
      <c r="OEN73" s="557"/>
      <c r="OEO73" s="557"/>
      <c r="OEP73" s="557"/>
      <c r="OEQ73" s="557"/>
      <c r="OER73" s="557"/>
      <c r="OES73" s="557"/>
      <c r="OET73" s="557"/>
      <c r="OEU73" s="557"/>
      <c r="OEV73" s="557"/>
      <c r="OEW73" s="557"/>
      <c r="OEX73" s="557"/>
      <c r="OEY73" s="557"/>
      <c r="OEZ73" s="557"/>
      <c r="OFA73" s="557"/>
      <c r="OFB73" s="557"/>
      <c r="OFC73" s="661"/>
      <c r="OFD73" s="556"/>
      <c r="OFE73" s="557"/>
      <c r="OFF73" s="557"/>
      <c r="OFG73" s="557"/>
      <c r="OFH73" s="557"/>
      <c r="OFI73" s="557"/>
      <c r="OFJ73" s="557"/>
      <c r="OFK73" s="557"/>
      <c r="OFL73" s="557"/>
      <c r="OFM73" s="557"/>
      <c r="OFN73" s="557"/>
      <c r="OFO73" s="557"/>
      <c r="OFP73" s="557"/>
      <c r="OFQ73" s="557"/>
      <c r="OFR73" s="557"/>
      <c r="OFS73" s="557"/>
      <c r="OFT73" s="557"/>
      <c r="OFU73" s="557"/>
      <c r="OFV73" s="557"/>
      <c r="OFW73" s="661"/>
      <c r="OFX73" s="556"/>
      <c r="OFY73" s="557"/>
      <c r="OFZ73" s="557"/>
      <c r="OGA73" s="557"/>
      <c r="OGB73" s="557"/>
      <c r="OGC73" s="557"/>
      <c r="OGD73" s="557"/>
      <c r="OGE73" s="557"/>
      <c r="OGF73" s="557"/>
      <c r="OGG73" s="557"/>
      <c r="OGH73" s="557"/>
      <c r="OGI73" s="557"/>
      <c r="OGJ73" s="557"/>
      <c r="OGK73" s="557"/>
      <c r="OGL73" s="557"/>
      <c r="OGM73" s="557"/>
      <c r="OGN73" s="557"/>
      <c r="OGO73" s="557"/>
      <c r="OGP73" s="557"/>
      <c r="OGQ73" s="661"/>
      <c r="OGR73" s="556"/>
      <c r="OGS73" s="557"/>
      <c r="OGT73" s="557"/>
      <c r="OGU73" s="557"/>
      <c r="OGV73" s="557"/>
      <c r="OGW73" s="557"/>
      <c r="OGX73" s="557"/>
      <c r="OGY73" s="557"/>
      <c r="OGZ73" s="557"/>
      <c r="OHA73" s="557"/>
      <c r="OHB73" s="557"/>
      <c r="OHC73" s="557"/>
      <c r="OHD73" s="557"/>
      <c r="OHE73" s="557"/>
      <c r="OHF73" s="557"/>
      <c r="OHG73" s="557"/>
      <c r="OHH73" s="557"/>
      <c r="OHI73" s="557"/>
      <c r="OHJ73" s="557"/>
      <c r="OHK73" s="661"/>
      <c r="OHL73" s="556"/>
      <c r="OHM73" s="557"/>
      <c r="OHN73" s="557"/>
      <c r="OHO73" s="557"/>
      <c r="OHP73" s="557"/>
      <c r="OHQ73" s="557"/>
      <c r="OHR73" s="557"/>
      <c r="OHS73" s="557"/>
      <c r="OHT73" s="557"/>
      <c r="OHU73" s="557"/>
      <c r="OHV73" s="557"/>
      <c r="OHW73" s="557"/>
      <c r="OHX73" s="557"/>
      <c r="OHY73" s="557"/>
      <c r="OHZ73" s="557"/>
      <c r="OIA73" s="557"/>
      <c r="OIB73" s="557"/>
      <c r="OIC73" s="557"/>
      <c r="OID73" s="557"/>
      <c r="OIE73" s="661"/>
      <c r="OIF73" s="556"/>
      <c r="OIG73" s="557"/>
      <c r="OIH73" s="557"/>
      <c r="OII73" s="557"/>
      <c r="OIJ73" s="557"/>
      <c r="OIK73" s="557"/>
      <c r="OIL73" s="557"/>
      <c r="OIM73" s="557"/>
      <c r="OIN73" s="557"/>
      <c r="OIO73" s="557"/>
      <c r="OIP73" s="557"/>
      <c r="OIQ73" s="557"/>
      <c r="OIR73" s="557"/>
      <c r="OIS73" s="557"/>
      <c r="OIT73" s="557"/>
      <c r="OIU73" s="557"/>
      <c r="OIV73" s="557"/>
      <c r="OIW73" s="557"/>
      <c r="OIX73" s="557"/>
      <c r="OIY73" s="661"/>
      <c r="OIZ73" s="556"/>
      <c r="OJA73" s="557"/>
      <c r="OJB73" s="557"/>
      <c r="OJC73" s="557"/>
      <c r="OJD73" s="557"/>
      <c r="OJE73" s="557"/>
      <c r="OJF73" s="557"/>
      <c r="OJG73" s="557"/>
      <c r="OJH73" s="557"/>
      <c r="OJI73" s="557"/>
      <c r="OJJ73" s="557"/>
      <c r="OJK73" s="557"/>
      <c r="OJL73" s="557"/>
      <c r="OJM73" s="557"/>
      <c r="OJN73" s="557"/>
      <c r="OJO73" s="557"/>
      <c r="OJP73" s="557"/>
      <c r="OJQ73" s="557"/>
      <c r="OJR73" s="557"/>
      <c r="OJS73" s="661"/>
      <c r="OJT73" s="556"/>
      <c r="OJU73" s="557"/>
      <c r="OJV73" s="557"/>
      <c r="OJW73" s="557"/>
      <c r="OJX73" s="557"/>
      <c r="OJY73" s="557"/>
      <c r="OJZ73" s="557"/>
      <c r="OKA73" s="557"/>
      <c r="OKB73" s="557"/>
      <c r="OKC73" s="557"/>
      <c r="OKD73" s="557"/>
      <c r="OKE73" s="557"/>
      <c r="OKF73" s="557"/>
      <c r="OKG73" s="557"/>
      <c r="OKH73" s="557"/>
      <c r="OKI73" s="557"/>
      <c r="OKJ73" s="557"/>
      <c r="OKK73" s="557"/>
      <c r="OKL73" s="557"/>
      <c r="OKM73" s="661"/>
      <c r="OKN73" s="556"/>
      <c r="OKO73" s="557"/>
      <c r="OKP73" s="557"/>
      <c r="OKQ73" s="557"/>
      <c r="OKR73" s="557"/>
      <c r="OKS73" s="557"/>
      <c r="OKT73" s="557"/>
      <c r="OKU73" s="557"/>
      <c r="OKV73" s="557"/>
      <c r="OKW73" s="557"/>
      <c r="OKX73" s="557"/>
      <c r="OKY73" s="557"/>
      <c r="OKZ73" s="557"/>
      <c r="OLA73" s="557"/>
      <c r="OLB73" s="557"/>
      <c r="OLC73" s="557"/>
      <c r="OLD73" s="557"/>
      <c r="OLE73" s="557"/>
      <c r="OLF73" s="557"/>
      <c r="OLG73" s="661"/>
      <c r="OLH73" s="556"/>
      <c r="OLI73" s="557"/>
      <c r="OLJ73" s="557"/>
      <c r="OLK73" s="557"/>
      <c r="OLL73" s="557"/>
      <c r="OLM73" s="557"/>
      <c r="OLN73" s="557"/>
      <c r="OLO73" s="557"/>
      <c r="OLP73" s="557"/>
      <c r="OLQ73" s="557"/>
      <c r="OLR73" s="557"/>
      <c r="OLS73" s="557"/>
      <c r="OLT73" s="557"/>
      <c r="OLU73" s="557"/>
      <c r="OLV73" s="557"/>
      <c r="OLW73" s="557"/>
      <c r="OLX73" s="557"/>
      <c r="OLY73" s="557"/>
      <c r="OLZ73" s="557"/>
      <c r="OMA73" s="661"/>
      <c r="OMB73" s="556"/>
      <c r="OMC73" s="557"/>
      <c r="OMD73" s="557"/>
      <c r="OME73" s="557"/>
      <c r="OMF73" s="557"/>
      <c r="OMG73" s="557"/>
      <c r="OMH73" s="557"/>
      <c r="OMI73" s="557"/>
      <c r="OMJ73" s="557"/>
      <c r="OMK73" s="557"/>
      <c r="OML73" s="557"/>
      <c r="OMM73" s="557"/>
      <c r="OMN73" s="557"/>
      <c r="OMO73" s="557"/>
      <c r="OMP73" s="557"/>
      <c r="OMQ73" s="557"/>
      <c r="OMR73" s="557"/>
      <c r="OMS73" s="557"/>
      <c r="OMT73" s="557"/>
      <c r="OMU73" s="661"/>
      <c r="OMV73" s="556"/>
      <c r="OMW73" s="557"/>
      <c r="OMX73" s="557"/>
      <c r="OMY73" s="557"/>
      <c r="OMZ73" s="557"/>
      <c r="ONA73" s="557"/>
      <c r="ONB73" s="557"/>
      <c r="ONC73" s="557"/>
      <c r="OND73" s="557"/>
      <c r="ONE73" s="557"/>
      <c r="ONF73" s="557"/>
      <c r="ONG73" s="557"/>
      <c r="ONH73" s="557"/>
      <c r="ONI73" s="557"/>
      <c r="ONJ73" s="557"/>
      <c r="ONK73" s="557"/>
      <c r="ONL73" s="557"/>
      <c r="ONM73" s="557"/>
      <c r="ONN73" s="557"/>
      <c r="ONO73" s="661"/>
      <c r="ONP73" s="556"/>
      <c r="ONQ73" s="557"/>
      <c r="ONR73" s="557"/>
      <c r="ONS73" s="557"/>
      <c r="ONT73" s="557"/>
      <c r="ONU73" s="557"/>
      <c r="ONV73" s="557"/>
      <c r="ONW73" s="557"/>
      <c r="ONX73" s="557"/>
      <c r="ONY73" s="557"/>
      <c r="ONZ73" s="557"/>
      <c r="OOA73" s="557"/>
      <c r="OOB73" s="557"/>
      <c r="OOC73" s="557"/>
      <c r="OOD73" s="557"/>
      <c r="OOE73" s="557"/>
      <c r="OOF73" s="557"/>
      <c r="OOG73" s="557"/>
      <c r="OOH73" s="557"/>
      <c r="OOI73" s="661"/>
      <c r="OOJ73" s="556"/>
      <c r="OOK73" s="557"/>
      <c r="OOL73" s="557"/>
      <c r="OOM73" s="557"/>
      <c r="OON73" s="557"/>
      <c r="OOO73" s="557"/>
      <c r="OOP73" s="557"/>
      <c r="OOQ73" s="557"/>
      <c r="OOR73" s="557"/>
      <c r="OOS73" s="557"/>
      <c r="OOT73" s="557"/>
      <c r="OOU73" s="557"/>
      <c r="OOV73" s="557"/>
      <c r="OOW73" s="557"/>
      <c r="OOX73" s="557"/>
      <c r="OOY73" s="557"/>
      <c r="OOZ73" s="557"/>
      <c r="OPA73" s="557"/>
      <c r="OPB73" s="557"/>
      <c r="OPC73" s="661"/>
      <c r="OPD73" s="556"/>
      <c r="OPE73" s="557"/>
      <c r="OPF73" s="557"/>
      <c r="OPG73" s="557"/>
      <c r="OPH73" s="557"/>
      <c r="OPI73" s="557"/>
      <c r="OPJ73" s="557"/>
      <c r="OPK73" s="557"/>
      <c r="OPL73" s="557"/>
      <c r="OPM73" s="557"/>
      <c r="OPN73" s="557"/>
      <c r="OPO73" s="557"/>
      <c r="OPP73" s="557"/>
      <c r="OPQ73" s="557"/>
      <c r="OPR73" s="557"/>
      <c r="OPS73" s="557"/>
      <c r="OPT73" s="557"/>
      <c r="OPU73" s="557"/>
      <c r="OPV73" s="557"/>
      <c r="OPW73" s="661"/>
      <c r="OPX73" s="556"/>
      <c r="OPY73" s="557"/>
      <c r="OPZ73" s="557"/>
      <c r="OQA73" s="557"/>
      <c r="OQB73" s="557"/>
      <c r="OQC73" s="557"/>
      <c r="OQD73" s="557"/>
      <c r="OQE73" s="557"/>
      <c r="OQF73" s="557"/>
      <c r="OQG73" s="557"/>
      <c r="OQH73" s="557"/>
      <c r="OQI73" s="557"/>
      <c r="OQJ73" s="557"/>
      <c r="OQK73" s="557"/>
      <c r="OQL73" s="557"/>
      <c r="OQM73" s="557"/>
      <c r="OQN73" s="557"/>
      <c r="OQO73" s="557"/>
      <c r="OQP73" s="557"/>
      <c r="OQQ73" s="661"/>
      <c r="OQR73" s="556"/>
      <c r="OQS73" s="557"/>
      <c r="OQT73" s="557"/>
      <c r="OQU73" s="557"/>
      <c r="OQV73" s="557"/>
      <c r="OQW73" s="557"/>
      <c r="OQX73" s="557"/>
      <c r="OQY73" s="557"/>
      <c r="OQZ73" s="557"/>
      <c r="ORA73" s="557"/>
      <c r="ORB73" s="557"/>
      <c r="ORC73" s="557"/>
      <c r="ORD73" s="557"/>
      <c r="ORE73" s="557"/>
      <c r="ORF73" s="557"/>
      <c r="ORG73" s="557"/>
      <c r="ORH73" s="557"/>
      <c r="ORI73" s="557"/>
      <c r="ORJ73" s="557"/>
      <c r="ORK73" s="661"/>
      <c r="ORL73" s="556"/>
      <c r="ORM73" s="557"/>
      <c r="ORN73" s="557"/>
      <c r="ORO73" s="557"/>
      <c r="ORP73" s="557"/>
      <c r="ORQ73" s="557"/>
      <c r="ORR73" s="557"/>
      <c r="ORS73" s="557"/>
      <c r="ORT73" s="557"/>
      <c r="ORU73" s="557"/>
      <c r="ORV73" s="557"/>
      <c r="ORW73" s="557"/>
      <c r="ORX73" s="557"/>
      <c r="ORY73" s="557"/>
      <c r="ORZ73" s="557"/>
      <c r="OSA73" s="557"/>
      <c r="OSB73" s="557"/>
      <c r="OSC73" s="557"/>
      <c r="OSD73" s="557"/>
      <c r="OSE73" s="661"/>
      <c r="OSF73" s="556"/>
      <c r="OSG73" s="557"/>
      <c r="OSH73" s="557"/>
      <c r="OSI73" s="557"/>
      <c r="OSJ73" s="557"/>
      <c r="OSK73" s="557"/>
      <c r="OSL73" s="557"/>
      <c r="OSM73" s="557"/>
      <c r="OSN73" s="557"/>
      <c r="OSO73" s="557"/>
      <c r="OSP73" s="557"/>
      <c r="OSQ73" s="557"/>
      <c r="OSR73" s="557"/>
      <c r="OSS73" s="557"/>
      <c r="OST73" s="557"/>
      <c r="OSU73" s="557"/>
      <c r="OSV73" s="557"/>
      <c r="OSW73" s="557"/>
      <c r="OSX73" s="557"/>
      <c r="OSY73" s="661"/>
      <c r="OSZ73" s="556"/>
      <c r="OTA73" s="557"/>
      <c r="OTB73" s="557"/>
      <c r="OTC73" s="557"/>
      <c r="OTD73" s="557"/>
      <c r="OTE73" s="557"/>
      <c r="OTF73" s="557"/>
      <c r="OTG73" s="557"/>
      <c r="OTH73" s="557"/>
      <c r="OTI73" s="557"/>
      <c r="OTJ73" s="557"/>
      <c r="OTK73" s="557"/>
      <c r="OTL73" s="557"/>
      <c r="OTM73" s="557"/>
      <c r="OTN73" s="557"/>
      <c r="OTO73" s="557"/>
      <c r="OTP73" s="557"/>
      <c r="OTQ73" s="557"/>
      <c r="OTR73" s="557"/>
      <c r="OTS73" s="661"/>
      <c r="OTT73" s="556"/>
      <c r="OTU73" s="557"/>
      <c r="OTV73" s="557"/>
      <c r="OTW73" s="557"/>
      <c r="OTX73" s="557"/>
      <c r="OTY73" s="557"/>
      <c r="OTZ73" s="557"/>
      <c r="OUA73" s="557"/>
      <c r="OUB73" s="557"/>
      <c r="OUC73" s="557"/>
      <c r="OUD73" s="557"/>
      <c r="OUE73" s="557"/>
      <c r="OUF73" s="557"/>
      <c r="OUG73" s="557"/>
      <c r="OUH73" s="557"/>
      <c r="OUI73" s="557"/>
      <c r="OUJ73" s="557"/>
      <c r="OUK73" s="557"/>
      <c r="OUL73" s="557"/>
      <c r="OUM73" s="661"/>
      <c r="OUN73" s="556"/>
      <c r="OUO73" s="557"/>
      <c r="OUP73" s="557"/>
      <c r="OUQ73" s="557"/>
      <c r="OUR73" s="557"/>
      <c r="OUS73" s="557"/>
      <c r="OUT73" s="557"/>
      <c r="OUU73" s="557"/>
      <c r="OUV73" s="557"/>
      <c r="OUW73" s="557"/>
      <c r="OUX73" s="557"/>
      <c r="OUY73" s="557"/>
      <c r="OUZ73" s="557"/>
      <c r="OVA73" s="557"/>
      <c r="OVB73" s="557"/>
      <c r="OVC73" s="557"/>
      <c r="OVD73" s="557"/>
      <c r="OVE73" s="557"/>
      <c r="OVF73" s="557"/>
      <c r="OVG73" s="661"/>
      <c r="OVH73" s="556"/>
      <c r="OVI73" s="557"/>
      <c r="OVJ73" s="557"/>
      <c r="OVK73" s="557"/>
      <c r="OVL73" s="557"/>
      <c r="OVM73" s="557"/>
      <c r="OVN73" s="557"/>
      <c r="OVO73" s="557"/>
      <c r="OVP73" s="557"/>
      <c r="OVQ73" s="557"/>
      <c r="OVR73" s="557"/>
      <c r="OVS73" s="557"/>
      <c r="OVT73" s="557"/>
      <c r="OVU73" s="557"/>
      <c r="OVV73" s="557"/>
      <c r="OVW73" s="557"/>
      <c r="OVX73" s="557"/>
      <c r="OVY73" s="557"/>
      <c r="OVZ73" s="557"/>
      <c r="OWA73" s="661"/>
      <c r="OWB73" s="556"/>
      <c r="OWC73" s="557"/>
      <c r="OWD73" s="557"/>
      <c r="OWE73" s="557"/>
      <c r="OWF73" s="557"/>
      <c r="OWG73" s="557"/>
      <c r="OWH73" s="557"/>
      <c r="OWI73" s="557"/>
      <c r="OWJ73" s="557"/>
      <c r="OWK73" s="557"/>
      <c r="OWL73" s="557"/>
      <c r="OWM73" s="557"/>
      <c r="OWN73" s="557"/>
      <c r="OWO73" s="557"/>
      <c r="OWP73" s="557"/>
      <c r="OWQ73" s="557"/>
      <c r="OWR73" s="557"/>
      <c r="OWS73" s="557"/>
      <c r="OWT73" s="557"/>
      <c r="OWU73" s="661"/>
      <c r="OWV73" s="556"/>
      <c r="OWW73" s="557"/>
      <c r="OWX73" s="557"/>
      <c r="OWY73" s="557"/>
      <c r="OWZ73" s="557"/>
      <c r="OXA73" s="557"/>
      <c r="OXB73" s="557"/>
      <c r="OXC73" s="557"/>
      <c r="OXD73" s="557"/>
      <c r="OXE73" s="557"/>
      <c r="OXF73" s="557"/>
      <c r="OXG73" s="557"/>
      <c r="OXH73" s="557"/>
      <c r="OXI73" s="557"/>
      <c r="OXJ73" s="557"/>
      <c r="OXK73" s="557"/>
      <c r="OXL73" s="557"/>
      <c r="OXM73" s="557"/>
      <c r="OXN73" s="557"/>
      <c r="OXO73" s="661"/>
      <c r="OXP73" s="556"/>
      <c r="OXQ73" s="557"/>
      <c r="OXR73" s="557"/>
      <c r="OXS73" s="557"/>
      <c r="OXT73" s="557"/>
      <c r="OXU73" s="557"/>
      <c r="OXV73" s="557"/>
      <c r="OXW73" s="557"/>
      <c r="OXX73" s="557"/>
      <c r="OXY73" s="557"/>
      <c r="OXZ73" s="557"/>
      <c r="OYA73" s="557"/>
      <c r="OYB73" s="557"/>
      <c r="OYC73" s="557"/>
      <c r="OYD73" s="557"/>
      <c r="OYE73" s="557"/>
      <c r="OYF73" s="557"/>
      <c r="OYG73" s="557"/>
      <c r="OYH73" s="557"/>
      <c r="OYI73" s="661"/>
      <c r="OYJ73" s="556"/>
      <c r="OYK73" s="557"/>
      <c r="OYL73" s="557"/>
      <c r="OYM73" s="557"/>
      <c r="OYN73" s="557"/>
      <c r="OYO73" s="557"/>
      <c r="OYP73" s="557"/>
      <c r="OYQ73" s="557"/>
      <c r="OYR73" s="557"/>
      <c r="OYS73" s="557"/>
      <c r="OYT73" s="557"/>
      <c r="OYU73" s="557"/>
      <c r="OYV73" s="557"/>
      <c r="OYW73" s="557"/>
      <c r="OYX73" s="557"/>
      <c r="OYY73" s="557"/>
      <c r="OYZ73" s="557"/>
      <c r="OZA73" s="557"/>
      <c r="OZB73" s="557"/>
      <c r="OZC73" s="661"/>
      <c r="OZD73" s="556"/>
      <c r="OZE73" s="557"/>
      <c r="OZF73" s="557"/>
      <c r="OZG73" s="557"/>
      <c r="OZH73" s="557"/>
      <c r="OZI73" s="557"/>
      <c r="OZJ73" s="557"/>
      <c r="OZK73" s="557"/>
      <c r="OZL73" s="557"/>
      <c r="OZM73" s="557"/>
      <c r="OZN73" s="557"/>
      <c r="OZO73" s="557"/>
      <c r="OZP73" s="557"/>
      <c r="OZQ73" s="557"/>
      <c r="OZR73" s="557"/>
      <c r="OZS73" s="557"/>
      <c r="OZT73" s="557"/>
      <c r="OZU73" s="557"/>
      <c r="OZV73" s="557"/>
      <c r="OZW73" s="661"/>
      <c r="OZX73" s="556"/>
      <c r="OZY73" s="557"/>
      <c r="OZZ73" s="557"/>
      <c r="PAA73" s="557"/>
      <c r="PAB73" s="557"/>
      <c r="PAC73" s="557"/>
      <c r="PAD73" s="557"/>
      <c r="PAE73" s="557"/>
      <c r="PAF73" s="557"/>
      <c r="PAG73" s="557"/>
      <c r="PAH73" s="557"/>
      <c r="PAI73" s="557"/>
      <c r="PAJ73" s="557"/>
      <c r="PAK73" s="557"/>
      <c r="PAL73" s="557"/>
      <c r="PAM73" s="557"/>
      <c r="PAN73" s="557"/>
      <c r="PAO73" s="557"/>
      <c r="PAP73" s="557"/>
      <c r="PAQ73" s="661"/>
      <c r="PAR73" s="556"/>
      <c r="PAS73" s="557"/>
      <c r="PAT73" s="557"/>
      <c r="PAU73" s="557"/>
      <c r="PAV73" s="557"/>
      <c r="PAW73" s="557"/>
      <c r="PAX73" s="557"/>
      <c r="PAY73" s="557"/>
      <c r="PAZ73" s="557"/>
      <c r="PBA73" s="557"/>
      <c r="PBB73" s="557"/>
      <c r="PBC73" s="557"/>
      <c r="PBD73" s="557"/>
      <c r="PBE73" s="557"/>
      <c r="PBF73" s="557"/>
      <c r="PBG73" s="557"/>
      <c r="PBH73" s="557"/>
      <c r="PBI73" s="557"/>
      <c r="PBJ73" s="557"/>
      <c r="PBK73" s="661"/>
      <c r="PBL73" s="556"/>
      <c r="PBM73" s="557"/>
      <c r="PBN73" s="557"/>
      <c r="PBO73" s="557"/>
      <c r="PBP73" s="557"/>
      <c r="PBQ73" s="557"/>
      <c r="PBR73" s="557"/>
      <c r="PBS73" s="557"/>
      <c r="PBT73" s="557"/>
      <c r="PBU73" s="557"/>
      <c r="PBV73" s="557"/>
      <c r="PBW73" s="557"/>
      <c r="PBX73" s="557"/>
      <c r="PBY73" s="557"/>
      <c r="PBZ73" s="557"/>
      <c r="PCA73" s="557"/>
      <c r="PCB73" s="557"/>
      <c r="PCC73" s="557"/>
      <c r="PCD73" s="557"/>
      <c r="PCE73" s="661"/>
      <c r="PCF73" s="556"/>
      <c r="PCG73" s="557"/>
      <c r="PCH73" s="557"/>
      <c r="PCI73" s="557"/>
      <c r="PCJ73" s="557"/>
      <c r="PCK73" s="557"/>
      <c r="PCL73" s="557"/>
      <c r="PCM73" s="557"/>
      <c r="PCN73" s="557"/>
      <c r="PCO73" s="557"/>
      <c r="PCP73" s="557"/>
      <c r="PCQ73" s="557"/>
      <c r="PCR73" s="557"/>
      <c r="PCS73" s="557"/>
      <c r="PCT73" s="557"/>
      <c r="PCU73" s="557"/>
      <c r="PCV73" s="557"/>
      <c r="PCW73" s="557"/>
      <c r="PCX73" s="557"/>
      <c r="PCY73" s="661"/>
      <c r="PCZ73" s="556"/>
      <c r="PDA73" s="557"/>
      <c r="PDB73" s="557"/>
      <c r="PDC73" s="557"/>
      <c r="PDD73" s="557"/>
      <c r="PDE73" s="557"/>
      <c r="PDF73" s="557"/>
      <c r="PDG73" s="557"/>
      <c r="PDH73" s="557"/>
      <c r="PDI73" s="557"/>
      <c r="PDJ73" s="557"/>
      <c r="PDK73" s="557"/>
      <c r="PDL73" s="557"/>
      <c r="PDM73" s="557"/>
      <c r="PDN73" s="557"/>
      <c r="PDO73" s="557"/>
      <c r="PDP73" s="557"/>
      <c r="PDQ73" s="557"/>
      <c r="PDR73" s="557"/>
      <c r="PDS73" s="661"/>
      <c r="PDT73" s="556"/>
      <c r="PDU73" s="557"/>
      <c r="PDV73" s="557"/>
      <c r="PDW73" s="557"/>
      <c r="PDX73" s="557"/>
      <c r="PDY73" s="557"/>
      <c r="PDZ73" s="557"/>
      <c r="PEA73" s="557"/>
      <c r="PEB73" s="557"/>
      <c r="PEC73" s="557"/>
      <c r="PED73" s="557"/>
      <c r="PEE73" s="557"/>
      <c r="PEF73" s="557"/>
      <c r="PEG73" s="557"/>
      <c r="PEH73" s="557"/>
      <c r="PEI73" s="557"/>
      <c r="PEJ73" s="557"/>
      <c r="PEK73" s="557"/>
      <c r="PEL73" s="557"/>
      <c r="PEM73" s="661"/>
      <c r="PEN73" s="556"/>
      <c r="PEO73" s="557"/>
      <c r="PEP73" s="557"/>
      <c r="PEQ73" s="557"/>
      <c r="PER73" s="557"/>
      <c r="PES73" s="557"/>
      <c r="PET73" s="557"/>
      <c r="PEU73" s="557"/>
      <c r="PEV73" s="557"/>
      <c r="PEW73" s="557"/>
      <c r="PEX73" s="557"/>
      <c r="PEY73" s="557"/>
      <c r="PEZ73" s="557"/>
      <c r="PFA73" s="557"/>
      <c r="PFB73" s="557"/>
      <c r="PFC73" s="557"/>
      <c r="PFD73" s="557"/>
      <c r="PFE73" s="557"/>
      <c r="PFF73" s="557"/>
      <c r="PFG73" s="661"/>
      <c r="PFH73" s="556"/>
      <c r="PFI73" s="557"/>
      <c r="PFJ73" s="557"/>
      <c r="PFK73" s="557"/>
      <c r="PFL73" s="557"/>
      <c r="PFM73" s="557"/>
      <c r="PFN73" s="557"/>
      <c r="PFO73" s="557"/>
      <c r="PFP73" s="557"/>
      <c r="PFQ73" s="557"/>
      <c r="PFR73" s="557"/>
      <c r="PFS73" s="557"/>
      <c r="PFT73" s="557"/>
      <c r="PFU73" s="557"/>
      <c r="PFV73" s="557"/>
      <c r="PFW73" s="557"/>
      <c r="PFX73" s="557"/>
      <c r="PFY73" s="557"/>
      <c r="PFZ73" s="557"/>
      <c r="PGA73" s="661"/>
      <c r="PGB73" s="556"/>
      <c r="PGC73" s="557"/>
      <c r="PGD73" s="557"/>
      <c r="PGE73" s="557"/>
      <c r="PGF73" s="557"/>
      <c r="PGG73" s="557"/>
      <c r="PGH73" s="557"/>
      <c r="PGI73" s="557"/>
      <c r="PGJ73" s="557"/>
      <c r="PGK73" s="557"/>
      <c r="PGL73" s="557"/>
      <c r="PGM73" s="557"/>
      <c r="PGN73" s="557"/>
      <c r="PGO73" s="557"/>
      <c r="PGP73" s="557"/>
      <c r="PGQ73" s="557"/>
      <c r="PGR73" s="557"/>
      <c r="PGS73" s="557"/>
      <c r="PGT73" s="557"/>
      <c r="PGU73" s="661"/>
      <c r="PGV73" s="556"/>
      <c r="PGW73" s="557"/>
      <c r="PGX73" s="557"/>
      <c r="PGY73" s="557"/>
      <c r="PGZ73" s="557"/>
      <c r="PHA73" s="557"/>
      <c r="PHB73" s="557"/>
      <c r="PHC73" s="557"/>
      <c r="PHD73" s="557"/>
      <c r="PHE73" s="557"/>
      <c r="PHF73" s="557"/>
      <c r="PHG73" s="557"/>
      <c r="PHH73" s="557"/>
      <c r="PHI73" s="557"/>
      <c r="PHJ73" s="557"/>
      <c r="PHK73" s="557"/>
      <c r="PHL73" s="557"/>
      <c r="PHM73" s="557"/>
      <c r="PHN73" s="557"/>
      <c r="PHO73" s="661"/>
      <c r="PHP73" s="556"/>
      <c r="PHQ73" s="557"/>
      <c r="PHR73" s="557"/>
      <c r="PHS73" s="557"/>
      <c r="PHT73" s="557"/>
      <c r="PHU73" s="557"/>
      <c r="PHV73" s="557"/>
      <c r="PHW73" s="557"/>
      <c r="PHX73" s="557"/>
      <c r="PHY73" s="557"/>
      <c r="PHZ73" s="557"/>
      <c r="PIA73" s="557"/>
      <c r="PIB73" s="557"/>
      <c r="PIC73" s="557"/>
      <c r="PID73" s="557"/>
      <c r="PIE73" s="557"/>
      <c r="PIF73" s="557"/>
      <c r="PIG73" s="557"/>
      <c r="PIH73" s="557"/>
      <c r="PII73" s="661"/>
      <c r="PIJ73" s="556"/>
      <c r="PIK73" s="557"/>
      <c r="PIL73" s="557"/>
      <c r="PIM73" s="557"/>
      <c r="PIN73" s="557"/>
      <c r="PIO73" s="557"/>
      <c r="PIP73" s="557"/>
      <c r="PIQ73" s="557"/>
      <c r="PIR73" s="557"/>
      <c r="PIS73" s="557"/>
      <c r="PIT73" s="557"/>
      <c r="PIU73" s="557"/>
      <c r="PIV73" s="557"/>
      <c r="PIW73" s="557"/>
      <c r="PIX73" s="557"/>
      <c r="PIY73" s="557"/>
      <c r="PIZ73" s="557"/>
      <c r="PJA73" s="557"/>
      <c r="PJB73" s="557"/>
      <c r="PJC73" s="661"/>
      <c r="PJD73" s="556"/>
      <c r="PJE73" s="557"/>
      <c r="PJF73" s="557"/>
      <c r="PJG73" s="557"/>
      <c r="PJH73" s="557"/>
      <c r="PJI73" s="557"/>
      <c r="PJJ73" s="557"/>
      <c r="PJK73" s="557"/>
      <c r="PJL73" s="557"/>
      <c r="PJM73" s="557"/>
      <c r="PJN73" s="557"/>
      <c r="PJO73" s="557"/>
      <c r="PJP73" s="557"/>
      <c r="PJQ73" s="557"/>
      <c r="PJR73" s="557"/>
      <c r="PJS73" s="557"/>
      <c r="PJT73" s="557"/>
      <c r="PJU73" s="557"/>
      <c r="PJV73" s="557"/>
      <c r="PJW73" s="661"/>
      <c r="PJX73" s="556"/>
      <c r="PJY73" s="557"/>
      <c r="PJZ73" s="557"/>
      <c r="PKA73" s="557"/>
      <c r="PKB73" s="557"/>
      <c r="PKC73" s="557"/>
      <c r="PKD73" s="557"/>
      <c r="PKE73" s="557"/>
      <c r="PKF73" s="557"/>
      <c r="PKG73" s="557"/>
      <c r="PKH73" s="557"/>
      <c r="PKI73" s="557"/>
      <c r="PKJ73" s="557"/>
      <c r="PKK73" s="557"/>
      <c r="PKL73" s="557"/>
      <c r="PKM73" s="557"/>
      <c r="PKN73" s="557"/>
      <c r="PKO73" s="557"/>
      <c r="PKP73" s="557"/>
      <c r="PKQ73" s="661"/>
      <c r="PKR73" s="556"/>
      <c r="PKS73" s="557"/>
      <c r="PKT73" s="557"/>
      <c r="PKU73" s="557"/>
      <c r="PKV73" s="557"/>
      <c r="PKW73" s="557"/>
      <c r="PKX73" s="557"/>
      <c r="PKY73" s="557"/>
      <c r="PKZ73" s="557"/>
      <c r="PLA73" s="557"/>
      <c r="PLB73" s="557"/>
      <c r="PLC73" s="557"/>
      <c r="PLD73" s="557"/>
      <c r="PLE73" s="557"/>
      <c r="PLF73" s="557"/>
      <c r="PLG73" s="557"/>
      <c r="PLH73" s="557"/>
      <c r="PLI73" s="557"/>
      <c r="PLJ73" s="557"/>
      <c r="PLK73" s="661"/>
      <c r="PLL73" s="556"/>
      <c r="PLM73" s="557"/>
      <c r="PLN73" s="557"/>
      <c r="PLO73" s="557"/>
      <c r="PLP73" s="557"/>
      <c r="PLQ73" s="557"/>
      <c r="PLR73" s="557"/>
      <c r="PLS73" s="557"/>
      <c r="PLT73" s="557"/>
      <c r="PLU73" s="557"/>
      <c r="PLV73" s="557"/>
      <c r="PLW73" s="557"/>
      <c r="PLX73" s="557"/>
      <c r="PLY73" s="557"/>
      <c r="PLZ73" s="557"/>
      <c r="PMA73" s="557"/>
      <c r="PMB73" s="557"/>
      <c r="PMC73" s="557"/>
      <c r="PMD73" s="557"/>
      <c r="PME73" s="661"/>
      <c r="PMF73" s="556"/>
      <c r="PMG73" s="557"/>
      <c r="PMH73" s="557"/>
      <c r="PMI73" s="557"/>
      <c r="PMJ73" s="557"/>
      <c r="PMK73" s="557"/>
      <c r="PML73" s="557"/>
      <c r="PMM73" s="557"/>
      <c r="PMN73" s="557"/>
      <c r="PMO73" s="557"/>
      <c r="PMP73" s="557"/>
      <c r="PMQ73" s="557"/>
      <c r="PMR73" s="557"/>
      <c r="PMS73" s="557"/>
      <c r="PMT73" s="557"/>
      <c r="PMU73" s="557"/>
      <c r="PMV73" s="557"/>
      <c r="PMW73" s="557"/>
      <c r="PMX73" s="557"/>
      <c r="PMY73" s="661"/>
      <c r="PMZ73" s="556"/>
      <c r="PNA73" s="557"/>
      <c r="PNB73" s="557"/>
      <c r="PNC73" s="557"/>
      <c r="PND73" s="557"/>
      <c r="PNE73" s="557"/>
      <c r="PNF73" s="557"/>
      <c r="PNG73" s="557"/>
      <c r="PNH73" s="557"/>
      <c r="PNI73" s="557"/>
      <c r="PNJ73" s="557"/>
      <c r="PNK73" s="557"/>
      <c r="PNL73" s="557"/>
      <c r="PNM73" s="557"/>
      <c r="PNN73" s="557"/>
      <c r="PNO73" s="557"/>
      <c r="PNP73" s="557"/>
      <c r="PNQ73" s="557"/>
      <c r="PNR73" s="557"/>
      <c r="PNS73" s="661"/>
      <c r="PNT73" s="556"/>
      <c r="PNU73" s="557"/>
      <c r="PNV73" s="557"/>
      <c r="PNW73" s="557"/>
      <c r="PNX73" s="557"/>
      <c r="PNY73" s="557"/>
      <c r="PNZ73" s="557"/>
      <c r="POA73" s="557"/>
      <c r="POB73" s="557"/>
      <c r="POC73" s="557"/>
      <c r="POD73" s="557"/>
      <c r="POE73" s="557"/>
      <c r="POF73" s="557"/>
      <c r="POG73" s="557"/>
      <c r="POH73" s="557"/>
      <c r="POI73" s="557"/>
      <c r="POJ73" s="557"/>
      <c r="POK73" s="557"/>
      <c r="POL73" s="557"/>
      <c r="POM73" s="661"/>
      <c r="PON73" s="556"/>
      <c r="POO73" s="557"/>
      <c r="POP73" s="557"/>
      <c r="POQ73" s="557"/>
      <c r="POR73" s="557"/>
      <c r="POS73" s="557"/>
      <c r="POT73" s="557"/>
      <c r="POU73" s="557"/>
      <c r="POV73" s="557"/>
      <c r="POW73" s="557"/>
      <c r="POX73" s="557"/>
      <c r="POY73" s="557"/>
      <c r="POZ73" s="557"/>
      <c r="PPA73" s="557"/>
      <c r="PPB73" s="557"/>
      <c r="PPC73" s="557"/>
      <c r="PPD73" s="557"/>
      <c r="PPE73" s="557"/>
      <c r="PPF73" s="557"/>
      <c r="PPG73" s="661"/>
      <c r="PPH73" s="556"/>
      <c r="PPI73" s="557"/>
      <c r="PPJ73" s="557"/>
      <c r="PPK73" s="557"/>
      <c r="PPL73" s="557"/>
      <c r="PPM73" s="557"/>
      <c r="PPN73" s="557"/>
      <c r="PPO73" s="557"/>
      <c r="PPP73" s="557"/>
      <c r="PPQ73" s="557"/>
      <c r="PPR73" s="557"/>
      <c r="PPS73" s="557"/>
      <c r="PPT73" s="557"/>
      <c r="PPU73" s="557"/>
      <c r="PPV73" s="557"/>
      <c r="PPW73" s="557"/>
      <c r="PPX73" s="557"/>
      <c r="PPY73" s="557"/>
      <c r="PPZ73" s="557"/>
      <c r="PQA73" s="661"/>
      <c r="PQB73" s="556"/>
      <c r="PQC73" s="557"/>
      <c r="PQD73" s="557"/>
      <c r="PQE73" s="557"/>
      <c r="PQF73" s="557"/>
      <c r="PQG73" s="557"/>
      <c r="PQH73" s="557"/>
      <c r="PQI73" s="557"/>
      <c r="PQJ73" s="557"/>
      <c r="PQK73" s="557"/>
      <c r="PQL73" s="557"/>
      <c r="PQM73" s="557"/>
      <c r="PQN73" s="557"/>
      <c r="PQO73" s="557"/>
      <c r="PQP73" s="557"/>
      <c r="PQQ73" s="557"/>
      <c r="PQR73" s="557"/>
      <c r="PQS73" s="557"/>
      <c r="PQT73" s="557"/>
      <c r="PQU73" s="661"/>
      <c r="PQV73" s="556"/>
      <c r="PQW73" s="557"/>
      <c r="PQX73" s="557"/>
      <c r="PQY73" s="557"/>
      <c r="PQZ73" s="557"/>
      <c r="PRA73" s="557"/>
      <c r="PRB73" s="557"/>
      <c r="PRC73" s="557"/>
      <c r="PRD73" s="557"/>
      <c r="PRE73" s="557"/>
      <c r="PRF73" s="557"/>
      <c r="PRG73" s="557"/>
      <c r="PRH73" s="557"/>
      <c r="PRI73" s="557"/>
      <c r="PRJ73" s="557"/>
      <c r="PRK73" s="557"/>
      <c r="PRL73" s="557"/>
      <c r="PRM73" s="557"/>
      <c r="PRN73" s="557"/>
      <c r="PRO73" s="661"/>
      <c r="PRP73" s="556"/>
      <c r="PRQ73" s="557"/>
      <c r="PRR73" s="557"/>
      <c r="PRS73" s="557"/>
      <c r="PRT73" s="557"/>
      <c r="PRU73" s="557"/>
      <c r="PRV73" s="557"/>
      <c r="PRW73" s="557"/>
      <c r="PRX73" s="557"/>
      <c r="PRY73" s="557"/>
      <c r="PRZ73" s="557"/>
      <c r="PSA73" s="557"/>
      <c r="PSB73" s="557"/>
      <c r="PSC73" s="557"/>
      <c r="PSD73" s="557"/>
      <c r="PSE73" s="557"/>
      <c r="PSF73" s="557"/>
      <c r="PSG73" s="557"/>
      <c r="PSH73" s="557"/>
      <c r="PSI73" s="661"/>
      <c r="PSJ73" s="556"/>
      <c r="PSK73" s="557"/>
      <c r="PSL73" s="557"/>
      <c r="PSM73" s="557"/>
      <c r="PSN73" s="557"/>
      <c r="PSO73" s="557"/>
      <c r="PSP73" s="557"/>
      <c r="PSQ73" s="557"/>
      <c r="PSR73" s="557"/>
      <c r="PSS73" s="557"/>
      <c r="PST73" s="557"/>
      <c r="PSU73" s="557"/>
      <c r="PSV73" s="557"/>
      <c r="PSW73" s="557"/>
      <c r="PSX73" s="557"/>
      <c r="PSY73" s="557"/>
      <c r="PSZ73" s="557"/>
      <c r="PTA73" s="557"/>
      <c r="PTB73" s="557"/>
      <c r="PTC73" s="661"/>
      <c r="PTD73" s="556"/>
      <c r="PTE73" s="557"/>
      <c r="PTF73" s="557"/>
      <c r="PTG73" s="557"/>
      <c r="PTH73" s="557"/>
      <c r="PTI73" s="557"/>
      <c r="PTJ73" s="557"/>
      <c r="PTK73" s="557"/>
      <c r="PTL73" s="557"/>
      <c r="PTM73" s="557"/>
      <c r="PTN73" s="557"/>
      <c r="PTO73" s="557"/>
      <c r="PTP73" s="557"/>
      <c r="PTQ73" s="557"/>
      <c r="PTR73" s="557"/>
      <c r="PTS73" s="557"/>
      <c r="PTT73" s="557"/>
      <c r="PTU73" s="557"/>
      <c r="PTV73" s="557"/>
      <c r="PTW73" s="661"/>
      <c r="PTX73" s="556"/>
      <c r="PTY73" s="557"/>
      <c r="PTZ73" s="557"/>
      <c r="PUA73" s="557"/>
      <c r="PUB73" s="557"/>
      <c r="PUC73" s="557"/>
      <c r="PUD73" s="557"/>
      <c r="PUE73" s="557"/>
      <c r="PUF73" s="557"/>
      <c r="PUG73" s="557"/>
      <c r="PUH73" s="557"/>
      <c r="PUI73" s="557"/>
      <c r="PUJ73" s="557"/>
      <c r="PUK73" s="557"/>
      <c r="PUL73" s="557"/>
      <c r="PUM73" s="557"/>
      <c r="PUN73" s="557"/>
      <c r="PUO73" s="557"/>
      <c r="PUP73" s="557"/>
      <c r="PUQ73" s="661"/>
      <c r="PUR73" s="556"/>
      <c r="PUS73" s="557"/>
      <c r="PUT73" s="557"/>
      <c r="PUU73" s="557"/>
      <c r="PUV73" s="557"/>
      <c r="PUW73" s="557"/>
      <c r="PUX73" s="557"/>
      <c r="PUY73" s="557"/>
      <c r="PUZ73" s="557"/>
      <c r="PVA73" s="557"/>
      <c r="PVB73" s="557"/>
      <c r="PVC73" s="557"/>
      <c r="PVD73" s="557"/>
      <c r="PVE73" s="557"/>
      <c r="PVF73" s="557"/>
      <c r="PVG73" s="557"/>
      <c r="PVH73" s="557"/>
      <c r="PVI73" s="557"/>
      <c r="PVJ73" s="557"/>
      <c r="PVK73" s="661"/>
      <c r="PVL73" s="556"/>
      <c r="PVM73" s="557"/>
      <c r="PVN73" s="557"/>
      <c r="PVO73" s="557"/>
      <c r="PVP73" s="557"/>
      <c r="PVQ73" s="557"/>
      <c r="PVR73" s="557"/>
      <c r="PVS73" s="557"/>
      <c r="PVT73" s="557"/>
      <c r="PVU73" s="557"/>
      <c r="PVV73" s="557"/>
      <c r="PVW73" s="557"/>
      <c r="PVX73" s="557"/>
      <c r="PVY73" s="557"/>
      <c r="PVZ73" s="557"/>
      <c r="PWA73" s="557"/>
      <c r="PWB73" s="557"/>
      <c r="PWC73" s="557"/>
      <c r="PWD73" s="557"/>
      <c r="PWE73" s="661"/>
      <c r="PWF73" s="556"/>
      <c r="PWG73" s="557"/>
      <c r="PWH73" s="557"/>
      <c r="PWI73" s="557"/>
      <c r="PWJ73" s="557"/>
      <c r="PWK73" s="557"/>
      <c r="PWL73" s="557"/>
      <c r="PWM73" s="557"/>
      <c r="PWN73" s="557"/>
      <c r="PWO73" s="557"/>
      <c r="PWP73" s="557"/>
      <c r="PWQ73" s="557"/>
      <c r="PWR73" s="557"/>
      <c r="PWS73" s="557"/>
      <c r="PWT73" s="557"/>
      <c r="PWU73" s="557"/>
      <c r="PWV73" s="557"/>
      <c r="PWW73" s="557"/>
      <c r="PWX73" s="557"/>
      <c r="PWY73" s="661"/>
      <c r="PWZ73" s="556"/>
      <c r="PXA73" s="557"/>
      <c r="PXB73" s="557"/>
      <c r="PXC73" s="557"/>
      <c r="PXD73" s="557"/>
      <c r="PXE73" s="557"/>
      <c r="PXF73" s="557"/>
      <c r="PXG73" s="557"/>
      <c r="PXH73" s="557"/>
      <c r="PXI73" s="557"/>
      <c r="PXJ73" s="557"/>
      <c r="PXK73" s="557"/>
      <c r="PXL73" s="557"/>
      <c r="PXM73" s="557"/>
      <c r="PXN73" s="557"/>
      <c r="PXO73" s="557"/>
      <c r="PXP73" s="557"/>
      <c r="PXQ73" s="557"/>
      <c r="PXR73" s="557"/>
      <c r="PXS73" s="661"/>
      <c r="PXT73" s="556"/>
      <c r="PXU73" s="557"/>
      <c r="PXV73" s="557"/>
      <c r="PXW73" s="557"/>
      <c r="PXX73" s="557"/>
      <c r="PXY73" s="557"/>
      <c r="PXZ73" s="557"/>
      <c r="PYA73" s="557"/>
      <c r="PYB73" s="557"/>
      <c r="PYC73" s="557"/>
      <c r="PYD73" s="557"/>
      <c r="PYE73" s="557"/>
      <c r="PYF73" s="557"/>
      <c r="PYG73" s="557"/>
      <c r="PYH73" s="557"/>
      <c r="PYI73" s="557"/>
      <c r="PYJ73" s="557"/>
      <c r="PYK73" s="557"/>
      <c r="PYL73" s="557"/>
      <c r="PYM73" s="661"/>
      <c r="PYN73" s="556"/>
      <c r="PYO73" s="557"/>
      <c r="PYP73" s="557"/>
      <c r="PYQ73" s="557"/>
      <c r="PYR73" s="557"/>
      <c r="PYS73" s="557"/>
      <c r="PYT73" s="557"/>
      <c r="PYU73" s="557"/>
      <c r="PYV73" s="557"/>
      <c r="PYW73" s="557"/>
      <c r="PYX73" s="557"/>
      <c r="PYY73" s="557"/>
      <c r="PYZ73" s="557"/>
      <c r="PZA73" s="557"/>
      <c r="PZB73" s="557"/>
      <c r="PZC73" s="557"/>
      <c r="PZD73" s="557"/>
      <c r="PZE73" s="557"/>
      <c r="PZF73" s="557"/>
      <c r="PZG73" s="661"/>
      <c r="PZH73" s="556"/>
      <c r="PZI73" s="557"/>
      <c r="PZJ73" s="557"/>
      <c r="PZK73" s="557"/>
      <c r="PZL73" s="557"/>
      <c r="PZM73" s="557"/>
      <c r="PZN73" s="557"/>
      <c r="PZO73" s="557"/>
      <c r="PZP73" s="557"/>
      <c r="PZQ73" s="557"/>
      <c r="PZR73" s="557"/>
      <c r="PZS73" s="557"/>
      <c r="PZT73" s="557"/>
      <c r="PZU73" s="557"/>
      <c r="PZV73" s="557"/>
      <c r="PZW73" s="557"/>
      <c r="PZX73" s="557"/>
      <c r="PZY73" s="557"/>
      <c r="PZZ73" s="557"/>
      <c r="QAA73" s="661"/>
      <c r="QAB73" s="556"/>
      <c r="QAC73" s="557"/>
      <c r="QAD73" s="557"/>
      <c r="QAE73" s="557"/>
      <c r="QAF73" s="557"/>
      <c r="QAG73" s="557"/>
      <c r="QAH73" s="557"/>
      <c r="QAI73" s="557"/>
      <c r="QAJ73" s="557"/>
      <c r="QAK73" s="557"/>
      <c r="QAL73" s="557"/>
      <c r="QAM73" s="557"/>
      <c r="QAN73" s="557"/>
      <c r="QAO73" s="557"/>
      <c r="QAP73" s="557"/>
      <c r="QAQ73" s="557"/>
      <c r="QAR73" s="557"/>
      <c r="QAS73" s="557"/>
      <c r="QAT73" s="557"/>
      <c r="QAU73" s="661"/>
      <c r="QAV73" s="556"/>
      <c r="QAW73" s="557"/>
      <c r="QAX73" s="557"/>
      <c r="QAY73" s="557"/>
      <c r="QAZ73" s="557"/>
      <c r="QBA73" s="557"/>
      <c r="QBB73" s="557"/>
      <c r="QBC73" s="557"/>
      <c r="QBD73" s="557"/>
      <c r="QBE73" s="557"/>
      <c r="QBF73" s="557"/>
      <c r="QBG73" s="557"/>
      <c r="QBH73" s="557"/>
      <c r="QBI73" s="557"/>
      <c r="QBJ73" s="557"/>
      <c r="QBK73" s="557"/>
      <c r="QBL73" s="557"/>
      <c r="QBM73" s="557"/>
      <c r="QBN73" s="557"/>
      <c r="QBO73" s="661"/>
      <c r="QBP73" s="556"/>
      <c r="QBQ73" s="557"/>
      <c r="QBR73" s="557"/>
      <c r="QBS73" s="557"/>
      <c r="QBT73" s="557"/>
      <c r="QBU73" s="557"/>
      <c r="QBV73" s="557"/>
      <c r="QBW73" s="557"/>
      <c r="QBX73" s="557"/>
      <c r="QBY73" s="557"/>
      <c r="QBZ73" s="557"/>
      <c r="QCA73" s="557"/>
      <c r="QCB73" s="557"/>
      <c r="QCC73" s="557"/>
      <c r="QCD73" s="557"/>
      <c r="QCE73" s="557"/>
      <c r="QCF73" s="557"/>
      <c r="QCG73" s="557"/>
      <c r="QCH73" s="557"/>
      <c r="QCI73" s="661"/>
      <c r="QCJ73" s="556"/>
      <c r="QCK73" s="557"/>
      <c r="QCL73" s="557"/>
      <c r="QCM73" s="557"/>
      <c r="QCN73" s="557"/>
      <c r="QCO73" s="557"/>
      <c r="QCP73" s="557"/>
      <c r="QCQ73" s="557"/>
      <c r="QCR73" s="557"/>
      <c r="QCS73" s="557"/>
      <c r="QCT73" s="557"/>
      <c r="QCU73" s="557"/>
      <c r="QCV73" s="557"/>
      <c r="QCW73" s="557"/>
      <c r="QCX73" s="557"/>
      <c r="QCY73" s="557"/>
      <c r="QCZ73" s="557"/>
      <c r="QDA73" s="557"/>
      <c r="QDB73" s="557"/>
      <c r="QDC73" s="661"/>
      <c r="QDD73" s="556"/>
      <c r="QDE73" s="557"/>
      <c r="QDF73" s="557"/>
      <c r="QDG73" s="557"/>
      <c r="QDH73" s="557"/>
      <c r="QDI73" s="557"/>
      <c r="QDJ73" s="557"/>
      <c r="QDK73" s="557"/>
      <c r="QDL73" s="557"/>
      <c r="QDM73" s="557"/>
      <c r="QDN73" s="557"/>
      <c r="QDO73" s="557"/>
      <c r="QDP73" s="557"/>
      <c r="QDQ73" s="557"/>
      <c r="QDR73" s="557"/>
      <c r="QDS73" s="557"/>
      <c r="QDT73" s="557"/>
      <c r="QDU73" s="557"/>
      <c r="QDV73" s="557"/>
      <c r="QDW73" s="661"/>
      <c r="QDX73" s="556"/>
      <c r="QDY73" s="557"/>
      <c r="QDZ73" s="557"/>
      <c r="QEA73" s="557"/>
      <c r="QEB73" s="557"/>
      <c r="QEC73" s="557"/>
      <c r="QED73" s="557"/>
      <c r="QEE73" s="557"/>
      <c r="QEF73" s="557"/>
      <c r="QEG73" s="557"/>
      <c r="QEH73" s="557"/>
      <c r="QEI73" s="557"/>
      <c r="QEJ73" s="557"/>
      <c r="QEK73" s="557"/>
      <c r="QEL73" s="557"/>
      <c r="QEM73" s="557"/>
      <c r="QEN73" s="557"/>
      <c r="QEO73" s="557"/>
      <c r="QEP73" s="557"/>
      <c r="QEQ73" s="661"/>
      <c r="QER73" s="556"/>
      <c r="QES73" s="557"/>
      <c r="QET73" s="557"/>
      <c r="QEU73" s="557"/>
      <c r="QEV73" s="557"/>
      <c r="QEW73" s="557"/>
      <c r="QEX73" s="557"/>
      <c r="QEY73" s="557"/>
      <c r="QEZ73" s="557"/>
      <c r="QFA73" s="557"/>
      <c r="QFB73" s="557"/>
      <c r="QFC73" s="557"/>
      <c r="QFD73" s="557"/>
      <c r="QFE73" s="557"/>
      <c r="QFF73" s="557"/>
      <c r="QFG73" s="557"/>
      <c r="QFH73" s="557"/>
      <c r="QFI73" s="557"/>
      <c r="QFJ73" s="557"/>
      <c r="QFK73" s="661"/>
      <c r="QFL73" s="556"/>
      <c r="QFM73" s="557"/>
      <c r="QFN73" s="557"/>
      <c r="QFO73" s="557"/>
      <c r="QFP73" s="557"/>
      <c r="QFQ73" s="557"/>
      <c r="QFR73" s="557"/>
      <c r="QFS73" s="557"/>
      <c r="QFT73" s="557"/>
      <c r="QFU73" s="557"/>
      <c r="QFV73" s="557"/>
      <c r="QFW73" s="557"/>
      <c r="QFX73" s="557"/>
      <c r="QFY73" s="557"/>
      <c r="QFZ73" s="557"/>
      <c r="QGA73" s="557"/>
      <c r="QGB73" s="557"/>
      <c r="QGC73" s="557"/>
      <c r="QGD73" s="557"/>
      <c r="QGE73" s="661"/>
      <c r="QGF73" s="556"/>
      <c r="QGG73" s="557"/>
      <c r="QGH73" s="557"/>
      <c r="QGI73" s="557"/>
      <c r="QGJ73" s="557"/>
      <c r="QGK73" s="557"/>
      <c r="QGL73" s="557"/>
      <c r="QGM73" s="557"/>
      <c r="QGN73" s="557"/>
      <c r="QGO73" s="557"/>
      <c r="QGP73" s="557"/>
      <c r="QGQ73" s="557"/>
      <c r="QGR73" s="557"/>
      <c r="QGS73" s="557"/>
      <c r="QGT73" s="557"/>
      <c r="QGU73" s="557"/>
      <c r="QGV73" s="557"/>
      <c r="QGW73" s="557"/>
      <c r="QGX73" s="557"/>
      <c r="QGY73" s="661"/>
      <c r="QGZ73" s="556"/>
      <c r="QHA73" s="557"/>
      <c r="QHB73" s="557"/>
      <c r="QHC73" s="557"/>
      <c r="QHD73" s="557"/>
      <c r="QHE73" s="557"/>
      <c r="QHF73" s="557"/>
      <c r="QHG73" s="557"/>
      <c r="QHH73" s="557"/>
      <c r="QHI73" s="557"/>
      <c r="QHJ73" s="557"/>
      <c r="QHK73" s="557"/>
      <c r="QHL73" s="557"/>
      <c r="QHM73" s="557"/>
      <c r="QHN73" s="557"/>
      <c r="QHO73" s="557"/>
      <c r="QHP73" s="557"/>
      <c r="QHQ73" s="557"/>
      <c r="QHR73" s="557"/>
      <c r="QHS73" s="661"/>
      <c r="QHT73" s="556"/>
      <c r="QHU73" s="557"/>
      <c r="QHV73" s="557"/>
      <c r="QHW73" s="557"/>
      <c r="QHX73" s="557"/>
      <c r="QHY73" s="557"/>
      <c r="QHZ73" s="557"/>
      <c r="QIA73" s="557"/>
      <c r="QIB73" s="557"/>
      <c r="QIC73" s="557"/>
      <c r="QID73" s="557"/>
      <c r="QIE73" s="557"/>
      <c r="QIF73" s="557"/>
      <c r="QIG73" s="557"/>
      <c r="QIH73" s="557"/>
      <c r="QII73" s="557"/>
      <c r="QIJ73" s="557"/>
      <c r="QIK73" s="557"/>
      <c r="QIL73" s="557"/>
      <c r="QIM73" s="661"/>
      <c r="QIN73" s="556"/>
      <c r="QIO73" s="557"/>
      <c r="QIP73" s="557"/>
      <c r="QIQ73" s="557"/>
      <c r="QIR73" s="557"/>
      <c r="QIS73" s="557"/>
      <c r="QIT73" s="557"/>
      <c r="QIU73" s="557"/>
      <c r="QIV73" s="557"/>
      <c r="QIW73" s="557"/>
      <c r="QIX73" s="557"/>
      <c r="QIY73" s="557"/>
      <c r="QIZ73" s="557"/>
      <c r="QJA73" s="557"/>
      <c r="QJB73" s="557"/>
      <c r="QJC73" s="557"/>
      <c r="QJD73" s="557"/>
      <c r="QJE73" s="557"/>
      <c r="QJF73" s="557"/>
      <c r="QJG73" s="661"/>
      <c r="QJH73" s="556"/>
      <c r="QJI73" s="557"/>
      <c r="QJJ73" s="557"/>
      <c r="QJK73" s="557"/>
      <c r="QJL73" s="557"/>
      <c r="QJM73" s="557"/>
      <c r="QJN73" s="557"/>
      <c r="QJO73" s="557"/>
      <c r="QJP73" s="557"/>
      <c r="QJQ73" s="557"/>
      <c r="QJR73" s="557"/>
      <c r="QJS73" s="557"/>
      <c r="QJT73" s="557"/>
      <c r="QJU73" s="557"/>
      <c r="QJV73" s="557"/>
      <c r="QJW73" s="557"/>
      <c r="QJX73" s="557"/>
      <c r="QJY73" s="557"/>
      <c r="QJZ73" s="557"/>
      <c r="QKA73" s="661"/>
      <c r="QKB73" s="556"/>
      <c r="QKC73" s="557"/>
      <c r="QKD73" s="557"/>
      <c r="QKE73" s="557"/>
      <c r="QKF73" s="557"/>
      <c r="QKG73" s="557"/>
      <c r="QKH73" s="557"/>
      <c r="QKI73" s="557"/>
      <c r="QKJ73" s="557"/>
      <c r="QKK73" s="557"/>
      <c r="QKL73" s="557"/>
      <c r="QKM73" s="557"/>
      <c r="QKN73" s="557"/>
      <c r="QKO73" s="557"/>
      <c r="QKP73" s="557"/>
      <c r="QKQ73" s="557"/>
      <c r="QKR73" s="557"/>
      <c r="QKS73" s="557"/>
      <c r="QKT73" s="557"/>
      <c r="QKU73" s="661"/>
      <c r="QKV73" s="556"/>
      <c r="QKW73" s="557"/>
      <c r="QKX73" s="557"/>
      <c r="QKY73" s="557"/>
      <c r="QKZ73" s="557"/>
      <c r="QLA73" s="557"/>
      <c r="QLB73" s="557"/>
      <c r="QLC73" s="557"/>
      <c r="QLD73" s="557"/>
      <c r="QLE73" s="557"/>
      <c r="QLF73" s="557"/>
      <c r="QLG73" s="557"/>
      <c r="QLH73" s="557"/>
      <c r="QLI73" s="557"/>
      <c r="QLJ73" s="557"/>
      <c r="QLK73" s="557"/>
      <c r="QLL73" s="557"/>
      <c r="QLM73" s="557"/>
      <c r="QLN73" s="557"/>
      <c r="QLO73" s="661"/>
      <c r="QLP73" s="556"/>
      <c r="QLQ73" s="557"/>
      <c r="QLR73" s="557"/>
      <c r="QLS73" s="557"/>
      <c r="QLT73" s="557"/>
      <c r="QLU73" s="557"/>
      <c r="QLV73" s="557"/>
      <c r="QLW73" s="557"/>
      <c r="QLX73" s="557"/>
      <c r="QLY73" s="557"/>
      <c r="QLZ73" s="557"/>
      <c r="QMA73" s="557"/>
      <c r="QMB73" s="557"/>
      <c r="QMC73" s="557"/>
      <c r="QMD73" s="557"/>
      <c r="QME73" s="557"/>
      <c r="QMF73" s="557"/>
      <c r="QMG73" s="557"/>
      <c r="QMH73" s="557"/>
      <c r="QMI73" s="661"/>
      <c r="QMJ73" s="556"/>
      <c r="QMK73" s="557"/>
      <c r="QML73" s="557"/>
      <c r="QMM73" s="557"/>
      <c r="QMN73" s="557"/>
      <c r="QMO73" s="557"/>
      <c r="QMP73" s="557"/>
      <c r="QMQ73" s="557"/>
      <c r="QMR73" s="557"/>
      <c r="QMS73" s="557"/>
      <c r="QMT73" s="557"/>
      <c r="QMU73" s="557"/>
      <c r="QMV73" s="557"/>
      <c r="QMW73" s="557"/>
      <c r="QMX73" s="557"/>
      <c r="QMY73" s="557"/>
      <c r="QMZ73" s="557"/>
      <c r="QNA73" s="557"/>
      <c r="QNB73" s="557"/>
      <c r="QNC73" s="661"/>
      <c r="QND73" s="556"/>
      <c r="QNE73" s="557"/>
      <c r="QNF73" s="557"/>
      <c r="QNG73" s="557"/>
      <c r="QNH73" s="557"/>
      <c r="QNI73" s="557"/>
      <c r="QNJ73" s="557"/>
      <c r="QNK73" s="557"/>
      <c r="QNL73" s="557"/>
      <c r="QNM73" s="557"/>
      <c r="QNN73" s="557"/>
      <c r="QNO73" s="557"/>
      <c r="QNP73" s="557"/>
      <c r="QNQ73" s="557"/>
      <c r="QNR73" s="557"/>
      <c r="QNS73" s="557"/>
      <c r="QNT73" s="557"/>
      <c r="QNU73" s="557"/>
      <c r="QNV73" s="557"/>
      <c r="QNW73" s="661"/>
      <c r="QNX73" s="556"/>
      <c r="QNY73" s="557"/>
      <c r="QNZ73" s="557"/>
      <c r="QOA73" s="557"/>
      <c r="QOB73" s="557"/>
      <c r="QOC73" s="557"/>
      <c r="QOD73" s="557"/>
      <c r="QOE73" s="557"/>
      <c r="QOF73" s="557"/>
      <c r="QOG73" s="557"/>
      <c r="QOH73" s="557"/>
      <c r="QOI73" s="557"/>
      <c r="QOJ73" s="557"/>
      <c r="QOK73" s="557"/>
      <c r="QOL73" s="557"/>
      <c r="QOM73" s="557"/>
      <c r="QON73" s="557"/>
      <c r="QOO73" s="557"/>
      <c r="QOP73" s="557"/>
      <c r="QOQ73" s="661"/>
      <c r="QOR73" s="556"/>
      <c r="QOS73" s="557"/>
      <c r="QOT73" s="557"/>
      <c r="QOU73" s="557"/>
      <c r="QOV73" s="557"/>
      <c r="QOW73" s="557"/>
      <c r="QOX73" s="557"/>
      <c r="QOY73" s="557"/>
      <c r="QOZ73" s="557"/>
      <c r="QPA73" s="557"/>
      <c r="QPB73" s="557"/>
      <c r="QPC73" s="557"/>
      <c r="QPD73" s="557"/>
      <c r="QPE73" s="557"/>
      <c r="QPF73" s="557"/>
      <c r="QPG73" s="557"/>
      <c r="QPH73" s="557"/>
      <c r="QPI73" s="557"/>
      <c r="QPJ73" s="557"/>
      <c r="QPK73" s="661"/>
      <c r="QPL73" s="556"/>
      <c r="QPM73" s="557"/>
      <c r="QPN73" s="557"/>
      <c r="QPO73" s="557"/>
      <c r="QPP73" s="557"/>
      <c r="QPQ73" s="557"/>
      <c r="QPR73" s="557"/>
      <c r="QPS73" s="557"/>
      <c r="QPT73" s="557"/>
      <c r="QPU73" s="557"/>
      <c r="QPV73" s="557"/>
      <c r="QPW73" s="557"/>
      <c r="QPX73" s="557"/>
      <c r="QPY73" s="557"/>
      <c r="QPZ73" s="557"/>
      <c r="QQA73" s="557"/>
      <c r="QQB73" s="557"/>
      <c r="QQC73" s="557"/>
      <c r="QQD73" s="557"/>
      <c r="QQE73" s="661"/>
      <c r="QQF73" s="556"/>
      <c r="QQG73" s="557"/>
      <c r="QQH73" s="557"/>
      <c r="QQI73" s="557"/>
      <c r="QQJ73" s="557"/>
      <c r="QQK73" s="557"/>
      <c r="QQL73" s="557"/>
      <c r="QQM73" s="557"/>
      <c r="QQN73" s="557"/>
      <c r="QQO73" s="557"/>
      <c r="QQP73" s="557"/>
      <c r="QQQ73" s="557"/>
      <c r="QQR73" s="557"/>
      <c r="QQS73" s="557"/>
      <c r="QQT73" s="557"/>
      <c r="QQU73" s="557"/>
      <c r="QQV73" s="557"/>
      <c r="QQW73" s="557"/>
      <c r="QQX73" s="557"/>
      <c r="QQY73" s="661"/>
      <c r="QQZ73" s="556"/>
      <c r="QRA73" s="557"/>
      <c r="QRB73" s="557"/>
      <c r="QRC73" s="557"/>
      <c r="QRD73" s="557"/>
      <c r="QRE73" s="557"/>
      <c r="QRF73" s="557"/>
      <c r="QRG73" s="557"/>
      <c r="QRH73" s="557"/>
      <c r="QRI73" s="557"/>
      <c r="QRJ73" s="557"/>
      <c r="QRK73" s="557"/>
      <c r="QRL73" s="557"/>
      <c r="QRM73" s="557"/>
      <c r="QRN73" s="557"/>
      <c r="QRO73" s="557"/>
      <c r="QRP73" s="557"/>
      <c r="QRQ73" s="557"/>
      <c r="QRR73" s="557"/>
      <c r="QRS73" s="661"/>
      <c r="QRT73" s="556"/>
      <c r="QRU73" s="557"/>
      <c r="QRV73" s="557"/>
      <c r="QRW73" s="557"/>
      <c r="QRX73" s="557"/>
      <c r="QRY73" s="557"/>
      <c r="QRZ73" s="557"/>
      <c r="QSA73" s="557"/>
      <c r="QSB73" s="557"/>
      <c r="QSC73" s="557"/>
      <c r="QSD73" s="557"/>
      <c r="QSE73" s="557"/>
      <c r="QSF73" s="557"/>
      <c r="QSG73" s="557"/>
      <c r="QSH73" s="557"/>
      <c r="QSI73" s="557"/>
      <c r="QSJ73" s="557"/>
      <c r="QSK73" s="557"/>
      <c r="QSL73" s="557"/>
      <c r="QSM73" s="661"/>
      <c r="QSN73" s="556"/>
      <c r="QSO73" s="557"/>
      <c r="QSP73" s="557"/>
      <c r="QSQ73" s="557"/>
      <c r="QSR73" s="557"/>
      <c r="QSS73" s="557"/>
      <c r="QST73" s="557"/>
      <c r="QSU73" s="557"/>
      <c r="QSV73" s="557"/>
      <c r="QSW73" s="557"/>
      <c r="QSX73" s="557"/>
      <c r="QSY73" s="557"/>
      <c r="QSZ73" s="557"/>
      <c r="QTA73" s="557"/>
      <c r="QTB73" s="557"/>
      <c r="QTC73" s="557"/>
      <c r="QTD73" s="557"/>
      <c r="QTE73" s="557"/>
      <c r="QTF73" s="557"/>
      <c r="QTG73" s="661"/>
      <c r="QTH73" s="556"/>
      <c r="QTI73" s="557"/>
      <c r="QTJ73" s="557"/>
      <c r="QTK73" s="557"/>
      <c r="QTL73" s="557"/>
      <c r="QTM73" s="557"/>
      <c r="QTN73" s="557"/>
      <c r="QTO73" s="557"/>
      <c r="QTP73" s="557"/>
      <c r="QTQ73" s="557"/>
      <c r="QTR73" s="557"/>
      <c r="QTS73" s="557"/>
      <c r="QTT73" s="557"/>
      <c r="QTU73" s="557"/>
      <c r="QTV73" s="557"/>
      <c r="QTW73" s="557"/>
      <c r="QTX73" s="557"/>
      <c r="QTY73" s="557"/>
      <c r="QTZ73" s="557"/>
      <c r="QUA73" s="661"/>
      <c r="QUB73" s="556"/>
      <c r="QUC73" s="557"/>
      <c r="QUD73" s="557"/>
      <c r="QUE73" s="557"/>
      <c r="QUF73" s="557"/>
      <c r="QUG73" s="557"/>
      <c r="QUH73" s="557"/>
      <c r="QUI73" s="557"/>
      <c r="QUJ73" s="557"/>
      <c r="QUK73" s="557"/>
      <c r="QUL73" s="557"/>
      <c r="QUM73" s="557"/>
      <c r="QUN73" s="557"/>
      <c r="QUO73" s="557"/>
      <c r="QUP73" s="557"/>
      <c r="QUQ73" s="557"/>
      <c r="QUR73" s="557"/>
      <c r="QUS73" s="557"/>
      <c r="QUT73" s="557"/>
      <c r="QUU73" s="661"/>
      <c r="QUV73" s="556"/>
      <c r="QUW73" s="557"/>
      <c r="QUX73" s="557"/>
      <c r="QUY73" s="557"/>
      <c r="QUZ73" s="557"/>
      <c r="QVA73" s="557"/>
      <c r="QVB73" s="557"/>
      <c r="QVC73" s="557"/>
      <c r="QVD73" s="557"/>
      <c r="QVE73" s="557"/>
      <c r="QVF73" s="557"/>
      <c r="QVG73" s="557"/>
      <c r="QVH73" s="557"/>
      <c r="QVI73" s="557"/>
      <c r="QVJ73" s="557"/>
      <c r="QVK73" s="557"/>
      <c r="QVL73" s="557"/>
      <c r="QVM73" s="557"/>
      <c r="QVN73" s="557"/>
      <c r="QVO73" s="661"/>
      <c r="QVP73" s="556"/>
      <c r="QVQ73" s="557"/>
      <c r="QVR73" s="557"/>
      <c r="QVS73" s="557"/>
      <c r="QVT73" s="557"/>
      <c r="QVU73" s="557"/>
      <c r="QVV73" s="557"/>
      <c r="QVW73" s="557"/>
      <c r="QVX73" s="557"/>
      <c r="QVY73" s="557"/>
      <c r="QVZ73" s="557"/>
      <c r="QWA73" s="557"/>
      <c r="QWB73" s="557"/>
      <c r="QWC73" s="557"/>
      <c r="QWD73" s="557"/>
      <c r="QWE73" s="557"/>
      <c r="QWF73" s="557"/>
      <c r="QWG73" s="557"/>
      <c r="QWH73" s="557"/>
      <c r="QWI73" s="661"/>
      <c r="QWJ73" s="556"/>
      <c r="QWK73" s="557"/>
      <c r="QWL73" s="557"/>
      <c r="QWM73" s="557"/>
      <c r="QWN73" s="557"/>
      <c r="QWO73" s="557"/>
      <c r="QWP73" s="557"/>
      <c r="QWQ73" s="557"/>
      <c r="QWR73" s="557"/>
      <c r="QWS73" s="557"/>
      <c r="QWT73" s="557"/>
      <c r="QWU73" s="557"/>
      <c r="QWV73" s="557"/>
      <c r="QWW73" s="557"/>
      <c r="QWX73" s="557"/>
      <c r="QWY73" s="557"/>
      <c r="QWZ73" s="557"/>
      <c r="QXA73" s="557"/>
      <c r="QXB73" s="557"/>
      <c r="QXC73" s="661"/>
      <c r="QXD73" s="556"/>
      <c r="QXE73" s="557"/>
      <c r="QXF73" s="557"/>
      <c r="QXG73" s="557"/>
      <c r="QXH73" s="557"/>
      <c r="QXI73" s="557"/>
      <c r="QXJ73" s="557"/>
      <c r="QXK73" s="557"/>
      <c r="QXL73" s="557"/>
      <c r="QXM73" s="557"/>
      <c r="QXN73" s="557"/>
      <c r="QXO73" s="557"/>
      <c r="QXP73" s="557"/>
      <c r="QXQ73" s="557"/>
      <c r="QXR73" s="557"/>
      <c r="QXS73" s="557"/>
      <c r="QXT73" s="557"/>
      <c r="QXU73" s="557"/>
      <c r="QXV73" s="557"/>
      <c r="QXW73" s="661"/>
      <c r="QXX73" s="556"/>
      <c r="QXY73" s="557"/>
      <c r="QXZ73" s="557"/>
      <c r="QYA73" s="557"/>
      <c r="QYB73" s="557"/>
      <c r="QYC73" s="557"/>
      <c r="QYD73" s="557"/>
      <c r="QYE73" s="557"/>
      <c r="QYF73" s="557"/>
      <c r="QYG73" s="557"/>
      <c r="QYH73" s="557"/>
      <c r="QYI73" s="557"/>
      <c r="QYJ73" s="557"/>
      <c r="QYK73" s="557"/>
      <c r="QYL73" s="557"/>
      <c r="QYM73" s="557"/>
      <c r="QYN73" s="557"/>
      <c r="QYO73" s="557"/>
      <c r="QYP73" s="557"/>
      <c r="QYQ73" s="661"/>
      <c r="QYR73" s="556"/>
      <c r="QYS73" s="557"/>
      <c r="QYT73" s="557"/>
      <c r="QYU73" s="557"/>
      <c r="QYV73" s="557"/>
      <c r="QYW73" s="557"/>
      <c r="QYX73" s="557"/>
      <c r="QYY73" s="557"/>
      <c r="QYZ73" s="557"/>
      <c r="QZA73" s="557"/>
      <c r="QZB73" s="557"/>
      <c r="QZC73" s="557"/>
      <c r="QZD73" s="557"/>
      <c r="QZE73" s="557"/>
      <c r="QZF73" s="557"/>
      <c r="QZG73" s="557"/>
      <c r="QZH73" s="557"/>
      <c r="QZI73" s="557"/>
      <c r="QZJ73" s="557"/>
      <c r="QZK73" s="661"/>
      <c r="QZL73" s="556"/>
      <c r="QZM73" s="557"/>
      <c r="QZN73" s="557"/>
      <c r="QZO73" s="557"/>
      <c r="QZP73" s="557"/>
      <c r="QZQ73" s="557"/>
      <c r="QZR73" s="557"/>
      <c r="QZS73" s="557"/>
      <c r="QZT73" s="557"/>
      <c r="QZU73" s="557"/>
      <c r="QZV73" s="557"/>
      <c r="QZW73" s="557"/>
      <c r="QZX73" s="557"/>
      <c r="QZY73" s="557"/>
      <c r="QZZ73" s="557"/>
      <c r="RAA73" s="557"/>
      <c r="RAB73" s="557"/>
      <c r="RAC73" s="557"/>
      <c r="RAD73" s="557"/>
      <c r="RAE73" s="661"/>
      <c r="RAF73" s="556"/>
      <c r="RAG73" s="557"/>
      <c r="RAH73" s="557"/>
      <c r="RAI73" s="557"/>
      <c r="RAJ73" s="557"/>
      <c r="RAK73" s="557"/>
      <c r="RAL73" s="557"/>
      <c r="RAM73" s="557"/>
      <c r="RAN73" s="557"/>
      <c r="RAO73" s="557"/>
      <c r="RAP73" s="557"/>
      <c r="RAQ73" s="557"/>
      <c r="RAR73" s="557"/>
      <c r="RAS73" s="557"/>
      <c r="RAT73" s="557"/>
      <c r="RAU73" s="557"/>
      <c r="RAV73" s="557"/>
      <c r="RAW73" s="557"/>
      <c r="RAX73" s="557"/>
      <c r="RAY73" s="661"/>
      <c r="RAZ73" s="556"/>
      <c r="RBA73" s="557"/>
      <c r="RBB73" s="557"/>
      <c r="RBC73" s="557"/>
      <c r="RBD73" s="557"/>
      <c r="RBE73" s="557"/>
      <c r="RBF73" s="557"/>
      <c r="RBG73" s="557"/>
      <c r="RBH73" s="557"/>
      <c r="RBI73" s="557"/>
      <c r="RBJ73" s="557"/>
      <c r="RBK73" s="557"/>
      <c r="RBL73" s="557"/>
      <c r="RBM73" s="557"/>
      <c r="RBN73" s="557"/>
      <c r="RBO73" s="557"/>
      <c r="RBP73" s="557"/>
      <c r="RBQ73" s="557"/>
      <c r="RBR73" s="557"/>
      <c r="RBS73" s="661"/>
      <c r="RBT73" s="556"/>
      <c r="RBU73" s="557"/>
      <c r="RBV73" s="557"/>
      <c r="RBW73" s="557"/>
      <c r="RBX73" s="557"/>
      <c r="RBY73" s="557"/>
      <c r="RBZ73" s="557"/>
      <c r="RCA73" s="557"/>
      <c r="RCB73" s="557"/>
      <c r="RCC73" s="557"/>
      <c r="RCD73" s="557"/>
      <c r="RCE73" s="557"/>
      <c r="RCF73" s="557"/>
      <c r="RCG73" s="557"/>
      <c r="RCH73" s="557"/>
      <c r="RCI73" s="557"/>
      <c r="RCJ73" s="557"/>
      <c r="RCK73" s="557"/>
      <c r="RCL73" s="557"/>
      <c r="RCM73" s="661"/>
      <c r="RCN73" s="556"/>
      <c r="RCO73" s="557"/>
      <c r="RCP73" s="557"/>
      <c r="RCQ73" s="557"/>
      <c r="RCR73" s="557"/>
      <c r="RCS73" s="557"/>
      <c r="RCT73" s="557"/>
      <c r="RCU73" s="557"/>
      <c r="RCV73" s="557"/>
      <c r="RCW73" s="557"/>
      <c r="RCX73" s="557"/>
      <c r="RCY73" s="557"/>
      <c r="RCZ73" s="557"/>
      <c r="RDA73" s="557"/>
      <c r="RDB73" s="557"/>
      <c r="RDC73" s="557"/>
      <c r="RDD73" s="557"/>
      <c r="RDE73" s="557"/>
      <c r="RDF73" s="557"/>
      <c r="RDG73" s="661"/>
      <c r="RDH73" s="556"/>
      <c r="RDI73" s="557"/>
      <c r="RDJ73" s="557"/>
      <c r="RDK73" s="557"/>
      <c r="RDL73" s="557"/>
      <c r="RDM73" s="557"/>
      <c r="RDN73" s="557"/>
      <c r="RDO73" s="557"/>
      <c r="RDP73" s="557"/>
      <c r="RDQ73" s="557"/>
      <c r="RDR73" s="557"/>
      <c r="RDS73" s="557"/>
      <c r="RDT73" s="557"/>
      <c r="RDU73" s="557"/>
      <c r="RDV73" s="557"/>
      <c r="RDW73" s="557"/>
      <c r="RDX73" s="557"/>
      <c r="RDY73" s="557"/>
      <c r="RDZ73" s="557"/>
      <c r="REA73" s="661"/>
      <c r="REB73" s="556"/>
      <c r="REC73" s="557"/>
      <c r="RED73" s="557"/>
      <c r="REE73" s="557"/>
      <c r="REF73" s="557"/>
      <c r="REG73" s="557"/>
      <c r="REH73" s="557"/>
      <c r="REI73" s="557"/>
      <c r="REJ73" s="557"/>
      <c r="REK73" s="557"/>
      <c r="REL73" s="557"/>
      <c r="REM73" s="557"/>
      <c r="REN73" s="557"/>
      <c r="REO73" s="557"/>
      <c r="REP73" s="557"/>
      <c r="REQ73" s="557"/>
      <c r="RER73" s="557"/>
      <c r="RES73" s="557"/>
      <c r="RET73" s="557"/>
      <c r="REU73" s="661"/>
      <c r="REV73" s="556"/>
      <c r="REW73" s="557"/>
      <c r="REX73" s="557"/>
      <c r="REY73" s="557"/>
      <c r="REZ73" s="557"/>
      <c r="RFA73" s="557"/>
      <c r="RFB73" s="557"/>
      <c r="RFC73" s="557"/>
      <c r="RFD73" s="557"/>
      <c r="RFE73" s="557"/>
      <c r="RFF73" s="557"/>
      <c r="RFG73" s="557"/>
      <c r="RFH73" s="557"/>
      <c r="RFI73" s="557"/>
      <c r="RFJ73" s="557"/>
      <c r="RFK73" s="557"/>
      <c r="RFL73" s="557"/>
      <c r="RFM73" s="557"/>
      <c r="RFN73" s="557"/>
      <c r="RFO73" s="661"/>
      <c r="RFP73" s="556"/>
      <c r="RFQ73" s="557"/>
      <c r="RFR73" s="557"/>
      <c r="RFS73" s="557"/>
      <c r="RFT73" s="557"/>
      <c r="RFU73" s="557"/>
      <c r="RFV73" s="557"/>
      <c r="RFW73" s="557"/>
      <c r="RFX73" s="557"/>
      <c r="RFY73" s="557"/>
      <c r="RFZ73" s="557"/>
      <c r="RGA73" s="557"/>
      <c r="RGB73" s="557"/>
      <c r="RGC73" s="557"/>
      <c r="RGD73" s="557"/>
      <c r="RGE73" s="557"/>
      <c r="RGF73" s="557"/>
      <c r="RGG73" s="557"/>
      <c r="RGH73" s="557"/>
      <c r="RGI73" s="661"/>
      <c r="RGJ73" s="556"/>
      <c r="RGK73" s="557"/>
      <c r="RGL73" s="557"/>
      <c r="RGM73" s="557"/>
      <c r="RGN73" s="557"/>
      <c r="RGO73" s="557"/>
      <c r="RGP73" s="557"/>
      <c r="RGQ73" s="557"/>
      <c r="RGR73" s="557"/>
      <c r="RGS73" s="557"/>
      <c r="RGT73" s="557"/>
      <c r="RGU73" s="557"/>
      <c r="RGV73" s="557"/>
      <c r="RGW73" s="557"/>
      <c r="RGX73" s="557"/>
      <c r="RGY73" s="557"/>
      <c r="RGZ73" s="557"/>
      <c r="RHA73" s="557"/>
      <c r="RHB73" s="557"/>
      <c r="RHC73" s="661"/>
      <c r="RHD73" s="556"/>
      <c r="RHE73" s="557"/>
      <c r="RHF73" s="557"/>
      <c r="RHG73" s="557"/>
      <c r="RHH73" s="557"/>
      <c r="RHI73" s="557"/>
      <c r="RHJ73" s="557"/>
      <c r="RHK73" s="557"/>
      <c r="RHL73" s="557"/>
      <c r="RHM73" s="557"/>
      <c r="RHN73" s="557"/>
      <c r="RHO73" s="557"/>
      <c r="RHP73" s="557"/>
      <c r="RHQ73" s="557"/>
      <c r="RHR73" s="557"/>
      <c r="RHS73" s="557"/>
      <c r="RHT73" s="557"/>
      <c r="RHU73" s="557"/>
      <c r="RHV73" s="557"/>
      <c r="RHW73" s="661"/>
      <c r="RHX73" s="556"/>
      <c r="RHY73" s="557"/>
      <c r="RHZ73" s="557"/>
      <c r="RIA73" s="557"/>
      <c r="RIB73" s="557"/>
      <c r="RIC73" s="557"/>
      <c r="RID73" s="557"/>
      <c r="RIE73" s="557"/>
      <c r="RIF73" s="557"/>
      <c r="RIG73" s="557"/>
      <c r="RIH73" s="557"/>
      <c r="RII73" s="557"/>
      <c r="RIJ73" s="557"/>
      <c r="RIK73" s="557"/>
      <c r="RIL73" s="557"/>
      <c r="RIM73" s="557"/>
      <c r="RIN73" s="557"/>
      <c r="RIO73" s="557"/>
      <c r="RIP73" s="557"/>
      <c r="RIQ73" s="661"/>
      <c r="RIR73" s="556"/>
      <c r="RIS73" s="557"/>
      <c r="RIT73" s="557"/>
      <c r="RIU73" s="557"/>
      <c r="RIV73" s="557"/>
      <c r="RIW73" s="557"/>
      <c r="RIX73" s="557"/>
      <c r="RIY73" s="557"/>
      <c r="RIZ73" s="557"/>
      <c r="RJA73" s="557"/>
      <c r="RJB73" s="557"/>
      <c r="RJC73" s="557"/>
      <c r="RJD73" s="557"/>
      <c r="RJE73" s="557"/>
      <c r="RJF73" s="557"/>
      <c r="RJG73" s="557"/>
      <c r="RJH73" s="557"/>
      <c r="RJI73" s="557"/>
      <c r="RJJ73" s="557"/>
      <c r="RJK73" s="661"/>
      <c r="RJL73" s="556"/>
      <c r="RJM73" s="557"/>
      <c r="RJN73" s="557"/>
      <c r="RJO73" s="557"/>
      <c r="RJP73" s="557"/>
      <c r="RJQ73" s="557"/>
      <c r="RJR73" s="557"/>
      <c r="RJS73" s="557"/>
      <c r="RJT73" s="557"/>
      <c r="RJU73" s="557"/>
      <c r="RJV73" s="557"/>
      <c r="RJW73" s="557"/>
      <c r="RJX73" s="557"/>
      <c r="RJY73" s="557"/>
      <c r="RJZ73" s="557"/>
      <c r="RKA73" s="557"/>
      <c r="RKB73" s="557"/>
      <c r="RKC73" s="557"/>
      <c r="RKD73" s="557"/>
      <c r="RKE73" s="661"/>
      <c r="RKF73" s="556"/>
      <c r="RKG73" s="557"/>
      <c r="RKH73" s="557"/>
      <c r="RKI73" s="557"/>
      <c r="RKJ73" s="557"/>
      <c r="RKK73" s="557"/>
      <c r="RKL73" s="557"/>
      <c r="RKM73" s="557"/>
      <c r="RKN73" s="557"/>
      <c r="RKO73" s="557"/>
      <c r="RKP73" s="557"/>
      <c r="RKQ73" s="557"/>
      <c r="RKR73" s="557"/>
      <c r="RKS73" s="557"/>
      <c r="RKT73" s="557"/>
      <c r="RKU73" s="557"/>
      <c r="RKV73" s="557"/>
      <c r="RKW73" s="557"/>
      <c r="RKX73" s="557"/>
      <c r="RKY73" s="661"/>
      <c r="RKZ73" s="556"/>
      <c r="RLA73" s="557"/>
      <c r="RLB73" s="557"/>
      <c r="RLC73" s="557"/>
      <c r="RLD73" s="557"/>
      <c r="RLE73" s="557"/>
      <c r="RLF73" s="557"/>
      <c r="RLG73" s="557"/>
      <c r="RLH73" s="557"/>
      <c r="RLI73" s="557"/>
      <c r="RLJ73" s="557"/>
      <c r="RLK73" s="557"/>
      <c r="RLL73" s="557"/>
      <c r="RLM73" s="557"/>
      <c r="RLN73" s="557"/>
      <c r="RLO73" s="557"/>
      <c r="RLP73" s="557"/>
      <c r="RLQ73" s="557"/>
      <c r="RLR73" s="557"/>
      <c r="RLS73" s="661"/>
      <c r="RLT73" s="556"/>
      <c r="RLU73" s="557"/>
      <c r="RLV73" s="557"/>
      <c r="RLW73" s="557"/>
      <c r="RLX73" s="557"/>
      <c r="RLY73" s="557"/>
      <c r="RLZ73" s="557"/>
      <c r="RMA73" s="557"/>
      <c r="RMB73" s="557"/>
      <c r="RMC73" s="557"/>
      <c r="RMD73" s="557"/>
      <c r="RME73" s="557"/>
      <c r="RMF73" s="557"/>
      <c r="RMG73" s="557"/>
      <c r="RMH73" s="557"/>
      <c r="RMI73" s="557"/>
      <c r="RMJ73" s="557"/>
      <c r="RMK73" s="557"/>
      <c r="RML73" s="557"/>
      <c r="RMM73" s="661"/>
      <c r="RMN73" s="556"/>
      <c r="RMO73" s="557"/>
      <c r="RMP73" s="557"/>
      <c r="RMQ73" s="557"/>
      <c r="RMR73" s="557"/>
      <c r="RMS73" s="557"/>
      <c r="RMT73" s="557"/>
      <c r="RMU73" s="557"/>
      <c r="RMV73" s="557"/>
      <c r="RMW73" s="557"/>
      <c r="RMX73" s="557"/>
      <c r="RMY73" s="557"/>
      <c r="RMZ73" s="557"/>
      <c r="RNA73" s="557"/>
      <c r="RNB73" s="557"/>
      <c r="RNC73" s="557"/>
      <c r="RND73" s="557"/>
      <c r="RNE73" s="557"/>
      <c r="RNF73" s="557"/>
      <c r="RNG73" s="661"/>
      <c r="RNH73" s="556"/>
      <c r="RNI73" s="557"/>
      <c r="RNJ73" s="557"/>
      <c r="RNK73" s="557"/>
      <c r="RNL73" s="557"/>
      <c r="RNM73" s="557"/>
      <c r="RNN73" s="557"/>
      <c r="RNO73" s="557"/>
      <c r="RNP73" s="557"/>
      <c r="RNQ73" s="557"/>
      <c r="RNR73" s="557"/>
      <c r="RNS73" s="557"/>
      <c r="RNT73" s="557"/>
      <c r="RNU73" s="557"/>
      <c r="RNV73" s="557"/>
      <c r="RNW73" s="557"/>
      <c r="RNX73" s="557"/>
      <c r="RNY73" s="557"/>
      <c r="RNZ73" s="557"/>
      <c r="ROA73" s="661"/>
      <c r="ROB73" s="556"/>
      <c r="ROC73" s="557"/>
      <c r="ROD73" s="557"/>
      <c r="ROE73" s="557"/>
      <c r="ROF73" s="557"/>
      <c r="ROG73" s="557"/>
      <c r="ROH73" s="557"/>
      <c r="ROI73" s="557"/>
      <c r="ROJ73" s="557"/>
      <c r="ROK73" s="557"/>
      <c r="ROL73" s="557"/>
      <c r="ROM73" s="557"/>
      <c r="RON73" s="557"/>
      <c r="ROO73" s="557"/>
      <c r="ROP73" s="557"/>
      <c r="ROQ73" s="557"/>
      <c r="ROR73" s="557"/>
      <c r="ROS73" s="557"/>
      <c r="ROT73" s="557"/>
      <c r="ROU73" s="661"/>
      <c r="ROV73" s="556"/>
      <c r="ROW73" s="557"/>
      <c r="ROX73" s="557"/>
      <c r="ROY73" s="557"/>
      <c r="ROZ73" s="557"/>
      <c r="RPA73" s="557"/>
      <c r="RPB73" s="557"/>
      <c r="RPC73" s="557"/>
      <c r="RPD73" s="557"/>
      <c r="RPE73" s="557"/>
      <c r="RPF73" s="557"/>
      <c r="RPG73" s="557"/>
      <c r="RPH73" s="557"/>
      <c r="RPI73" s="557"/>
      <c r="RPJ73" s="557"/>
      <c r="RPK73" s="557"/>
      <c r="RPL73" s="557"/>
      <c r="RPM73" s="557"/>
      <c r="RPN73" s="557"/>
      <c r="RPO73" s="661"/>
      <c r="RPP73" s="556"/>
      <c r="RPQ73" s="557"/>
      <c r="RPR73" s="557"/>
      <c r="RPS73" s="557"/>
      <c r="RPT73" s="557"/>
      <c r="RPU73" s="557"/>
      <c r="RPV73" s="557"/>
      <c r="RPW73" s="557"/>
      <c r="RPX73" s="557"/>
      <c r="RPY73" s="557"/>
      <c r="RPZ73" s="557"/>
      <c r="RQA73" s="557"/>
      <c r="RQB73" s="557"/>
      <c r="RQC73" s="557"/>
      <c r="RQD73" s="557"/>
      <c r="RQE73" s="557"/>
      <c r="RQF73" s="557"/>
      <c r="RQG73" s="557"/>
      <c r="RQH73" s="557"/>
      <c r="RQI73" s="661"/>
      <c r="RQJ73" s="556"/>
      <c r="RQK73" s="557"/>
      <c r="RQL73" s="557"/>
      <c r="RQM73" s="557"/>
      <c r="RQN73" s="557"/>
      <c r="RQO73" s="557"/>
      <c r="RQP73" s="557"/>
      <c r="RQQ73" s="557"/>
      <c r="RQR73" s="557"/>
      <c r="RQS73" s="557"/>
      <c r="RQT73" s="557"/>
      <c r="RQU73" s="557"/>
      <c r="RQV73" s="557"/>
      <c r="RQW73" s="557"/>
      <c r="RQX73" s="557"/>
      <c r="RQY73" s="557"/>
      <c r="RQZ73" s="557"/>
      <c r="RRA73" s="557"/>
      <c r="RRB73" s="557"/>
      <c r="RRC73" s="661"/>
      <c r="RRD73" s="556"/>
      <c r="RRE73" s="557"/>
      <c r="RRF73" s="557"/>
      <c r="RRG73" s="557"/>
      <c r="RRH73" s="557"/>
      <c r="RRI73" s="557"/>
      <c r="RRJ73" s="557"/>
      <c r="RRK73" s="557"/>
      <c r="RRL73" s="557"/>
      <c r="RRM73" s="557"/>
      <c r="RRN73" s="557"/>
      <c r="RRO73" s="557"/>
      <c r="RRP73" s="557"/>
      <c r="RRQ73" s="557"/>
      <c r="RRR73" s="557"/>
      <c r="RRS73" s="557"/>
      <c r="RRT73" s="557"/>
      <c r="RRU73" s="557"/>
      <c r="RRV73" s="557"/>
      <c r="RRW73" s="661"/>
      <c r="RRX73" s="556"/>
      <c r="RRY73" s="557"/>
      <c r="RRZ73" s="557"/>
      <c r="RSA73" s="557"/>
      <c r="RSB73" s="557"/>
      <c r="RSC73" s="557"/>
      <c r="RSD73" s="557"/>
      <c r="RSE73" s="557"/>
      <c r="RSF73" s="557"/>
      <c r="RSG73" s="557"/>
      <c r="RSH73" s="557"/>
      <c r="RSI73" s="557"/>
      <c r="RSJ73" s="557"/>
      <c r="RSK73" s="557"/>
      <c r="RSL73" s="557"/>
      <c r="RSM73" s="557"/>
      <c r="RSN73" s="557"/>
      <c r="RSO73" s="557"/>
      <c r="RSP73" s="557"/>
      <c r="RSQ73" s="661"/>
      <c r="RSR73" s="556"/>
      <c r="RSS73" s="557"/>
      <c r="RST73" s="557"/>
      <c r="RSU73" s="557"/>
      <c r="RSV73" s="557"/>
      <c r="RSW73" s="557"/>
      <c r="RSX73" s="557"/>
      <c r="RSY73" s="557"/>
      <c r="RSZ73" s="557"/>
      <c r="RTA73" s="557"/>
      <c r="RTB73" s="557"/>
      <c r="RTC73" s="557"/>
      <c r="RTD73" s="557"/>
      <c r="RTE73" s="557"/>
      <c r="RTF73" s="557"/>
      <c r="RTG73" s="557"/>
      <c r="RTH73" s="557"/>
      <c r="RTI73" s="557"/>
      <c r="RTJ73" s="557"/>
      <c r="RTK73" s="661"/>
      <c r="RTL73" s="556"/>
      <c r="RTM73" s="557"/>
      <c r="RTN73" s="557"/>
      <c r="RTO73" s="557"/>
      <c r="RTP73" s="557"/>
      <c r="RTQ73" s="557"/>
      <c r="RTR73" s="557"/>
      <c r="RTS73" s="557"/>
      <c r="RTT73" s="557"/>
      <c r="RTU73" s="557"/>
      <c r="RTV73" s="557"/>
      <c r="RTW73" s="557"/>
      <c r="RTX73" s="557"/>
      <c r="RTY73" s="557"/>
      <c r="RTZ73" s="557"/>
      <c r="RUA73" s="557"/>
      <c r="RUB73" s="557"/>
      <c r="RUC73" s="557"/>
      <c r="RUD73" s="557"/>
      <c r="RUE73" s="661"/>
      <c r="RUF73" s="556"/>
      <c r="RUG73" s="557"/>
      <c r="RUH73" s="557"/>
      <c r="RUI73" s="557"/>
      <c r="RUJ73" s="557"/>
      <c r="RUK73" s="557"/>
      <c r="RUL73" s="557"/>
      <c r="RUM73" s="557"/>
      <c r="RUN73" s="557"/>
      <c r="RUO73" s="557"/>
      <c r="RUP73" s="557"/>
      <c r="RUQ73" s="557"/>
      <c r="RUR73" s="557"/>
      <c r="RUS73" s="557"/>
      <c r="RUT73" s="557"/>
      <c r="RUU73" s="557"/>
      <c r="RUV73" s="557"/>
      <c r="RUW73" s="557"/>
      <c r="RUX73" s="557"/>
      <c r="RUY73" s="661"/>
      <c r="RUZ73" s="556"/>
      <c r="RVA73" s="557"/>
      <c r="RVB73" s="557"/>
      <c r="RVC73" s="557"/>
      <c r="RVD73" s="557"/>
      <c r="RVE73" s="557"/>
      <c r="RVF73" s="557"/>
      <c r="RVG73" s="557"/>
      <c r="RVH73" s="557"/>
      <c r="RVI73" s="557"/>
      <c r="RVJ73" s="557"/>
      <c r="RVK73" s="557"/>
      <c r="RVL73" s="557"/>
      <c r="RVM73" s="557"/>
      <c r="RVN73" s="557"/>
      <c r="RVO73" s="557"/>
      <c r="RVP73" s="557"/>
      <c r="RVQ73" s="557"/>
      <c r="RVR73" s="557"/>
      <c r="RVS73" s="661"/>
      <c r="RVT73" s="556"/>
      <c r="RVU73" s="557"/>
      <c r="RVV73" s="557"/>
      <c r="RVW73" s="557"/>
      <c r="RVX73" s="557"/>
      <c r="RVY73" s="557"/>
      <c r="RVZ73" s="557"/>
      <c r="RWA73" s="557"/>
      <c r="RWB73" s="557"/>
      <c r="RWC73" s="557"/>
      <c r="RWD73" s="557"/>
      <c r="RWE73" s="557"/>
      <c r="RWF73" s="557"/>
      <c r="RWG73" s="557"/>
      <c r="RWH73" s="557"/>
      <c r="RWI73" s="557"/>
      <c r="RWJ73" s="557"/>
      <c r="RWK73" s="557"/>
      <c r="RWL73" s="557"/>
      <c r="RWM73" s="661"/>
      <c r="RWN73" s="556"/>
      <c r="RWO73" s="557"/>
      <c r="RWP73" s="557"/>
      <c r="RWQ73" s="557"/>
      <c r="RWR73" s="557"/>
      <c r="RWS73" s="557"/>
      <c r="RWT73" s="557"/>
      <c r="RWU73" s="557"/>
      <c r="RWV73" s="557"/>
      <c r="RWW73" s="557"/>
      <c r="RWX73" s="557"/>
      <c r="RWY73" s="557"/>
      <c r="RWZ73" s="557"/>
      <c r="RXA73" s="557"/>
      <c r="RXB73" s="557"/>
      <c r="RXC73" s="557"/>
      <c r="RXD73" s="557"/>
      <c r="RXE73" s="557"/>
      <c r="RXF73" s="557"/>
      <c r="RXG73" s="661"/>
      <c r="RXH73" s="556"/>
      <c r="RXI73" s="557"/>
      <c r="RXJ73" s="557"/>
      <c r="RXK73" s="557"/>
      <c r="RXL73" s="557"/>
      <c r="RXM73" s="557"/>
      <c r="RXN73" s="557"/>
      <c r="RXO73" s="557"/>
      <c r="RXP73" s="557"/>
      <c r="RXQ73" s="557"/>
      <c r="RXR73" s="557"/>
      <c r="RXS73" s="557"/>
      <c r="RXT73" s="557"/>
      <c r="RXU73" s="557"/>
      <c r="RXV73" s="557"/>
      <c r="RXW73" s="557"/>
      <c r="RXX73" s="557"/>
      <c r="RXY73" s="557"/>
      <c r="RXZ73" s="557"/>
      <c r="RYA73" s="661"/>
      <c r="RYB73" s="556"/>
      <c r="RYC73" s="557"/>
      <c r="RYD73" s="557"/>
      <c r="RYE73" s="557"/>
      <c r="RYF73" s="557"/>
      <c r="RYG73" s="557"/>
      <c r="RYH73" s="557"/>
      <c r="RYI73" s="557"/>
      <c r="RYJ73" s="557"/>
      <c r="RYK73" s="557"/>
      <c r="RYL73" s="557"/>
      <c r="RYM73" s="557"/>
      <c r="RYN73" s="557"/>
      <c r="RYO73" s="557"/>
      <c r="RYP73" s="557"/>
      <c r="RYQ73" s="557"/>
      <c r="RYR73" s="557"/>
      <c r="RYS73" s="557"/>
      <c r="RYT73" s="557"/>
      <c r="RYU73" s="661"/>
      <c r="RYV73" s="556"/>
      <c r="RYW73" s="557"/>
      <c r="RYX73" s="557"/>
      <c r="RYY73" s="557"/>
      <c r="RYZ73" s="557"/>
      <c r="RZA73" s="557"/>
      <c r="RZB73" s="557"/>
      <c r="RZC73" s="557"/>
      <c r="RZD73" s="557"/>
      <c r="RZE73" s="557"/>
      <c r="RZF73" s="557"/>
      <c r="RZG73" s="557"/>
      <c r="RZH73" s="557"/>
      <c r="RZI73" s="557"/>
      <c r="RZJ73" s="557"/>
      <c r="RZK73" s="557"/>
      <c r="RZL73" s="557"/>
      <c r="RZM73" s="557"/>
      <c r="RZN73" s="557"/>
      <c r="RZO73" s="661"/>
      <c r="RZP73" s="556"/>
      <c r="RZQ73" s="557"/>
      <c r="RZR73" s="557"/>
      <c r="RZS73" s="557"/>
      <c r="RZT73" s="557"/>
      <c r="RZU73" s="557"/>
      <c r="RZV73" s="557"/>
      <c r="RZW73" s="557"/>
      <c r="RZX73" s="557"/>
      <c r="RZY73" s="557"/>
      <c r="RZZ73" s="557"/>
      <c r="SAA73" s="557"/>
      <c r="SAB73" s="557"/>
      <c r="SAC73" s="557"/>
      <c r="SAD73" s="557"/>
      <c r="SAE73" s="557"/>
      <c r="SAF73" s="557"/>
      <c r="SAG73" s="557"/>
      <c r="SAH73" s="557"/>
      <c r="SAI73" s="661"/>
      <c r="SAJ73" s="556"/>
      <c r="SAK73" s="557"/>
      <c r="SAL73" s="557"/>
      <c r="SAM73" s="557"/>
      <c r="SAN73" s="557"/>
      <c r="SAO73" s="557"/>
      <c r="SAP73" s="557"/>
      <c r="SAQ73" s="557"/>
      <c r="SAR73" s="557"/>
      <c r="SAS73" s="557"/>
      <c r="SAT73" s="557"/>
      <c r="SAU73" s="557"/>
      <c r="SAV73" s="557"/>
      <c r="SAW73" s="557"/>
      <c r="SAX73" s="557"/>
      <c r="SAY73" s="557"/>
      <c r="SAZ73" s="557"/>
      <c r="SBA73" s="557"/>
      <c r="SBB73" s="557"/>
      <c r="SBC73" s="661"/>
      <c r="SBD73" s="556"/>
      <c r="SBE73" s="557"/>
      <c r="SBF73" s="557"/>
      <c r="SBG73" s="557"/>
      <c r="SBH73" s="557"/>
      <c r="SBI73" s="557"/>
      <c r="SBJ73" s="557"/>
      <c r="SBK73" s="557"/>
      <c r="SBL73" s="557"/>
      <c r="SBM73" s="557"/>
      <c r="SBN73" s="557"/>
      <c r="SBO73" s="557"/>
      <c r="SBP73" s="557"/>
      <c r="SBQ73" s="557"/>
      <c r="SBR73" s="557"/>
      <c r="SBS73" s="557"/>
      <c r="SBT73" s="557"/>
      <c r="SBU73" s="557"/>
      <c r="SBV73" s="557"/>
      <c r="SBW73" s="661"/>
      <c r="SBX73" s="556"/>
      <c r="SBY73" s="557"/>
      <c r="SBZ73" s="557"/>
      <c r="SCA73" s="557"/>
      <c r="SCB73" s="557"/>
      <c r="SCC73" s="557"/>
      <c r="SCD73" s="557"/>
      <c r="SCE73" s="557"/>
      <c r="SCF73" s="557"/>
      <c r="SCG73" s="557"/>
      <c r="SCH73" s="557"/>
      <c r="SCI73" s="557"/>
      <c r="SCJ73" s="557"/>
      <c r="SCK73" s="557"/>
      <c r="SCL73" s="557"/>
      <c r="SCM73" s="557"/>
      <c r="SCN73" s="557"/>
      <c r="SCO73" s="557"/>
      <c r="SCP73" s="557"/>
      <c r="SCQ73" s="661"/>
      <c r="SCR73" s="556"/>
      <c r="SCS73" s="557"/>
      <c r="SCT73" s="557"/>
      <c r="SCU73" s="557"/>
      <c r="SCV73" s="557"/>
      <c r="SCW73" s="557"/>
      <c r="SCX73" s="557"/>
      <c r="SCY73" s="557"/>
      <c r="SCZ73" s="557"/>
      <c r="SDA73" s="557"/>
      <c r="SDB73" s="557"/>
      <c r="SDC73" s="557"/>
      <c r="SDD73" s="557"/>
      <c r="SDE73" s="557"/>
      <c r="SDF73" s="557"/>
      <c r="SDG73" s="557"/>
      <c r="SDH73" s="557"/>
      <c r="SDI73" s="557"/>
      <c r="SDJ73" s="557"/>
      <c r="SDK73" s="661"/>
      <c r="SDL73" s="556"/>
      <c r="SDM73" s="557"/>
      <c r="SDN73" s="557"/>
      <c r="SDO73" s="557"/>
      <c r="SDP73" s="557"/>
      <c r="SDQ73" s="557"/>
      <c r="SDR73" s="557"/>
      <c r="SDS73" s="557"/>
      <c r="SDT73" s="557"/>
      <c r="SDU73" s="557"/>
      <c r="SDV73" s="557"/>
      <c r="SDW73" s="557"/>
      <c r="SDX73" s="557"/>
      <c r="SDY73" s="557"/>
      <c r="SDZ73" s="557"/>
      <c r="SEA73" s="557"/>
      <c r="SEB73" s="557"/>
      <c r="SEC73" s="557"/>
      <c r="SED73" s="557"/>
      <c r="SEE73" s="661"/>
      <c r="SEF73" s="556"/>
      <c r="SEG73" s="557"/>
      <c r="SEH73" s="557"/>
      <c r="SEI73" s="557"/>
      <c r="SEJ73" s="557"/>
      <c r="SEK73" s="557"/>
      <c r="SEL73" s="557"/>
      <c r="SEM73" s="557"/>
      <c r="SEN73" s="557"/>
      <c r="SEO73" s="557"/>
      <c r="SEP73" s="557"/>
      <c r="SEQ73" s="557"/>
      <c r="SER73" s="557"/>
      <c r="SES73" s="557"/>
      <c r="SET73" s="557"/>
      <c r="SEU73" s="557"/>
      <c r="SEV73" s="557"/>
      <c r="SEW73" s="557"/>
      <c r="SEX73" s="557"/>
      <c r="SEY73" s="661"/>
      <c r="SEZ73" s="556"/>
      <c r="SFA73" s="557"/>
      <c r="SFB73" s="557"/>
      <c r="SFC73" s="557"/>
      <c r="SFD73" s="557"/>
      <c r="SFE73" s="557"/>
      <c r="SFF73" s="557"/>
      <c r="SFG73" s="557"/>
      <c r="SFH73" s="557"/>
      <c r="SFI73" s="557"/>
      <c r="SFJ73" s="557"/>
      <c r="SFK73" s="557"/>
      <c r="SFL73" s="557"/>
      <c r="SFM73" s="557"/>
      <c r="SFN73" s="557"/>
      <c r="SFO73" s="557"/>
      <c r="SFP73" s="557"/>
      <c r="SFQ73" s="557"/>
      <c r="SFR73" s="557"/>
      <c r="SFS73" s="661"/>
      <c r="SFT73" s="556"/>
      <c r="SFU73" s="557"/>
      <c r="SFV73" s="557"/>
      <c r="SFW73" s="557"/>
      <c r="SFX73" s="557"/>
      <c r="SFY73" s="557"/>
      <c r="SFZ73" s="557"/>
      <c r="SGA73" s="557"/>
      <c r="SGB73" s="557"/>
      <c r="SGC73" s="557"/>
      <c r="SGD73" s="557"/>
      <c r="SGE73" s="557"/>
      <c r="SGF73" s="557"/>
      <c r="SGG73" s="557"/>
      <c r="SGH73" s="557"/>
      <c r="SGI73" s="557"/>
      <c r="SGJ73" s="557"/>
      <c r="SGK73" s="557"/>
      <c r="SGL73" s="557"/>
      <c r="SGM73" s="661"/>
      <c r="SGN73" s="556"/>
      <c r="SGO73" s="557"/>
      <c r="SGP73" s="557"/>
      <c r="SGQ73" s="557"/>
      <c r="SGR73" s="557"/>
      <c r="SGS73" s="557"/>
      <c r="SGT73" s="557"/>
      <c r="SGU73" s="557"/>
      <c r="SGV73" s="557"/>
      <c r="SGW73" s="557"/>
      <c r="SGX73" s="557"/>
      <c r="SGY73" s="557"/>
      <c r="SGZ73" s="557"/>
      <c r="SHA73" s="557"/>
      <c r="SHB73" s="557"/>
      <c r="SHC73" s="557"/>
      <c r="SHD73" s="557"/>
      <c r="SHE73" s="557"/>
      <c r="SHF73" s="557"/>
      <c r="SHG73" s="661"/>
      <c r="SHH73" s="556"/>
      <c r="SHI73" s="557"/>
      <c r="SHJ73" s="557"/>
      <c r="SHK73" s="557"/>
      <c r="SHL73" s="557"/>
      <c r="SHM73" s="557"/>
      <c r="SHN73" s="557"/>
      <c r="SHO73" s="557"/>
      <c r="SHP73" s="557"/>
      <c r="SHQ73" s="557"/>
      <c r="SHR73" s="557"/>
      <c r="SHS73" s="557"/>
      <c r="SHT73" s="557"/>
      <c r="SHU73" s="557"/>
      <c r="SHV73" s="557"/>
      <c r="SHW73" s="557"/>
      <c r="SHX73" s="557"/>
      <c r="SHY73" s="557"/>
      <c r="SHZ73" s="557"/>
      <c r="SIA73" s="661"/>
      <c r="SIB73" s="556"/>
      <c r="SIC73" s="557"/>
      <c r="SID73" s="557"/>
      <c r="SIE73" s="557"/>
      <c r="SIF73" s="557"/>
      <c r="SIG73" s="557"/>
      <c r="SIH73" s="557"/>
      <c r="SII73" s="557"/>
      <c r="SIJ73" s="557"/>
      <c r="SIK73" s="557"/>
      <c r="SIL73" s="557"/>
      <c r="SIM73" s="557"/>
      <c r="SIN73" s="557"/>
      <c r="SIO73" s="557"/>
      <c r="SIP73" s="557"/>
      <c r="SIQ73" s="557"/>
      <c r="SIR73" s="557"/>
      <c r="SIS73" s="557"/>
      <c r="SIT73" s="557"/>
      <c r="SIU73" s="661"/>
      <c r="SIV73" s="556"/>
      <c r="SIW73" s="557"/>
      <c r="SIX73" s="557"/>
      <c r="SIY73" s="557"/>
      <c r="SIZ73" s="557"/>
      <c r="SJA73" s="557"/>
      <c r="SJB73" s="557"/>
      <c r="SJC73" s="557"/>
      <c r="SJD73" s="557"/>
      <c r="SJE73" s="557"/>
      <c r="SJF73" s="557"/>
      <c r="SJG73" s="557"/>
      <c r="SJH73" s="557"/>
      <c r="SJI73" s="557"/>
      <c r="SJJ73" s="557"/>
      <c r="SJK73" s="557"/>
      <c r="SJL73" s="557"/>
      <c r="SJM73" s="557"/>
      <c r="SJN73" s="557"/>
      <c r="SJO73" s="661"/>
      <c r="SJP73" s="556"/>
      <c r="SJQ73" s="557"/>
      <c r="SJR73" s="557"/>
      <c r="SJS73" s="557"/>
      <c r="SJT73" s="557"/>
      <c r="SJU73" s="557"/>
      <c r="SJV73" s="557"/>
      <c r="SJW73" s="557"/>
      <c r="SJX73" s="557"/>
      <c r="SJY73" s="557"/>
      <c r="SJZ73" s="557"/>
      <c r="SKA73" s="557"/>
      <c r="SKB73" s="557"/>
      <c r="SKC73" s="557"/>
      <c r="SKD73" s="557"/>
      <c r="SKE73" s="557"/>
      <c r="SKF73" s="557"/>
      <c r="SKG73" s="557"/>
      <c r="SKH73" s="557"/>
      <c r="SKI73" s="661"/>
      <c r="SKJ73" s="556"/>
      <c r="SKK73" s="557"/>
      <c r="SKL73" s="557"/>
      <c r="SKM73" s="557"/>
      <c r="SKN73" s="557"/>
      <c r="SKO73" s="557"/>
      <c r="SKP73" s="557"/>
      <c r="SKQ73" s="557"/>
      <c r="SKR73" s="557"/>
      <c r="SKS73" s="557"/>
      <c r="SKT73" s="557"/>
      <c r="SKU73" s="557"/>
      <c r="SKV73" s="557"/>
      <c r="SKW73" s="557"/>
      <c r="SKX73" s="557"/>
      <c r="SKY73" s="557"/>
      <c r="SKZ73" s="557"/>
      <c r="SLA73" s="557"/>
      <c r="SLB73" s="557"/>
      <c r="SLC73" s="661"/>
      <c r="SLD73" s="556"/>
      <c r="SLE73" s="557"/>
      <c r="SLF73" s="557"/>
      <c r="SLG73" s="557"/>
      <c r="SLH73" s="557"/>
      <c r="SLI73" s="557"/>
      <c r="SLJ73" s="557"/>
      <c r="SLK73" s="557"/>
      <c r="SLL73" s="557"/>
      <c r="SLM73" s="557"/>
      <c r="SLN73" s="557"/>
      <c r="SLO73" s="557"/>
      <c r="SLP73" s="557"/>
      <c r="SLQ73" s="557"/>
      <c r="SLR73" s="557"/>
      <c r="SLS73" s="557"/>
      <c r="SLT73" s="557"/>
      <c r="SLU73" s="557"/>
      <c r="SLV73" s="557"/>
      <c r="SLW73" s="661"/>
      <c r="SLX73" s="556"/>
      <c r="SLY73" s="557"/>
      <c r="SLZ73" s="557"/>
      <c r="SMA73" s="557"/>
      <c r="SMB73" s="557"/>
      <c r="SMC73" s="557"/>
      <c r="SMD73" s="557"/>
      <c r="SME73" s="557"/>
      <c r="SMF73" s="557"/>
      <c r="SMG73" s="557"/>
      <c r="SMH73" s="557"/>
      <c r="SMI73" s="557"/>
      <c r="SMJ73" s="557"/>
      <c r="SMK73" s="557"/>
      <c r="SML73" s="557"/>
      <c r="SMM73" s="557"/>
      <c r="SMN73" s="557"/>
      <c r="SMO73" s="557"/>
      <c r="SMP73" s="557"/>
      <c r="SMQ73" s="661"/>
      <c r="SMR73" s="556"/>
      <c r="SMS73" s="557"/>
      <c r="SMT73" s="557"/>
      <c r="SMU73" s="557"/>
      <c r="SMV73" s="557"/>
      <c r="SMW73" s="557"/>
      <c r="SMX73" s="557"/>
      <c r="SMY73" s="557"/>
      <c r="SMZ73" s="557"/>
      <c r="SNA73" s="557"/>
      <c r="SNB73" s="557"/>
      <c r="SNC73" s="557"/>
      <c r="SND73" s="557"/>
      <c r="SNE73" s="557"/>
      <c r="SNF73" s="557"/>
      <c r="SNG73" s="557"/>
      <c r="SNH73" s="557"/>
      <c r="SNI73" s="557"/>
      <c r="SNJ73" s="557"/>
      <c r="SNK73" s="661"/>
      <c r="SNL73" s="556"/>
      <c r="SNM73" s="557"/>
      <c r="SNN73" s="557"/>
      <c r="SNO73" s="557"/>
      <c r="SNP73" s="557"/>
      <c r="SNQ73" s="557"/>
      <c r="SNR73" s="557"/>
      <c r="SNS73" s="557"/>
      <c r="SNT73" s="557"/>
      <c r="SNU73" s="557"/>
      <c r="SNV73" s="557"/>
      <c r="SNW73" s="557"/>
      <c r="SNX73" s="557"/>
      <c r="SNY73" s="557"/>
      <c r="SNZ73" s="557"/>
      <c r="SOA73" s="557"/>
      <c r="SOB73" s="557"/>
      <c r="SOC73" s="557"/>
      <c r="SOD73" s="557"/>
      <c r="SOE73" s="661"/>
      <c r="SOF73" s="556"/>
      <c r="SOG73" s="557"/>
      <c r="SOH73" s="557"/>
      <c r="SOI73" s="557"/>
      <c r="SOJ73" s="557"/>
      <c r="SOK73" s="557"/>
      <c r="SOL73" s="557"/>
      <c r="SOM73" s="557"/>
      <c r="SON73" s="557"/>
      <c r="SOO73" s="557"/>
      <c r="SOP73" s="557"/>
      <c r="SOQ73" s="557"/>
      <c r="SOR73" s="557"/>
      <c r="SOS73" s="557"/>
      <c r="SOT73" s="557"/>
      <c r="SOU73" s="557"/>
      <c r="SOV73" s="557"/>
      <c r="SOW73" s="557"/>
      <c r="SOX73" s="557"/>
      <c r="SOY73" s="661"/>
      <c r="SOZ73" s="556"/>
      <c r="SPA73" s="557"/>
      <c r="SPB73" s="557"/>
      <c r="SPC73" s="557"/>
      <c r="SPD73" s="557"/>
      <c r="SPE73" s="557"/>
      <c r="SPF73" s="557"/>
      <c r="SPG73" s="557"/>
      <c r="SPH73" s="557"/>
      <c r="SPI73" s="557"/>
      <c r="SPJ73" s="557"/>
      <c r="SPK73" s="557"/>
      <c r="SPL73" s="557"/>
      <c r="SPM73" s="557"/>
      <c r="SPN73" s="557"/>
      <c r="SPO73" s="557"/>
      <c r="SPP73" s="557"/>
      <c r="SPQ73" s="557"/>
      <c r="SPR73" s="557"/>
      <c r="SPS73" s="661"/>
      <c r="SPT73" s="556"/>
      <c r="SPU73" s="557"/>
      <c r="SPV73" s="557"/>
      <c r="SPW73" s="557"/>
      <c r="SPX73" s="557"/>
      <c r="SPY73" s="557"/>
      <c r="SPZ73" s="557"/>
      <c r="SQA73" s="557"/>
      <c r="SQB73" s="557"/>
      <c r="SQC73" s="557"/>
      <c r="SQD73" s="557"/>
      <c r="SQE73" s="557"/>
      <c r="SQF73" s="557"/>
      <c r="SQG73" s="557"/>
      <c r="SQH73" s="557"/>
      <c r="SQI73" s="557"/>
      <c r="SQJ73" s="557"/>
      <c r="SQK73" s="557"/>
      <c r="SQL73" s="557"/>
      <c r="SQM73" s="661"/>
      <c r="SQN73" s="556"/>
      <c r="SQO73" s="557"/>
      <c r="SQP73" s="557"/>
      <c r="SQQ73" s="557"/>
      <c r="SQR73" s="557"/>
      <c r="SQS73" s="557"/>
      <c r="SQT73" s="557"/>
      <c r="SQU73" s="557"/>
      <c r="SQV73" s="557"/>
      <c r="SQW73" s="557"/>
      <c r="SQX73" s="557"/>
      <c r="SQY73" s="557"/>
      <c r="SQZ73" s="557"/>
      <c r="SRA73" s="557"/>
      <c r="SRB73" s="557"/>
      <c r="SRC73" s="557"/>
      <c r="SRD73" s="557"/>
      <c r="SRE73" s="557"/>
      <c r="SRF73" s="557"/>
      <c r="SRG73" s="661"/>
      <c r="SRH73" s="556"/>
      <c r="SRI73" s="557"/>
      <c r="SRJ73" s="557"/>
      <c r="SRK73" s="557"/>
      <c r="SRL73" s="557"/>
      <c r="SRM73" s="557"/>
      <c r="SRN73" s="557"/>
      <c r="SRO73" s="557"/>
      <c r="SRP73" s="557"/>
      <c r="SRQ73" s="557"/>
      <c r="SRR73" s="557"/>
      <c r="SRS73" s="557"/>
      <c r="SRT73" s="557"/>
      <c r="SRU73" s="557"/>
      <c r="SRV73" s="557"/>
      <c r="SRW73" s="557"/>
      <c r="SRX73" s="557"/>
      <c r="SRY73" s="557"/>
      <c r="SRZ73" s="557"/>
      <c r="SSA73" s="661"/>
      <c r="SSB73" s="556"/>
      <c r="SSC73" s="557"/>
      <c r="SSD73" s="557"/>
      <c r="SSE73" s="557"/>
      <c r="SSF73" s="557"/>
      <c r="SSG73" s="557"/>
      <c r="SSH73" s="557"/>
      <c r="SSI73" s="557"/>
      <c r="SSJ73" s="557"/>
      <c r="SSK73" s="557"/>
      <c r="SSL73" s="557"/>
      <c r="SSM73" s="557"/>
      <c r="SSN73" s="557"/>
      <c r="SSO73" s="557"/>
      <c r="SSP73" s="557"/>
      <c r="SSQ73" s="557"/>
      <c r="SSR73" s="557"/>
      <c r="SSS73" s="557"/>
      <c r="SST73" s="557"/>
      <c r="SSU73" s="661"/>
      <c r="SSV73" s="556"/>
      <c r="SSW73" s="557"/>
      <c r="SSX73" s="557"/>
      <c r="SSY73" s="557"/>
      <c r="SSZ73" s="557"/>
      <c r="STA73" s="557"/>
      <c r="STB73" s="557"/>
      <c r="STC73" s="557"/>
      <c r="STD73" s="557"/>
      <c r="STE73" s="557"/>
      <c r="STF73" s="557"/>
      <c r="STG73" s="557"/>
      <c r="STH73" s="557"/>
      <c r="STI73" s="557"/>
      <c r="STJ73" s="557"/>
      <c r="STK73" s="557"/>
      <c r="STL73" s="557"/>
      <c r="STM73" s="557"/>
      <c r="STN73" s="557"/>
      <c r="STO73" s="661"/>
      <c r="STP73" s="556"/>
      <c r="STQ73" s="557"/>
      <c r="STR73" s="557"/>
      <c r="STS73" s="557"/>
      <c r="STT73" s="557"/>
      <c r="STU73" s="557"/>
      <c r="STV73" s="557"/>
      <c r="STW73" s="557"/>
      <c r="STX73" s="557"/>
      <c r="STY73" s="557"/>
      <c r="STZ73" s="557"/>
      <c r="SUA73" s="557"/>
      <c r="SUB73" s="557"/>
      <c r="SUC73" s="557"/>
      <c r="SUD73" s="557"/>
      <c r="SUE73" s="557"/>
      <c r="SUF73" s="557"/>
      <c r="SUG73" s="557"/>
      <c r="SUH73" s="557"/>
      <c r="SUI73" s="661"/>
      <c r="SUJ73" s="556"/>
      <c r="SUK73" s="557"/>
      <c r="SUL73" s="557"/>
      <c r="SUM73" s="557"/>
      <c r="SUN73" s="557"/>
      <c r="SUO73" s="557"/>
      <c r="SUP73" s="557"/>
      <c r="SUQ73" s="557"/>
      <c r="SUR73" s="557"/>
      <c r="SUS73" s="557"/>
      <c r="SUT73" s="557"/>
      <c r="SUU73" s="557"/>
      <c r="SUV73" s="557"/>
      <c r="SUW73" s="557"/>
      <c r="SUX73" s="557"/>
      <c r="SUY73" s="557"/>
      <c r="SUZ73" s="557"/>
      <c r="SVA73" s="557"/>
      <c r="SVB73" s="557"/>
      <c r="SVC73" s="661"/>
      <c r="SVD73" s="556"/>
      <c r="SVE73" s="557"/>
      <c r="SVF73" s="557"/>
      <c r="SVG73" s="557"/>
      <c r="SVH73" s="557"/>
      <c r="SVI73" s="557"/>
      <c r="SVJ73" s="557"/>
      <c r="SVK73" s="557"/>
      <c r="SVL73" s="557"/>
      <c r="SVM73" s="557"/>
      <c r="SVN73" s="557"/>
      <c r="SVO73" s="557"/>
      <c r="SVP73" s="557"/>
      <c r="SVQ73" s="557"/>
      <c r="SVR73" s="557"/>
      <c r="SVS73" s="557"/>
      <c r="SVT73" s="557"/>
      <c r="SVU73" s="557"/>
      <c r="SVV73" s="557"/>
      <c r="SVW73" s="661"/>
      <c r="SVX73" s="556"/>
      <c r="SVY73" s="557"/>
      <c r="SVZ73" s="557"/>
      <c r="SWA73" s="557"/>
      <c r="SWB73" s="557"/>
      <c r="SWC73" s="557"/>
      <c r="SWD73" s="557"/>
      <c r="SWE73" s="557"/>
      <c r="SWF73" s="557"/>
      <c r="SWG73" s="557"/>
      <c r="SWH73" s="557"/>
      <c r="SWI73" s="557"/>
      <c r="SWJ73" s="557"/>
      <c r="SWK73" s="557"/>
      <c r="SWL73" s="557"/>
      <c r="SWM73" s="557"/>
      <c r="SWN73" s="557"/>
      <c r="SWO73" s="557"/>
      <c r="SWP73" s="557"/>
      <c r="SWQ73" s="661"/>
      <c r="SWR73" s="556"/>
      <c r="SWS73" s="557"/>
      <c r="SWT73" s="557"/>
      <c r="SWU73" s="557"/>
      <c r="SWV73" s="557"/>
      <c r="SWW73" s="557"/>
      <c r="SWX73" s="557"/>
      <c r="SWY73" s="557"/>
      <c r="SWZ73" s="557"/>
      <c r="SXA73" s="557"/>
      <c r="SXB73" s="557"/>
      <c r="SXC73" s="557"/>
      <c r="SXD73" s="557"/>
      <c r="SXE73" s="557"/>
      <c r="SXF73" s="557"/>
      <c r="SXG73" s="557"/>
      <c r="SXH73" s="557"/>
      <c r="SXI73" s="557"/>
      <c r="SXJ73" s="557"/>
      <c r="SXK73" s="661"/>
      <c r="SXL73" s="556"/>
      <c r="SXM73" s="557"/>
      <c r="SXN73" s="557"/>
      <c r="SXO73" s="557"/>
      <c r="SXP73" s="557"/>
      <c r="SXQ73" s="557"/>
      <c r="SXR73" s="557"/>
      <c r="SXS73" s="557"/>
      <c r="SXT73" s="557"/>
      <c r="SXU73" s="557"/>
      <c r="SXV73" s="557"/>
      <c r="SXW73" s="557"/>
      <c r="SXX73" s="557"/>
      <c r="SXY73" s="557"/>
      <c r="SXZ73" s="557"/>
      <c r="SYA73" s="557"/>
      <c r="SYB73" s="557"/>
      <c r="SYC73" s="557"/>
      <c r="SYD73" s="557"/>
      <c r="SYE73" s="661"/>
      <c r="SYF73" s="556"/>
      <c r="SYG73" s="557"/>
      <c r="SYH73" s="557"/>
      <c r="SYI73" s="557"/>
      <c r="SYJ73" s="557"/>
      <c r="SYK73" s="557"/>
      <c r="SYL73" s="557"/>
      <c r="SYM73" s="557"/>
      <c r="SYN73" s="557"/>
      <c r="SYO73" s="557"/>
      <c r="SYP73" s="557"/>
      <c r="SYQ73" s="557"/>
      <c r="SYR73" s="557"/>
      <c r="SYS73" s="557"/>
      <c r="SYT73" s="557"/>
      <c r="SYU73" s="557"/>
      <c r="SYV73" s="557"/>
      <c r="SYW73" s="557"/>
      <c r="SYX73" s="557"/>
      <c r="SYY73" s="661"/>
      <c r="SYZ73" s="556"/>
      <c r="SZA73" s="557"/>
      <c r="SZB73" s="557"/>
      <c r="SZC73" s="557"/>
      <c r="SZD73" s="557"/>
      <c r="SZE73" s="557"/>
      <c r="SZF73" s="557"/>
      <c r="SZG73" s="557"/>
      <c r="SZH73" s="557"/>
      <c r="SZI73" s="557"/>
      <c r="SZJ73" s="557"/>
      <c r="SZK73" s="557"/>
      <c r="SZL73" s="557"/>
      <c r="SZM73" s="557"/>
      <c r="SZN73" s="557"/>
      <c r="SZO73" s="557"/>
      <c r="SZP73" s="557"/>
      <c r="SZQ73" s="557"/>
      <c r="SZR73" s="557"/>
      <c r="SZS73" s="661"/>
      <c r="SZT73" s="556"/>
      <c r="SZU73" s="557"/>
      <c r="SZV73" s="557"/>
      <c r="SZW73" s="557"/>
      <c r="SZX73" s="557"/>
      <c r="SZY73" s="557"/>
      <c r="SZZ73" s="557"/>
      <c r="TAA73" s="557"/>
      <c r="TAB73" s="557"/>
      <c r="TAC73" s="557"/>
      <c r="TAD73" s="557"/>
      <c r="TAE73" s="557"/>
      <c r="TAF73" s="557"/>
      <c r="TAG73" s="557"/>
      <c r="TAH73" s="557"/>
      <c r="TAI73" s="557"/>
      <c r="TAJ73" s="557"/>
      <c r="TAK73" s="557"/>
      <c r="TAL73" s="557"/>
      <c r="TAM73" s="661"/>
      <c r="TAN73" s="556"/>
      <c r="TAO73" s="557"/>
      <c r="TAP73" s="557"/>
      <c r="TAQ73" s="557"/>
      <c r="TAR73" s="557"/>
      <c r="TAS73" s="557"/>
      <c r="TAT73" s="557"/>
      <c r="TAU73" s="557"/>
      <c r="TAV73" s="557"/>
      <c r="TAW73" s="557"/>
      <c r="TAX73" s="557"/>
      <c r="TAY73" s="557"/>
      <c r="TAZ73" s="557"/>
      <c r="TBA73" s="557"/>
      <c r="TBB73" s="557"/>
      <c r="TBC73" s="557"/>
      <c r="TBD73" s="557"/>
      <c r="TBE73" s="557"/>
      <c r="TBF73" s="557"/>
      <c r="TBG73" s="661"/>
      <c r="TBH73" s="556"/>
      <c r="TBI73" s="557"/>
      <c r="TBJ73" s="557"/>
      <c r="TBK73" s="557"/>
      <c r="TBL73" s="557"/>
      <c r="TBM73" s="557"/>
      <c r="TBN73" s="557"/>
      <c r="TBO73" s="557"/>
      <c r="TBP73" s="557"/>
      <c r="TBQ73" s="557"/>
      <c r="TBR73" s="557"/>
      <c r="TBS73" s="557"/>
      <c r="TBT73" s="557"/>
      <c r="TBU73" s="557"/>
      <c r="TBV73" s="557"/>
      <c r="TBW73" s="557"/>
      <c r="TBX73" s="557"/>
      <c r="TBY73" s="557"/>
      <c r="TBZ73" s="557"/>
      <c r="TCA73" s="661"/>
      <c r="TCB73" s="556"/>
      <c r="TCC73" s="557"/>
      <c r="TCD73" s="557"/>
      <c r="TCE73" s="557"/>
      <c r="TCF73" s="557"/>
      <c r="TCG73" s="557"/>
      <c r="TCH73" s="557"/>
      <c r="TCI73" s="557"/>
      <c r="TCJ73" s="557"/>
      <c r="TCK73" s="557"/>
      <c r="TCL73" s="557"/>
      <c r="TCM73" s="557"/>
      <c r="TCN73" s="557"/>
      <c r="TCO73" s="557"/>
      <c r="TCP73" s="557"/>
      <c r="TCQ73" s="557"/>
      <c r="TCR73" s="557"/>
      <c r="TCS73" s="557"/>
      <c r="TCT73" s="557"/>
      <c r="TCU73" s="661"/>
      <c r="TCV73" s="556"/>
      <c r="TCW73" s="557"/>
      <c r="TCX73" s="557"/>
      <c r="TCY73" s="557"/>
      <c r="TCZ73" s="557"/>
      <c r="TDA73" s="557"/>
      <c r="TDB73" s="557"/>
      <c r="TDC73" s="557"/>
      <c r="TDD73" s="557"/>
      <c r="TDE73" s="557"/>
      <c r="TDF73" s="557"/>
      <c r="TDG73" s="557"/>
      <c r="TDH73" s="557"/>
      <c r="TDI73" s="557"/>
      <c r="TDJ73" s="557"/>
      <c r="TDK73" s="557"/>
      <c r="TDL73" s="557"/>
      <c r="TDM73" s="557"/>
      <c r="TDN73" s="557"/>
      <c r="TDO73" s="661"/>
      <c r="TDP73" s="556"/>
      <c r="TDQ73" s="557"/>
      <c r="TDR73" s="557"/>
      <c r="TDS73" s="557"/>
      <c r="TDT73" s="557"/>
      <c r="TDU73" s="557"/>
      <c r="TDV73" s="557"/>
      <c r="TDW73" s="557"/>
      <c r="TDX73" s="557"/>
      <c r="TDY73" s="557"/>
      <c r="TDZ73" s="557"/>
      <c r="TEA73" s="557"/>
      <c r="TEB73" s="557"/>
      <c r="TEC73" s="557"/>
      <c r="TED73" s="557"/>
      <c r="TEE73" s="557"/>
      <c r="TEF73" s="557"/>
      <c r="TEG73" s="557"/>
      <c r="TEH73" s="557"/>
      <c r="TEI73" s="661"/>
      <c r="TEJ73" s="556"/>
      <c r="TEK73" s="557"/>
      <c r="TEL73" s="557"/>
      <c r="TEM73" s="557"/>
      <c r="TEN73" s="557"/>
      <c r="TEO73" s="557"/>
      <c r="TEP73" s="557"/>
      <c r="TEQ73" s="557"/>
      <c r="TER73" s="557"/>
      <c r="TES73" s="557"/>
      <c r="TET73" s="557"/>
      <c r="TEU73" s="557"/>
      <c r="TEV73" s="557"/>
      <c r="TEW73" s="557"/>
      <c r="TEX73" s="557"/>
      <c r="TEY73" s="557"/>
      <c r="TEZ73" s="557"/>
      <c r="TFA73" s="557"/>
      <c r="TFB73" s="557"/>
      <c r="TFC73" s="661"/>
      <c r="TFD73" s="556"/>
      <c r="TFE73" s="557"/>
      <c r="TFF73" s="557"/>
      <c r="TFG73" s="557"/>
      <c r="TFH73" s="557"/>
      <c r="TFI73" s="557"/>
      <c r="TFJ73" s="557"/>
      <c r="TFK73" s="557"/>
      <c r="TFL73" s="557"/>
      <c r="TFM73" s="557"/>
      <c r="TFN73" s="557"/>
      <c r="TFO73" s="557"/>
      <c r="TFP73" s="557"/>
      <c r="TFQ73" s="557"/>
      <c r="TFR73" s="557"/>
      <c r="TFS73" s="557"/>
      <c r="TFT73" s="557"/>
      <c r="TFU73" s="557"/>
      <c r="TFV73" s="557"/>
      <c r="TFW73" s="661"/>
      <c r="TFX73" s="556"/>
      <c r="TFY73" s="557"/>
      <c r="TFZ73" s="557"/>
      <c r="TGA73" s="557"/>
      <c r="TGB73" s="557"/>
      <c r="TGC73" s="557"/>
      <c r="TGD73" s="557"/>
      <c r="TGE73" s="557"/>
      <c r="TGF73" s="557"/>
      <c r="TGG73" s="557"/>
      <c r="TGH73" s="557"/>
      <c r="TGI73" s="557"/>
      <c r="TGJ73" s="557"/>
      <c r="TGK73" s="557"/>
      <c r="TGL73" s="557"/>
      <c r="TGM73" s="557"/>
      <c r="TGN73" s="557"/>
      <c r="TGO73" s="557"/>
      <c r="TGP73" s="557"/>
      <c r="TGQ73" s="661"/>
      <c r="TGR73" s="556"/>
      <c r="TGS73" s="557"/>
      <c r="TGT73" s="557"/>
      <c r="TGU73" s="557"/>
      <c r="TGV73" s="557"/>
      <c r="TGW73" s="557"/>
      <c r="TGX73" s="557"/>
      <c r="TGY73" s="557"/>
      <c r="TGZ73" s="557"/>
      <c r="THA73" s="557"/>
      <c r="THB73" s="557"/>
      <c r="THC73" s="557"/>
      <c r="THD73" s="557"/>
      <c r="THE73" s="557"/>
      <c r="THF73" s="557"/>
      <c r="THG73" s="557"/>
      <c r="THH73" s="557"/>
      <c r="THI73" s="557"/>
      <c r="THJ73" s="557"/>
      <c r="THK73" s="661"/>
      <c r="THL73" s="556"/>
      <c r="THM73" s="557"/>
      <c r="THN73" s="557"/>
      <c r="THO73" s="557"/>
      <c r="THP73" s="557"/>
      <c r="THQ73" s="557"/>
      <c r="THR73" s="557"/>
      <c r="THS73" s="557"/>
      <c r="THT73" s="557"/>
      <c r="THU73" s="557"/>
      <c r="THV73" s="557"/>
      <c r="THW73" s="557"/>
      <c r="THX73" s="557"/>
      <c r="THY73" s="557"/>
      <c r="THZ73" s="557"/>
      <c r="TIA73" s="557"/>
      <c r="TIB73" s="557"/>
      <c r="TIC73" s="557"/>
      <c r="TID73" s="557"/>
      <c r="TIE73" s="661"/>
      <c r="TIF73" s="556"/>
      <c r="TIG73" s="557"/>
      <c r="TIH73" s="557"/>
      <c r="TII73" s="557"/>
      <c r="TIJ73" s="557"/>
      <c r="TIK73" s="557"/>
      <c r="TIL73" s="557"/>
      <c r="TIM73" s="557"/>
      <c r="TIN73" s="557"/>
      <c r="TIO73" s="557"/>
      <c r="TIP73" s="557"/>
      <c r="TIQ73" s="557"/>
      <c r="TIR73" s="557"/>
      <c r="TIS73" s="557"/>
      <c r="TIT73" s="557"/>
      <c r="TIU73" s="557"/>
      <c r="TIV73" s="557"/>
      <c r="TIW73" s="557"/>
      <c r="TIX73" s="557"/>
      <c r="TIY73" s="661"/>
      <c r="TIZ73" s="556"/>
      <c r="TJA73" s="557"/>
      <c r="TJB73" s="557"/>
      <c r="TJC73" s="557"/>
      <c r="TJD73" s="557"/>
      <c r="TJE73" s="557"/>
      <c r="TJF73" s="557"/>
      <c r="TJG73" s="557"/>
      <c r="TJH73" s="557"/>
      <c r="TJI73" s="557"/>
      <c r="TJJ73" s="557"/>
      <c r="TJK73" s="557"/>
      <c r="TJL73" s="557"/>
      <c r="TJM73" s="557"/>
      <c r="TJN73" s="557"/>
      <c r="TJO73" s="557"/>
      <c r="TJP73" s="557"/>
      <c r="TJQ73" s="557"/>
      <c r="TJR73" s="557"/>
      <c r="TJS73" s="661"/>
      <c r="TJT73" s="556"/>
      <c r="TJU73" s="557"/>
      <c r="TJV73" s="557"/>
      <c r="TJW73" s="557"/>
      <c r="TJX73" s="557"/>
      <c r="TJY73" s="557"/>
      <c r="TJZ73" s="557"/>
      <c r="TKA73" s="557"/>
      <c r="TKB73" s="557"/>
      <c r="TKC73" s="557"/>
      <c r="TKD73" s="557"/>
      <c r="TKE73" s="557"/>
      <c r="TKF73" s="557"/>
      <c r="TKG73" s="557"/>
      <c r="TKH73" s="557"/>
      <c r="TKI73" s="557"/>
      <c r="TKJ73" s="557"/>
      <c r="TKK73" s="557"/>
      <c r="TKL73" s="557"/>
      <c r="TKM73" s="661"/>
      <c r="TKN73" s="556"/>
      <c r="TKO73" s="557"/>
      <c r="TKP73" s="557"/>
      <c r="TKQ73" s="557"/>
      <c r="TKR73" s="557"/>
      <c r="TKS73" s="557"/>
      <c r="TKT73" s="557"/>
      <c r="TKU73" s="557"/>
      <c r="TKV73" s="557"/>
      <c r="TKW73" s="557"/>
      <c r="TKX73" s="557"/>
      <c r="TKY73" s="557"/>
      <c r="TKZ73" s="557"/>
      <c r="TLA73" s="557"/>
      <c r="TLB73" s="557"/>
      <c r="TLC73" s="557"/>
      <c r="TLD73" s="557"/>
      <c r="TLE73" s="557"/>
      <c r="TLF73" s="557"/>
      <c r="TLG73" s="661"/>
      <c r="TLH73" s="556"/>
      <c r="TLI73" s="557"/>
      <c r="TLJ73" s="557"/>
      <c r="TLK73" s="557"/>
      <c r="TLL73" s="557"/>
      <c r="TLM73" s="557"/>
      <c r="TLN73" s="557"/>
      <c r="TLO73" s="557"/>
      <c r="TLP73" s="557"/>
      <c r="TLQ73" s="557"/>
      <c r="TLR73" s="557"/>
      <c r="TLS73" s="557"/>
      <c r="TLT73" s="557"/>
      <c r="TLU73" s="557"/>
      <c r="TLV73" s="557"/>
      <c r="TLW73" s="557"/>
      <c r="TLX73" s="557"/>
      <c r="TLY73" s="557"/>
      <c r="TLZ73" s="557"/>
      <c r="TMA73" s="661"/>
      <c r="TMB73" s="556"/>
      <c r="TMC73" s="557"/>
      <c r="TMD73" s="557"/>
      <c r="TME73" s="557"/>
      <c r="TMF73" s="557"/>
      <c r="TMG73" s="557"/>
      <c r="TMH73" s="557"/>
      <c r="TMI73" s="557"/>
      <c r="TMJ73" s="557"/>
      <c r="TMK73" s="557"/>
      <c r="TML73" s="557"/>
      <c r="TMM73" s="557"/>
      <c r="TMN73" s="557"/>
      <c r="TMO73" s="557"/>
      <c r="TMP73" s="557"/>
      <c r="TMQ73" s="557"/>
      <c r="TMR73" s="557"/>
      <c r="TMS73" s="557"/>
      <c r="TMT73" s="557"/>
      <c r="TMU73" s="661"/>
      <c r="TMV73" s="556"/>
      <c r="TMW73" s="557"/>
      <c r="TMX73" s="557"/>
      <c r="TMY73" s="557"/>
      <c r="TMZ73" s="557"/>
      <c r="TNA73" s="557"/>
      <c r="TNB73" s="557"/>
      <c r="TNC73" s="557"/>
      <c r="TND73" s="557"/>
      <c r="TNE73" s="557"/>
      <c r="TNF73" s="557"/>
      <c r="TNG73" s="557"/>
      <c r="TNH73" s="557"/>
      <c r="TNI73" s="557"/>
      <c r="TNJ73" s="557"/>
      <c r="TNK73" s="557"/>
      <c r="TNL73" s="557"/>
      <c r="TNM73" s="557"/>
      <c r="TNN73" s="557"/>
      <c r="TNO73" s="661"/>
      <c r="TNP73" s="556"/>
      <c r="TNQ73" s="557"/>
      <c r="TNR73" s="557"/>
      <c r="TNS73" s="557"/>
      <c r="TNT73" s="557"/>
      <c r="TNU73" s="557"/>
      <c r="TNV73" s="557"/>
      <c r="TNW73" s="557"/>
      <c r="TNX73" s="557"/>
      <c r="TNY73" s="557"/>
      <c r="TNZ73" s="557"/>
      <c r="TOA73" s="557"/>
      <c r="TOB73" s="557"/>
      <c r="TOC73" s="557"/>
      <c r="TOD73" s="557"/>
      <c r="TOE73" s="557"/>
      <c r="TOF73" s="557"/>
      <c r="TOG73" s="557"/>
      <c r="TOH73" s="557"/>
      <c r="TOI73" s="661"/>
      <c r="TOJ73" s="556"/>
      <c r="TOK73" s="557"/>
      <c r="TOL73" s="557"/>
      <c r="TOM73" s="557"/>
      <c r="TON73" s="557"/>
      <c r="TOO73" s="557"/>
      <c r="TOP73" s="557"/>
      <c r="TOQ73" s="557"/>
      <c r="TOR73" s="557"/>
      <c r="TOS73" s="557"/>
      <c r="TOT73" s="557"/>
      <c r="TOU73" s="557"/>
      <c r="TOV73" s="557"/>
      <c r="TOW73" s="557"/>
      <c r="TOX73" s="557"/>
      <c r="TOY73" s="557"/>
      <c r="TOZ73" s="557"/>
      <c r="TPA73" s="557"/>
      <c r="TPB73" s="557"/>
      <c r="TPC73" s="661"/>
      <c r="TPD73" s="556"/>
      <c r="TPE73" s="557"/>
      <c r="TPF73" s="557"/>
      <c r="TPG73" s="557"/>
      <c r="TPH73" s="557"/>
      <c r="TPI73" s="557"/>
      <c r="TPJ73" s="557"/>
      <c r="TPK73" s="557"/>
      <c r="TPL73" s="557"/>
      <c r="TPM73" s="557"/>
      <c r="TPN73" s="557"/>
      <c r="TPO73" s="557"/>
      <c r="TPP73" s="557"/>
      <c r="TPQ73" s="557"/>
      <c r="TPR73" s="557"/>
      <c r="TPS73" s="557"/>
      <c r="TPT73" s="557"/>
      <c r="TPU73" s="557"/>
      <c r="TPV73" s="557"/>
      <c r="TPW73" s="661"/>
      <c r="TPX73" s="556"/>
      <c r="TPY73" s="557"/>
      <c r="TPZ73" s="557"/>
      <c r="TQA73" s="557"/>
      <c r="TQB73" s="557"/>
      <c r="TQC73" s="557"/>
      <c r="TQD73" s="557"/>
      <c r="TQE73" s="557"/>
      <c r="TQF73" s="557"/>
      <c r="TQG73" s="557"/>
      <c r="TQH73" s="557"/>
      <c r="TQI73" s="557"/>
      <c r="TQJ73" s="557"/>
      <c r="TQK73" s="557"/>
      <c r="TQL73" s="557"/>
      <c r="TQM73" s="557"/>
      <c r="TQN73" s="557"/>
      <c r="TQO73" s="557"/>
      <c r="TQP73" s="557"/>
      <c r="TQQ73" s="661"/>
      <c r="TQR73" s="556"/>
      <c r="TQS73" s="557"/>
      <c r="TQT73" s="557"/>
      <c r="TQU73" s="557"/>
      <c r="TQV73" s="557"/>
      <c r="TQW73" s="557"/>
      <c r="TQX73" s="557"/>
      <c r="TQY73" s="557"/>
      <c r="TQZ73" s="557"/>
      <c r="TRA73" s="557"/>
      <c r="TRB73" s="557"/>
      <c r="TRC73" s="557"/>
      <c r="TRD73" s="557"/>
      <c r="TRE73" s="557"/>
      <c r="TRF73" s="557"/>
      <c r="TRG73" s="557"/>
      <c r="TRH73" s="557"/>
      <c r="TRI73" s="557"/>
      <c r="TRJ73" s="557"/>
      <c r="TRK73" s="661"/>
      <c r="TRL73" s="556"/>
      <c r="TRM73" s="557"/>
      <c r="TRN73" s="557"/>
      <c r="TRO73" s="557"/>
      <c r="TRP73" s="557"/>
      <c r="TRQ73" s="557"/>
      <c r="TRR73" s="557"/>
      <c r="TRS73" s="557"/>
      <c r="TRT73" s="557"/>
      <c r="TRU73" s="557"/>
      <c r="TRV73" s="557"/>
      <c r="TRW73" s="557"/>
      <c r="TRX73" s="557"/>
      <c r="TRY73" s="557"/>
      <c r="TRZ73" s="557"/>
      <c r="TSA73" s="557"/>
      <c r="TSB73" s="557"/>
      <c r="TSC73" s="557"/>
      <c r="TSD73" s="557"/>
      <c r="TSE73" s="661"/>
      <c r="TSF73" s="556"/>
      <c r="TSG73" s="557"/>
      <c r="TSH73" s="557"/>
      <c r="TSI73" s="557"/>
      <c r="TSJ73" s="557"/>
      <c r="TSK73" s="557"/>
      <c r="TSL73" s="557"/>
      <c r="TSM73" s="557"/>
      <c r="TSN73" s="557"/>
      <c r="TSO73" s="557"/>
      <c r="TSP73" s="557"/>
      <c r="TSQ73" s="557"/>
      <c r="TSR73" s="557"/>
      <c r="TSS73" s="557"/>
      <c r="TST73" s="557"/>
      <c r="TSU73" s="557"/>
      <c r="TSV73" s="557"/>
      <c r="TSW73" s="557"/>
      <c r="TSX73" s="557"/>
      <c r="TSY73" s="661"/>
      <c r="TSZ73" s="556"/>
      <c r="TTA73" s="557"/>
      <c r="TTB73" s="557"/>
      <c r="TTC73" s="557"/>
      <c r="TTD73" s="557"/>
      <c r="TTE73" s="557"/>
      <c r="TTF73" s="557"/>
      <c r="TTG73" s="557"/>
      <c r="TTH73" s="557"/>
      <c r="TTI73" s="557"/>
      <c r="TTJ73" s="557"/>
      <c r="TTK73" s="557"/>
      <c r="TTL73" s="557"/>
      <c r="TTM73" s="557"/>
      <c r="TTN73" s="557"/>
      <c r="TTO73" s="557"/>
      <c r="TTP73" s="557"/>
      <c r="TTQ73" s="557"/>
      <c r="TTR73" s="557"/>
      <c r="TTS73" s="661"/>
      <c r="TTT73" s="556"/>
      <c r="TTU73" s="557"/>
      <c r="TTV73" s="557"/>
      <c r="TTW73" s="557"/>
      <c r="TTX73" s="557"/>
      <c r="TTY73" s="557"/>
      <c r="TTZ73" s="557"/>
      <c r="TUA73" s="557"/>
      <c r="TUB73" s="557"/>
      <c r="TUC73" s="557"/>
      <c r="TUD73" s="557"/>
      <c r="TUE73" s="557"/>
      <c r="TUF73" s="557"/>
      <c r="TUG73" s="557"/>
      <c r="TUH73" s="557"/>
      <c r="TUI73" s="557"/>
      <c r="TUJ73" s="557"/>
      <c r="TUK73" s="557"/>
      <c r="TUL73" s="557"/>
      <c r="TUM73" s="661"/>
      <c r="TUN73" s="556"/>
      <c r="TUO73" s="557"/>
      <c r="TUP73" s="557"/>
      <c r="TUQ73" s="557"/>
      <c r="TUR73" s="557"/>
      <c r="TUS73" s="557"/>
      <c r="TUT73" s="557"/>
      <c r="TUU73" s="557"/>
      <c r="TUV73" s="557"/>
      <c r="TUW73" s="557"/>
      <c r="TUX73" s="557"/>
      <c r="TUY73" s="557"/>
      <c r="TUZ73" s="557"/>
      <c r="TVA73" s="557"/>
      <c r="TVB73" s="557"/>
      <c r="TVC73" s="557"/>
      <c r="TVD73" s="557"/>
      <c r="TVE73" s="557"/>
      <c r="TVF73" s="557"/>
      <c r="TVG73" s="661"/>
      <c r="TVH73" s="556"/>
      <c r="TVI73" s="557"/>
      <c r="TVJ73" s="557"/>
      <c r="TVK73" s="557"/>
      <c r="TVL73" s="557"/>
      <c r="TVM73" s="557"/>
      <c r="TVN73" s="557"/>
      <c r="TVO73" s="557"/>
      <c r="TVP73" s="557"/>
      <c r="TVQ73" s="557"/>
      <c r="TVR73" s="557"/>
      <c r="TVS73" s="557"/>
      <c r="TVT73" s="557"/>
      <c r="TVU73" s="557"/>
      <c r="TVV73" s="557"/>
      <c r="TVW73" s="557"/>
      <c r="TVX73" s="557"/>
      <c r="TVY73" s="557"/>
      <c r="TVZ73" s="557"/>
      <c r="TWA73" s="661"/>
      <c r="TWB73" s="556"/>
      <c r="TWC73" s="557"/>
      <c r="TWD73" s="557"/>
      <c r="TWE73" s="557"/>
      <c r="TWF73" s="557"/>
      <c r="TWG73" s="557"/>
      <c r="TWH73" s="557"/>
      <c r="TWI73" s="557"/>
      <c r="TWJ73" s="557"/>
      <c r="TWK73" s="557"/>
      <c r="TWL73" s="557"/>
      <c r="TWM73" s="557"/>
      <c r="TWN73" s="557"/>
      <c r="TWO73" s="557"/>
      <c r="TWP73" s="557"/>
      <c r="TWQ73" s="557"/>
      <c r="TWR73" s="557"/>
      <c r="TWS73" s="557"/>
      <c r="TWT73" s="557"/>
      <c r="TWU73" s="661"/>
      <c r="TWV73" s="556"/>
      <c r="TWW73" s="557"/>
      <c r="TWX73" s="557"/>
      <c r="TWY73" s="557"/>
      <c r="TWZ73" s="557"/>
      <c r="TXA73" s="557"/>
      <c r="TXB73" s="557"/>
      <c r="TXC73" s="557"/>
      <c r="TXD73" s="557"/>
      <c r="TXE73" s="557"/>
      <c r="TXF73" s="557"/>
      <c r="TXG73" s="557"/>
      <c r="TXH73" s="557"/>
      <c r="TXI73" s="557"/>
      <c r="TXJ73" s="557"/>
      <c r="TXK73" s="557"/>
      <c r="TXL73" s="557"/>
      <c r="TXM73" s="557"/>
      <c r="TXN73" s="557"/>
      <c r="TXO73" s="661"/>
      <c r="TXP73" s="556"/>
      <c r="TXQ73" s="557"/>
      <c r="TXR73" s="557"/>
      <c r="TXS73" s="557"/>
      <c r="TXT73" s="557"/>
      <c r="TXU73" s="557"/>
      <c r="TXV73" s="557"/>
      <c r="TXW73" s="557"/>
      <c r="TXX73" s="557"/>
      <c r="TXY73" s="557"/>
      <c r="TXZ73" s="557"/>
      <c r="TYA73" s="557"/>
      <c r="TYB73" s="557"/>
      <c r="TYC73" s="557"/>
      <c r="TYD73" s="557"/>
      <c r="TYE73" s="557"/>
      <c r="TYF73" s="557"/>
      <c r="TYG73" s="557"/>
      <c r="TYH73" s="557"/>
      <c r="TYI73" s="661"/>
      <c r="TYJ73" s="556"/>
      <c r="TYK73" s="557"/>
      <c r="TYL73" s="557"/>
      <c r="TYM73" s="557"/>
      <c r="TYN73" s="557"/>
      <c r="TYO73" s="557"/>
      <c r="TYP73" s="557"/>
      <c r="TYQ73" s="557"/>
      <c r="TYR73" s="557"/>
      <c r="TYS73" s="557"/>
      <c r="TYT73" s="557"/>
      <c r="TYU73" s="557"/>
      <c r="TYV73" s="557"/>
      <c r="TYW73" s="557"/>
      <c r="TYX73" s="557"/>
      <c r="TYY73" s="557"/>
      <c r="TYZ73" s="557"/>
      <c r="TZA73" s="557"/>
      <c r="TZB73" s="557"/>
      <c r="TZC73" s="661"/>
      <c r="TZD73" s="556"/>
      <c r="TZE73" s="557"/>
      <c r="TZF73" s="557"/>
      <c r="TZG73" s="557"/>
      <c r="TZH73" s="557"/>
      <c r="TZI73" s="557"/>
      <c r="TZJ73" s="557"/>
      <c r="TZK73" s="557"/>
      <c r="TZL73" s="557"/>
      <c r="TZM73" s="557"/>
      <c r="TZN73" s="557"/>
      <c r="TZO73" s="557"/>
      <c r="TZP73" s="557"/>
      <c r="TZQ73" s="557"/>
      <c r="TZR73" s="557"/>
      <c r="TZS73" s="557"/>
      <c r="TZT73" s="557"/>
      <c r="TZU73" s="557"/>
      <c r="TZV73" s="557"/>
      <c r="TZW73" s="661"/>
      <c r="TZX73" s="556"/>
      <c r="TZY73" s="557"/>
      <c r="TZZ73" s="557"/>
      <c r="UAA73" s="557"/>
      <c r="UAB73" s="557"/>
      <c r="UAC73" s="557"/>
      <c r="UAD73" s="557"/>
      <c r="UAE73" s="557"/>
      <c r="UAF73" s="557"/>
      <c r="UAG73" s="557"/>
      <c r="UAH73" s="557"/>
      <c r="UAI73" s="557"/>
      <c r="UAJ73" s="557"/>
      <c r="UAK73" s="557"/>
      <c r="UAL73" s="557"/>
      <c r="UAM73" s="557"/>
      <c r="UAN73" s="557"/>
      <c r="UAO73" s="557"/>
      <c r="UAP73" s="557"/>
      <c r="UAQ73" s="661"/>
      <c r="UAR73" s="556"/>
      <c r="UAS73" s="557"/>
      <c r="UAT73" s="557"/>
      <c r="UAU73" s="557"/>
      <c r="UAV73" s="557"/>
      <c r="UAW73" s="557"/>
      <c r="UAX73" s="557"/>
      <c r="UAY73" s="557"/>
      <c r="UAZ73" s="557"/>
      <c r="UBA73" s="557"/>
      <c r="UBB73" s="557"/>
      <c r="UBC73" s="557"/>
      <c r="UBD73" s="557"/>
      <c r="UBE73" s="557"/>
      <c r="UBF73" s="557"/>
      <c r="UBG73" s="557"/>
      <c r="UBH73" s="557"/>
      <c r="UBI73" s="557"/>
      <c r="UBJ73" s="557"/>
      <c r="UBK73" s="661"/>
      <c r="UBL73" s="556"/>
      <c r="UBM73" s="557"/>
      <c r="UBN73" s="557"/>
      <c r="UBO73" s="557"/>
      <c r="UBP73" s="557"/>
      <c r="UBQ73" s="557"/>
      <c r="UBR73" s="557"/>
      <c r="UBS73" s="557"/>
      <c r="UBT73" s="557"/>
      <c r="UBU73" s="557"/>
      <c r="UBV73" s="557"/>
      <c r="UBW73" s="557"/>
      <c r="UBX73" s="557"/>
      <c r="UBY73" s="557"/>
      <c r="UBZ73" s="557"/>
      <c r="UCA73" s="557"/>
      <c r="UCB73" s="557"/>
      <c r="UCC73" s="557"/>
      <c r="UCD73" s="557"/>
      <c r="UCE73" s="661"/>
      <c r="UCF73" s="556"/>
      <c r="UCG73" s="557"/>
      <c r="UCH73" s="557"/>
      <c r="UCI73" s="557"/>
      <c r="UCJ73" s="557"/>
      <c r="UCK73" s="557"/>
      <c r="UCL73" s="557"/>
      <c r="UCM73" s="557"/>
      <c r="UCN73" s="557"/>
      <c r="UCO73" s="557"/>
      <c r="UCP73" s="557"/>
      <c r="UCQ73" s="557"/>
      <c r="UCR73" s="557"/>
      <c r="UCS73" s="557"/>
      <c r="UCT73" s="557"/>
      <c r="UCU73" s="557"/>
      <c r="UCV73" s="557"/>
      <c r="UCW73" s="557"/>
      <c r="UCX73" s="557"/>
      <c r="UCY73" s="661"/>
      <c r="UCZ73" s="556"/>
      <c r="UDA73" s="557"/>
      <c r="UDB73" s="557"/>
      <c r="UDC73" s="557"/>
      <c r="UDD73" s="557"/>
      <c r="UDE73" s="557"/>
      <c r="UDF73" s="557"/>
      <c r="UDG73" s="557"/>
      <c r="UDH73" s="557"/>
      <c r="UDI73" s="557"/>
      <c r="UDJ73" s="557"/>
      <c r="UDK73" s="557"/>
      <c r="UDL73" s="557"/>
      <c r="UDM73" s="557"/>
      <c r="UDN73" s="557"/>
      <c r="UDO73" s="557"/>
      <c r="UDP73" s="557"/>
      <c r="UDQ73" s="557"/>
      <c r="UDR73" s="557"/>
      <c r="UDS73" s="661"/>
      <c r="UDT73" s="556"/>
      <c r="UDU73" s="557"/>
      <c r="UDV73" s="557"/>
      <c r="UDW73" s="557"/>
      <c r="UDX73" s="557"/>
      <c r="UDY73" s="557"/>
      <c r="UDZ73" s="557"/>
      <c r="UEA73" s="557"/>
      <c r="UEB73" s="557"/>
      <c r="UEC73" s="557"/>
      <c r="UED73" s="557"/>
      <c r="UEE73" s="557"/>
      <c r="UEF73" s="557"/>
      <c r="UEG73" s="557"/>
      <c r="UEH73" s="557"/>
      <c r="UEI73" s="557"/>
      <c r="UEJ73" s="557"/>
      <c r="UEK73" s="557"/>
      <c r="UEL73" s="557"/>
      <c r="UEM73" s="661"/>
      <c r="UEN73" s="556"/>
      <c r="UEO73" s="557"/>
      <c r="UEP73" s="557"/>
      <c r="UEQ73" s="557"/>
      <c r="UER73" s="557"/>
      <c r="UES73" s="557"/>
      <c r="UET73" s="557"/>
      <c r="UEU73" s="557"/>
      <c r="UEV73" s="557"/>
      <c r="UEW73" s="557"/>
      <c r="UEX73" s="557"/>
      <c r="UEY73" s="557"/>
      <c r="UEZ73" s="557"/>
      <c r="UFA73" s="557"/>
      <c r="UFB73" s="557"/>
      <c r="UFC73" s="557"/>
      <c r="UFD73" s="557"/>
      <c r="UFE73" s="557"/>
      <c r="UFF73" s="557"/>
      <c r="UFG73" s="661"/>
      <c r="UFH73" s="556"/>
      <c r="UFI73" s="557"/>
      <c r="UFJ73" s="557"/>
      <c r="UFK73" s="557"/>
      <c r="UFL73" s="557"/>
      <c r="UFM73" s="557"/>
      <c r="UFN73" s="557"/>
      <c r="UFO73" s="557"/>
      <c r="UFP73" s="557"/>
      <c r="UFQ73" s="557"/>
      <c r="UFR73" s="557"/>
      <c r="UFS73" s="557"/>
      <c r="UFT73" s="557"/>
      <c r="UFU73" s="557"/>
      <c r="UFV73" s="557"/>
      <c r="UFW73" s="557"/>
      <c r="UFX73" s="557"/>
      <c r="UFY73" s="557"/>
      <c r="UFZ73" s="557"/>
      <c r="UGA73" s="661"/>
      <c r="UGB73" s="556"/>
      <c r="UGC73" s="557"/>
      <c r="UGD73" s="557"/>
      <c r="UGE73" s="557"/>
      <c r="UGF73" s="557"/>
      <c r="UGG73" s="557"/>
      <c r="UGH73" s="557"/>
      <c r="UGI73" s="557"/>
      <c r="UGJ73" s="557"/>
      <c r="UGK73" s="557"/>
      <c r="UGL73" s="557"/>
      <c r="UGM73" s="557"/>
      <c r="UGN73" s="557"/>
      <c r="UGO73" s="557"/>
      <c r="UGP73" s="557"/>
      <c r="UGQ73" s="557"/>
      <c r="UGR73" s="557"/>
      <c r="UGS73" s="557"/>
      <c r="UGT73" s="557"/>
      <c r="UGU73" s="661"/>
      <c r="UGV73" s="556"/>
      <c r="UGW73" s="557"/>
      <c r="UGX73" s="557"/>
      <c r="UGY73" s="557"/>
      <c r="UGZ73" s="557"/>
      <c r="UHA73" s="557"/>
      <c r="UHB73" s="557"/>
      <c r="UHC73" s="557"/>
      <c r="UHD73" s="557"/>
      <c r="UHE73" s="557"/>
      <c r="UHF73" s="557"/>
      <c r="UHG73" s="557"/>
      <c r="UHH73" s="557"/>
      <c r="UHI73" s="557"/>
      <c r="UHJ73" s="557"/>
      <c r="UHK73" s="557"/>
      <c r="UHL73" s="557"/>
      <c r="UHM73" s="557"/>
      <c r="UHN73" s="557"/>
      <c r="UHO73" s="661"/>
      <c r="UHP73" s="556"/>
      <c r="UHQ73" s="557"/>
      <c r="UHR73" s="557"/>
      <c r="UHS73" s="557"/>
      <c r="UHT73" s="557"/>
      <c r="UHU73" s="557"/>
      <c r="UHV73" s="557"/>
      <c r="UHW73" s="557"/>
      <c r="UHX73" s="557"/>
      <c r="UHY73" s="557"/>
      <c r="UHZ73" s="557"/>
      <c r="UIA73" s="557"/>
      <c r="UIB73" s="557"/>
      <c r="UIC73" s="557"/>
      <c r="UID73" s="557"/>
      <c r="UIE73" s="557"/>
      <c r="UIF73" s="557"/>
      <c r="UIG73" s="557"/>
      <c r="UIH73" s="557"/>
      <c r="UII73" s="661"/>
      <c r="UIJ73" s="556"/>
      <c r="UIK73" s="557"/>
      <c r="UIL73" s="557"/>
      <c r="UIM73" s="557"/>
      <c r="UIN73" s="557"/>
      <c r="UIO73" s="557"/>
      <c r="UIP73" s="557"/>
      <c r="UIQ73" s="557"/>
      <c r="UIR73" s="557"/>
      <c r="UIS73" s="557"/>
      <c r="UIT73" s="557"/>
      <c r="UIU73" s="557"/>
      <c r="UIV73" s="557"/>
      <c r="UIW73" s="557"/>
      <c r="UIX73" s="557"/>
      <c r="UIY73" s="557"/>
      <c r="UIZ73" s="557"/>
      <c r="UJA73" s="557"/>
      <c r="UJB73" s="557"/>
      <c r="UJC73" s="661"/>
      <c r="UJD73" s="556"/>
      <c r="UJE73" s="557"/>
      <c r="UJF73" s="557"/>
      <c r="UJG73" s="557"/>
      <c r="UJH73" s="557"/>
      <c r="UJI73" s="557"/>
      <c r="UJJ73" s="557"/>
      <c r="UJK73" s="557"/>
      <c r="UJL73" s="557"/>
      <c r="UJM73" s="557"/>
      <c r="UJN73" s="557"/>
      <c r="UJO73" s="557"/>
      <c r="UJP73" s="557"/>
      <c r="UJQ73" s="557"/>
      <c r="UJR73" s="557"/>
      <c r="UJS73" s="557"/>
      <c r="UJT73" s="557"/>
      <c r="UJU73" s="557"/>
      <c r="UJV73" s="557"/>
      <c r="UJW73" s="661"/>
      <c r="UJX73" s="556"/>
      <c r="UJY73" s="557"/>
      <c r="UJZ73" s="557"/>
      <c r="UKA73" s="557"/>
      <c r="UKB73" s="557"/>
      <c r="UKC73" s="557"/>
      <c r="UKD73" s="557"/>
      <c r="UKE73" s="557"/>
      <c r="UKF73" s="557"/>
      <c r="UKG73" s="557"/>
      <c r="UKH73" s="557"/>
      <c r="UKI73" s="557"/>
      <c r="UKJ73" s="557"/>
      <c r="UKK73" s="557"/>
      <c r="UKL73" s="557"/>
      <c r="UKM73" s="557"/>
      <c r="UKN73" s="557"/>
      <c r="UKO73" s="557"/>
      <c r="UKP73" s="557"/>
      <c r="UKQ73" s="661"/>
      <c r="UKR73" s="556"/>
      <c r="UKS73" s="557"/>
      <c r="UKT73" s="557"/>
      <c r="UKU73" s="557"/>
      <c r="UKV73" s="557"/>
      <c r="UKW73" s="557"/>
      <c r="UKX73" s="557"/>
      <c r="UKY73" s="557"/>
      <c r="UKZ73" s="557"/>
      <c r="ULA73" s="557"/>
      <c r="ULB73" s="557"/>
      <c r="ULC73" s="557"/>
      <c r="ULD73" s="557"/>
      <c r="ULE73" s="557"/>
      <c r="ULF73" s="557"/>
      <c r="ULG73" s="557"/>
      <c r="ULH73" s="557"/>
      <c r="ULI73" s="557"/>
      <c r="ULJ73" s="557"/>
      <c r="ULK73" s="661"/>
      <c r="ULL73" s="556"/>
      <c r="ULM73" s="557"/>
      <c r="ULN73" s="557"/>
      <c r="ULO73" s="557"/>
      <c r="ULP73" s="557"/>
      <c r="ULQ73" s="557"/>
      <c r="ULR73" s="557"/>
      <c r="ULS73" s="557"/>
      <c r="ULT73" s="557"/>
      <c r="ULU73" s="557"/>
      <c r="ULV73" s="557"/>
      <c r="ULW73" s="557"/>
      <c r="ULX73" s="557"/>
      <c r="ULY73" s="557"/>
      <c r="ULZ73" s="557"/>
      <c r="UMA73" s="557"/>
      <c r="UMB73" s="557"/>
      <c r="UMC73" s="557"/>
      <c r="UMD73" s="557"/>
      <c r="UME73" s="661"/>
      <c r="UMF73" s="556"/>
      <c r="UMG73" s="557"/>
      <c r="UMH73" s="557"/>
      <c r="UMI73" s="557"/>
      <c r="UMJ73" s="557"/>
      <c r="UMK73" s="557"/>
      <c r="UML73" s="557"/>
      <c r="UMM73" s="557"/>
      <c r="UMN73" s="557"/>
      <c r="UMO73" s="557"/>
      <c r="UMP73" s="557"/>
      <c r="UMQ73" s="557"/>
      <c r="UMR73" s="557"/>
      <c r="UMS73" s="557"/>
      <c r="UMT73" s="557"/>
      <c r="UMU73" s="557"/>
      <c r="UMV73" s="557"/>
      <c r="UMW73" s="557"/>
      <c r="UMX73" s="557"/>
      <c r="UMY73" s="661"/>
      <c r="UMZ73" s="556"/>
      <c r="UNA73" s="557"/>
      <c r="UNB73" s="557"/>
      <c r="UNC73" s="557"/>
      <c r="UND73" s="557"/>
      <c r="UNE73" s="557"/>
      <c r="UNF73" s="557"/>
      <c r="UNG73" s="557"/>
      <c r="UNH73" s="557"/>
      <c r="UNI73" s="557"/>
      <c r="UNJ73" s="557"/>
      <c r="UNK73" s="557"/>
      <c r="UNL73" s="557"/>
      <c r="UNM73" s="557"/>
      <c r="UNN73" s="557"/>
      <c r="UNO73" s="557"/>
      <c r="UNP73" s="557"/>
      <c r="UNQ73" s="557"/>
      <c r="UNR73" s="557"/>
      <c r="UNS73" s="661"/>
      <c r="UNT73" s="556"/>
      <c r="UNU73" s="557"/>
      <c r="UNV73" s="557"/>
      <c r="UNW73" s="557"/>
      <c r="UNX73" s="557"/>
      <c r="UNY73" s="557"/>
      <c r="UNZ73" s="557"/>
      <c r="UOA73" s="557"/>
      <c r="UOB73" s="557"/>
      <c r="UOC73" s="557"/>
      <c r="UOD73" s="557"/>
      <c r="UOE73" s="557"/>
      <c r="UOF73" s="557"/>
      <c r="UOG73" s="557"/>
      <c r="UOH73" s="557"/>
      <c r="UOI73" s="557"/>
      <c r="UOJ73" s="557"/>
      <c r="UOK73" s="557"/>
      <c r="UOL73" s="557"/>
      <c r="UOM73" s="661"/>
      <c r="UON73" s="556"/>
      <c r="UOO73" s="557"/>
      <c r="UOP73" s="557"/>
      <c r="UOQ73" s="557"/>
      <c r="UOR73" s="557"/>
      <c r="UOS73" s="557"/>
      <c r="UOT73" s="557"/>
      <c r="UOU73" s="557"/>
      <c r="UOV73" s="557"/>
      <c r="UOW73" s="557"/>
      <c r="UOX73" s="557"/>
      <c r="UOY73" s="557"/>
      <c r="UOZ73" s="557"/>
      <c r="UPA73" s="557"/>
      <c r="UPB73" s="557"/>
      <c r="UPC73" s="557"/>
      <c r="UPD73" s="557"/>
      <c r="UPE73" s="557"/>
      <c r="UPF73" s="557"/>
      <c r="UPG73" s="661"/>
      <c r="UPH73" s="556"/>
      <c r="UPI73" s="557"/>
      <c r="UPJ73" s="557"/>
      <c r="UPK73" s="557"/>
      <c r="UPL73" s="557"/>
      <c r="UPM73" s="557"/>
      <c r="UPN73" s="557"/>
      <c r="UPO73" s="557"/>
      <c r="UPP73" s="557"/>
      <c r="UPQ73" s="557"/>
      <c r="UPR73" s="557"/>
      <c r="UPS73" s="557"/>
      <c r="UPT73" s="557"/>
      <c r="UPU73" s="557"/>
      <c r="UPV73" s="557"/>
      <c r="UPW73" s="557"/>
      <c r="UPX73" s="557"/>
      <c r="UPY73" s="557"/>
      <c r="UPZ73" s="557"/>
      <c r="UQA73" s="661"/>
      <c r="UQB73" s="556"/>
      <c r="UQC73" s="557"/>
      <c r="UQD73" s="557"/>
      <c r="UQE73" s="557"/>
      <c r="UQF73" s="557"/>
      <c r="UQG73" s="557"/>
      <c r="UQH73" s="557"/>
      <c r="UQI73" s="557"/>
      <c r="UQJ73" s="557"/>
      <c r="UQK73" s="557"/>
      <c r="UQL73" s="557"/>
      <c r="UQM73" s="557"/>
      <c r="UQN73" s="557"/>
      <c r="UQO73" s="557"/>
      <c r="UQP73" s="557"/>
      <c r="UQQ73" s="557"/>
      <c r="UQR73" s="557"/>
      <c r="UQS73" s="557"/>
      <c r="UQT73" s="557"/>
      <c r="UQU73" s="661"/>
      <c r="UQV73" s="556"/>
      <c r="UQW73" s="557"/>
      <c r="UQX73" s="557"/>
      <c r="UQY73" s="557"/>
      <c r="UQZ73" s="557"/>
      <c r="URA73" s="557"/>
      <c r="URB73" s="557"/>
      <c r="URC73" s="557"/>
      <c r="URD73" s="557"/>
      <c r="URE73" s="557"/>
      <c r="URF73" s="557"/>
      <c r="URG73" s="557"/>
      <c r="URH73" s="557"/>
      <c r="URI73" s="557"/>
      <c r="URJ73" s="557"/>
      <c r="URK73" s="557"/>
      <c r="URL73" s="557"/>
      <c r="URM73" s="557"/>
      <c r="URN73" s="557"/>
      <c r="URO73" s="661"/>
      <c r="URP73" s="556"/>
      <c r="URQ73" s="557"/>
      <c r="URR73" s="557"/>
      <c r="URS73" s="557"/>
      <c r="URT73" s="557"/>
      <c r="URU73" s="557"/>
      <c r="URV73" s="557"/>
      <c r="URW73" s="557"/>
      <c r="URX73" s="557"/>
      <c r="URY73" s="557"/>
      <c r="URZ73" s="557"/>
      <c r="USA73" s="557"/>
      <c r="USB73" s="557"/>
      <c r="USC73" s="557"/>
      <c r="USD73" s="557"/>
      <c r="USE73" s="557"/>
      <c r="USF73" s="557"/>
      <c r="USG73" s="557"/>
      <c r="USH73" s="557"/>
      <c r="USI73" s="661"/>
      <c r="USJ73" s="556"/>
      <c r="USK73" s="557"/>
      <c r="USL73" s="557"/>
      <c r="USM73" s="557"/>
      <c r="USN73" s="557"/>
      <c r="USO73" s="557"/>
      <c r="USP73" s="557"/>
      <c r="USQ73" s="557"/>
      <c r="USR73" s="557"/>
      <c r="USS73" s="557"/>
      <c r="UST73" s="557"/>
      <c r="USU73" s="557"/>
      <c r="USV73" s="557"/>
      <c r="USW73" s="557"/>
      <c r="USX73" s="557"/>
      <c r="USY73" s="557"/>
      <c r="USZ73" s="557"/>
      <c r="UTA73" s="557"/>
      <c r="UTB73" s="557"/>
      <c r="UTC73" s="661"/>
      <c r="UTD73" s="556"/>
      <c r="UTE73" s="557"/>
      <c r="UTF73" s="557"/>
      <c r="UTG73" s="557"/>
      <c r="UTH73" s="557"/>
      <c r="UTI73" s="557"/>
      <c r="UTJ73" s="557"/>
      <c r="UTK73" s="557"/>
      <c r="UTL73" s="557"/>
      <c r="UTM73" s="557"/>
      <c r="UTN73" s="557"/>
      <c r="UTO73" s="557"/>
      <c r="UTP73" s="557"/>
      <c r="UTQ73" s="557"/>
      <c r="UTR73" s="557"/>
      <c r="UTS73" s="557"/>
      <c r="UTT73" s="557"/>
      <c r="UTU73" s="557"/>
      <c r="UTV73" s="557"/>
      <c r="UTW73" s="661"/>
      <c r="UTX73" s="556"/>
      <c r="UTY73" s="557"/>
      <c r="UTZ73" s="557"/>
      <c r="UUA73" s="557"/>
      <c r="UUB73" s="557"/>
      <c r="UUC73" s="557"/>
      <c r="UUD73" s="557"/>
      <c r="UUE73" s="557"/>
      <c r="UUF73" s="557"/>
      <c r="UUG73" s="557"/>
      <c r="UUH73" s="557"/>
      <c r="UUI73" s="557"/>
      <c r="UUJ73" s="557"/>
      <c r="UUK73" s="557"/>
      <c r="UUL73" s="557"/>
      <c r="UUM73" s="557"/>
      <c r="UUN73" s="557"/>
      <c r="UUO73" s="557"/>
      <c r="UUP73" s="557"/>
      <c r="UUQ73" s="661"/>
      <c r="UUR73" s="556"/>
      <c r="UUS73" s="557"/>
      <c r="UUT73" s="557"/>
      <c r="UUU73" s="557"/>
      <c r="UUV73" s="557"/>
      <c r="UUW73" s="557"/>
      <c r="UUX73" s="557"/>
      <c r="UUY73" s="557"/>
      <c r="UUZ73" s="557"/>
      <c r="UVA73" s="557"/>
      <c r="UVB73" s="557"/>
      <c r="UVC73" s="557"/>
      <c r="UVD73" s="557"/>
      <c r="UVE73" s="557"/>
      <c r="UVF73" s="557"/>
      <c r="UVG73" s="557"/>
      <c r="UVH73" s="557"/>
      <c r="UVI73" s="557"/>
      <c r="UVJ73" s="557"/>
      <c r="UVK73" s="661"/>
      <c r="UVL73" s="556"/>
      <c r="UVM73" s="557"/>
      <c r="UVN73" s="557"/>
      <c r="UVO73" s="557"/>
      <c r="UVP73" s="557"/>
      <c r="UVQ73" s="557"/>
      <c r="UVR73" s="557"/>
      <c r="UVS73" s="557"/>
      <c r="UVT73" s="557"/>
      <c r="UVU73" s="557"/>
      <c r="UVV73" s="557"/>
      <c r="UVW73" s="557"/>
      <c r="UVX73" s="557"/>
      <c r="UVY73" s="557"/>
      <c r="UVZ73" s="557"/>
      <c r="UWA73" s="557"/>
      <c r="UWB73" s="557"/>
      <c r="UWC73" s="557"/>
      <c r="UWD73" s="557"/>
      <c r="UWE73" s="661"/>
      <c r="UWF73" s="556"/>
      <c r="UWG73" s="557"/>
      <c r="UWH73" s="557"/>
      <c r="UWI73" s="557"/>
      <c r="UWJ73" s="557"/>
      <c r="UWK73" s="557"/>
      <c r="UWL73" s="557"/>
      <c r="UWM73" s="557"/>
      <c r="UWN73" s="557"/>
      <c r="UWO73" s="557"/>
      <c r="UWP73" s="557"/>
      <c r="UWQ73" s="557"/>
      <c r="UWR73" s="557"/>
      <c r="UWS73" s="557"/>
      <c r="UWT73" s="557"/>
      <c r="UWU73" s="557"/>
      <c r="UWV73" s="557"/>
      <c r="UWW73" s="557"/>
      <c r="UWX73" s="557"/>
      <c r="UWY73" s="661"/>
      <c r="UWZ73" s="556"/>
      <c r="UXA73" s="557"/>
      <c r="UXB73" s="557"/>
      <c r="UXC73" s="557"/>
      <c r="UXD73" s="557"/>
      <c r="UXE73" s="557"/>
      <c r="UXF73" s="557"/>
      <c r="UXG73" s="557"/>
      <c r="UXH73" s="557"/>
      <c r="UXI73" s="557"/>
      <c r="UXJ73" s="557"/>
      <c r="UXK73" s="557"/>
      <c r="UXL73" s="557"/>
      <c r="UXM73" s="557"/>
      <c r="UXN73" s="557"/>
      <c r="UXO73" s="557"/>
      <c r="UXP73" s="557"/>
      <c r="UXQ73" s="557"/>
      <c r="UXR73" s="557"/>
      <c r="UXS73" s="661"/>
      <c r="UXT73" s="556"/>
      <c r="UXU73" s="557"/>
      <c r="UXV73" s="557"/>
      <c r="UXW73" s="557"/>
      <c r="UXX73" s="557"/>
      <c r="UXY73" s="557"/>
      <c r="UXZ73" s="557"/>
      <c r="UYA73" s="557"/>
      <c r="UYB73" s="557"/>
      <c r="UYC73" s="557"/>
      <c r="UYD73" s="557"/>
      <c r="UYE73" s="557"/>
      <c r="UYF73" s="557"/>
      <c r="UYG73" s="557"/>
      <c r="UYH73" s="557"/>
      <c r="UYI73" s="557"/>
      <c r="UYJ73" s="557"/>
      <c r="UYK73" s="557"/>
      <c r="UYL73" s="557"/>
      <c r="UYM73" s="661"/>
      <c r="UYN73" s="556"/>
      <c r="UYO73" s="557"/>
      <c r="UYP73" s="557"/>
      <c r="UYQ73" s="557"/>
      <c r="UYR73" s="557"/>
      <c r="UYS73" s="557"/>
      <c r="UYT73" s="557"/>
      <c r="UYU73" s="557"/>
      <c r="UYV73" s="557"/>
      <c r="UYW73" s="557"/>
      <c r="UYX73" s="557"/>
      <c r="UYY73" s="557"/>
      <c r="UYZ73" s="557"/>
      <c r="UZA73" s="557"/>
      <c r="UZB73" s="557"/>
      <c r="UZC73" s="557"/>
      <c r="UZD73" s="557"/>
      <c r="UZE73" s="557"/>
      <c r="UZF73" s="557"/>
      <c r="UZG73" s="661"/>
      <c r="UZH73" s="556"/>
      <c r="UZI73" s="557"/>
      <c r="UZJ73" s="557"/>
      <c r="UZK73" s="557"/>
      <c r="UZL73" s="557"/>
      <c r="UZM73" s="557"/>
      <c r="UZN73" s="557"/>
      <c r="UZO73" s="557"/>
      <c r="UZP73" s="557"/>
      <c r="UZQ73" s="557"/>
      <c r="UZR73" s="557"/>
      <c r="UZS73" s="557"/>
      <c r="UZT73" s="557"/>
      <c r="UZU73" s="557"/>
      <c r="UZV73" s="557"/>
      <c r="UZW73" s="557"/>
      <c r="UZX73" s="557"/>
      <c r="UZY73" s="557"/>
      <c r="UZZ73" s="557"/>
      <c r="VAA73" s="661"/>
      <c r="VAB73" s="556"/>
      <c r="VAC73" s="557"/>
      <c r="VAD73" s="557"/>
      <c r="VAE73" s="557"/>
      <c r="VAF73" s="557"/>
      <c r="VAG73" s="557"/>
      <c r="VAH73" s="557"/>
      <c r="VAI73" s="557"/>
      <c r="VAJ73" s="557"/>
      <c r="VAK73" s="557"/>
      <c r="VAL73" s="557"/>
      <c r="VAM73" s="557"/>
      <c r="VAN73" s="557"/>
      <c r="VAO73" s="557"/>
      <c r="VAP73" s="557"/>
      <c r="VAQ73" s="557"/>
      <c r="VAR73" s="557"/>
      <c r="VAS73" s="557"/>
      <c r="VAT73" s="557"/>
      <c r="VAU73" s="661"/>
      <c r="VAV73" s="556"/>
      <c r="VAW73" s="557"/>
      <c r="VAX73" s="557"/>
      <c r="VAY73" s="557"/>
      <c r="VAZ73" s="557"/>
      <c r="VBA73" s="557"/>
      <c r="VBB73" s="557"/>
      <c r="VBC73" s="557"/>
      <c r="VBD73" s="557"/>
      <c r="VBE73" s="557"/>
      <c r="VBF73" s="557"/>
      <c r="VBG73" s="557"/>
      <c r="VBH73" s="557"/>
      <c r="VBI73" s="557"/>
      <c r="VBJ73" s="557"/>
      <c r="VBK73" s="557"/>
      <c r="VBL73" s="557"/>
      <c r="VBM73" s="557"/>
      <c r="VBN73" s="557"/>
      <c r="VBO73" s="661"/>
      <c r="VBP73" s="556"/>
      <c r="VBQ73" s="557"/>
      <c r="VBR73" s="557"/>
      <c r="VBS73" s="557"/>
      <c r="VBT73" s="557"/>
      <c r="VBU73" s="557"/>
      <c r="VBV73" s="557"/>
      <c r="VBW73" s="557"/>
      <c r="VBX73" s="557"/>
      <c r="VBY73" s="557"/>
      <c r="VBZ73" s="557"/>
      <c r="VCA73" s="557"/>
      <c r="VCB73" s="557"/>
      <c r="VCC73" s="557"/>
      <c r="VCD73" s="557"/>
      <c r="VCE73" s="557"/>
      <c r="VCF73" s="557"/>
      <c r="VCG73" s="557"/>
      <c r="VCH73" s="557"/>
      <c r="VCI73" s="661"/>
      <c r="VCJ73" s="556"/>
      <c r="VCK73" s="557"/>
      <c r="VCL73" s="557"/>
      <c r="VCM73" s="557"/>
      <c r="VCN73" s="557"/>
      <c r="VCO73" s="557"/>
      <c r="VCP73" s="557"/>
      <c r="VCQ73" s="557"/>
      <c r="VCR73" s="557"/>
      <c r="VCS73" s="557"/>
      <c r="VCT73" s="557"/>
      <c r="VCU73" s="557"/>
      <c r="VCV73" s="557"/>
      <c r="VCW73" s="557"/>
      <c r="VCX73" s="557"/>
      <c r="VCY73" s="557"/>
      <c r="VCZ73" s="557"/>
      <c r="VDA73" s="557"/>
      <c r="VDB73" s="557"/>
      <c r="VDC73" s="661"/>
      <c r="VDD73" s="556"/>
      <c r="VDE73" s="557"/>
      <c r="VDF73" s="557"/>
      <c r="VDG73" s="557"/>
      <c r="VDH73" s="557"/>
      <c r="VDI73" s="557"/>
      <c r="VDJ73" s="557"/>
      <c r="VDK73" s="557"/>
      <c r="VDL73" s="557"/>
      <c r="VDM73" s="557"/>
      <c r="VDN73" s="557"/>
      <c r="VDO73" s="557"/>
      <c r="VDP73" s="557"/>
      <c r="VDQ73" s="557"/>
      <c r="VDR73" s="557"/>
      <c r="VDS73" s="557"/>
      <c r="VDT73" s="557"/>
      <c r="VDU73" s="557"/>
      <c r="VDV73" s="557"/>
      <c r="VDW73" s="661"/>
      <c r="VDX73" s="556"/>
      <c r="VDY73" s="557"/>
      <c r="VDZ73" s="557"/>
      <c r="VEA73" s="557"/>
      <c r="VEB73" s="557"/>
      <c r="VEC73" s="557"/>
      <c r="VED73" s="557"/>
      <c r="VEE73" s="557"/>
      <c r="VEF73" s="557"/>
      <c r="VEG73" s="557"/>
      <c r="VEH73" s="557"/>
      <c r="VEI73" s="557"/>
      <c r="VEJ73" s="557"/>
      <c r="VEK73" s="557"/>
      <c r="VEL73" s="557"/>
      <c r="VEM73" s="557"/>
      <c r="VEN73" s="557"/>
      <c r="VEO73" s="557"/>
      <c r="VEP73" s="557"/>
      <c r="VEQ73" s="661"/>
      <c r="VER73" s="556"/>
      <c r="VES73" s="557"/>
      <c r="VET73" s="557"/>
      <c r="VEU73" s="557"/>
      <c r="VEV73" s="557"/>
      <c r="VEW73" s="557"/>
      <c r="VEX73" s="557"/>
      <c r="VEY73" s="557"/>
      <c r="VEZ73" s="557"/>
      <c r="VFA73" s="557"/>
      <c r="VFB73" s="557"/>
      <c r="VFC73" s="557"/>
      <c r="VFD73" s="557"/>
      <c r="VFE73" s="557"/>
      <c r="VFF73" s="557"/>
      <c r="VFG73" s="557"/>
      <c r="VFH73" s="557"/>
      <c r="VFI73" s="557"/>
      <c r="VFJ73" s="557"/>
      <c r="VFK73" s="661"/>
      <c r="VFL73" s="556"/>
      <c r="VFM73" s="557"/>
      <c r="VFN73" s="557"/>
      <c r="VFO73" s="557"/>
      <c r="VFP73" s="557"/>
      <c r="VFQ73" s="557"/>
      <c r="VFR73" s="557"/>
      <c r="VFS73" s="557"/>
      <c r="VFT73" s="557"/>
      <c r="VFU73" s="557"/>
      <c r="VFV73" s="557"/>
      <c r="VFW73" s="557"/>
      <c r="VFX73" s="557"/>
      <c r="VFY73" s="557"/>
      <c r="VFZ73" s="557"/>
      <c r="VGA73" s="557"/>
      <c r="VGB73" s="557"/>
      <c r="VGC73" s="557"/>
      <c r="VGD73" s="557"/>
      <c r="VGE73" s="661"/>
      <c r="VGF73" s="556"/>
      <c r="VGG73" s="557"/>
      <c r="VGH73" s="557"/>
      <c r="VGI73" s="557"/>
      <c r="VGJ73" s="557"/>
      <c r="VGK73" s="557"/>
      <c r="VGL73" s="557"/>
      <c r="VGM73" s="557"/>
      <c r="VGN73" s="557"/>
      <c r="VGO73" s="557"/>
      <c r="VGP73" s="557"/>
      <c r="VGQ73" s="557"/>
      <c r="VGR73" s="557"/>
      <c r="VGS73" s="557"/>
      <c r="VGT73" s="557"/>
      <c r="VGU73" s="557"/>
      <c r="VGV73" s="557"/>
      <c r="VGW73" s="557"/>
      <c r="VGX73" s="557"/>
      <c r="VGY73" s="661"/>
      <c r="VGZ73" s="556"/>
      <c r="VHA73" s="557"/>
      <c r="VHB73" s="557"/>
      <c r="VHC73" s="557"/>
      <c r="VHD73" s="557"/>
      <c r="VHE73" s="557"/>
      <c r="VHF73" s="557"/>
      <c r="VHG73" s="557"/>
      <c r="VHH73" s="557"/>
      <c r="VHI73" s="557"/>
      <c r="VHJ73" s="557"/>
      <c r="VHK73" s="557"/>
      <c r="VHL73" s="557"/>
      <c r="VHM73" s="557"/>
      <c r="VHN73" s="557"/>
      <c r="VHO73" s="557"/>
      <c r="VHP73" s="557"/>
      <c r="VHQ73" s="557"/>
      <c r="VHR73" s="557"/>
      <c r="VHS73" s="661"/>
      <c r="VHT73" s="556"/>
      <c r="VHU73" s="557"/>
      <c r="VHV73" s="557"/>
      <c r="VHW73" s="557"/>
      <c r="VHX73" s="557"/>
      <c r="VHY73" s="557"/>
      <c r="VHZ73" s="557"/>
      <c r="VIA73" s="557"/>
      <c r="VIB73" s="557"/>
      <c r="VIC73" s="557"/>
      <c r="VID73" s="557"/>
      <c r="VIE73" s="557"/>
      <c r="VIF73" s="557"/>
      <c r="VIG73" s="557"/>
      <c r="VIH73" s="557"/>
      <c r="VII73" s="557"/>
      <c r="VIJ73" s="557"/>
      <c r="VIK73" s="557"/>
      <c r="VIL73" s="557"/>
      <c r="VIM73" s="661"/>
      <c r="VIN73" s="556"/>
      <c r="VIO73" s="557"/>
      <c r="VIP73" s="557"/>
      <c r="VIQ73" s="557"/>
      <c r="VIR73" s="557"/>
      <c r="VIS73" s="557"/>
      <c r="VIT73" s="557"/>
      <c r="VIU73" s="557"/>
      <c r="VIV73" s="557"/>
      <c r="VIW73" s="557"/>
      <c r="VIX73" s="557"/>
      <c r="VIY73" s="557"/>
      <c r="VIZ73" s="557"/>
      <c r="VJA73" s="557"/>
      <c r="VJB73" s="557"/>
      <c r="VJC73" s="557"/>
      <c r="VJD73" s="557"/>
      <c r="VJE73" s="557"/>
      <c r="VJF73" s="557"/>
      <c r="VJG73" s="661"/>
      <c r="VJH73" s="556"/>
      <c r="VJI73" s="557"/>
      <c r="VJJ73" s="557"/>
      <c r="VJK73" s="557"/>
      <c r="VJL73" s="557"/>
      <c r="VJM73" s="557"/>
      <c r="VJN73" s="557"/>
      <c r="VJO73" s="557"/>
      <c r="VJP73" s="557"/>
      <c r="VJQ73" s="557"/>
      <c r="VJR73" s="557"/>
      <c r="VJS73" s="557"/>
      <c r="VJT73" s="557"/>
      <c r="VJU73" s="557"/>
      <c r="VJV73" s="557"/>
      <c r="VJW73" s="557"/>
      <c r="VJX73" s="557"/>
      <c r="VJY73" s="557"/>
      <c r="VJZ73" s="557"/>
      <c r="VKA73" s="661"/>
      <c r="VKB73" s="556"/>
      <c r="VKC73" s="557"/>
      <c r="VKD73" s="557"/>
      <c r="VKE73" s="557"/>
      <c r="VKF73" s="557"/>
      <c r="VKG73" s="557"/>
      <c r="VKH73" s="557"/>
      <c r="VKI73" s="557"/>
      <c r="VKJ73" s="557"/>
      <c r="VKK73" s="557"/>
      <c r="VKL73" s="557"/>
      <c r="VKM73" s="557"/>
      <c r="VKN73" s="557"/>
      <c r="VKO73" s="557"/>
      <c r="VKP73" s="557"/>
      <c r="VKQ73" s="557"/>
      <c r="VKR73" s="557"/>
      <c r="VKS73" s="557"/>
      <c r="VKT73" s="557"/>
      <c r="VKU73" s="661"/>
      <c r="VKV73" s="556"/>
      <c r="VKW73" s="557"/>
      <c r="VKX73" s="557"/>
      <c r="VKY73" s="557"/>
      <c r="VKZ73" s="557"/>
      <c r="VLA73" s="557"/>
      <c r="VLB73" s="557"/>
      <c r="VLC73" s="557"/>
      <c r="VLD73" s="557"/>
      <c r="VLE73" s="557"/>
      <c r="VLF73" s="557"/>
      <c r="VLG73" s="557"/>
      <c r="VLH73" s="557"/>
      <c r="VLI73" s="557"/>
      <c r="VLJ73" s="557"/>
      <c r="VLK73" s="557"/>
      <c r="VLL73" s="557"/>
      <c r="VLM73" s="557"/>
      <c r="VLN73" s="557"/>
      <c r="VLO73" s="661"/>
      <c r="VLP73" s="556"/>
      <c r="VLQ73" s="557"/>
      <c r="VLR73" s="557"/>
      <c r="VLS73" s="557"/>
      <c r="VLT73" s="557"/>
      <c r="VLU73" s="557"/>
      <c r="VLV73" s="557"/>
      <c r="VLW73" s="557"/>
      <c r="VLX73" s="557"/>
      <c r="VLY73" s="557"/>
      <c r="VLZ73" s="557"/>
      <c r="VMA73" s="557"/>
      <c r="VMB73" s="557"/>
      <c r="VMC73" s="557"/>
      <c r="VMD73" s="557"/>
      <c r="VME73" s="557"/>
      <c r="VMF73" s="557"/>
      <c r="VMG73" s="557"/>
      <c r="VMH73" s="557"/>
      <c r="VMI73" s="661"/>
      <c r="VMJ73" s="556"/>
      <c r="VMK73" s="557"/>
      <c r="VML73" s="557"/>
      <c r="VMM73" s="557"/>
      <c r="VMN73" s="557"/>
      <c r="VMO73" s="557"/>
      <c r="VMP73" s="557"/>
      <c r="VMQ73" s="557"/>
      <c r="VMR73" s="557"/>
      <c r="VMS73" s="557"/>
      <c r="VMT73" s="557"/>
      <c r="VMU73" s="557"/>
      <c r="VMV73" s="557"/>
      <c r="VMW73" s="557"/>
      <c r="VMX73" s="557"/>
      <c r="VMY73" s="557"/>
      <c r="VMZ73" s="557"/>
      <c r="VNA73" s="557"/>
      <c r="VNB73" s="557"/>
      <c r="VNC73" s="661"/>
      <c r="VND73" s="556"/>
      <c r="VNE73" s="557"/>
      <c r="VNF73" s="557"/>
      <c r="VNG73" s="557"/>
      <c r="VNH73" s="557"/>
      <c r="VNI73" s="557"/>
      <c r="VNJ73" s="557"/>
      <c r="VNK73" s="557"/>
      <c r="VNL73" s="557"/>
      <c r="VNM73" s="557"/>
      <c r="VNN73" s="557"/>
      <c r="VNO73" s="557"/>
      <c r="VNP73" s="557"/>
      <c r="VNQ73" s="557"/>
      <c r="VNR73" s="557"/>
      <c r="VNS73" s="557"/>
      <c r="VNT73" s="557"/>
      <c r="VNU73" s="557"/>
      <c r="VNV73" s="557"/>
      <c r="VNW73" s="661"/>
      <c r="VNX73" s="556"/>
      <c r="VNY73" s="557"/>
      <c r="VNZ73" s="557"/>
      <c r="VOA73" s="557"/>
      <c r="VOB73" s="557"/>
      <c r="VOC73" s="557"/>
      <c r="VOD73" s="557"/>
      <c r="VOE73" s="557"/>
      <c r="VOF73" s="557"/>
      <c r="VOG73" s="557"/>
      <c r="VOH73" s="557"/>
      <c r="VOI73" s="557"/>
      <c r="VOJ73" s="557"/>
      <c r="VOK73" s="557"/>
      <c r="VOL73" s="557"/>
      <c r="VOM73" s="557"/>
      <c r="VON73" s="557"/>
      <c r="VOO73" s="557"/>
      <c r="VOP73" s="557"/>
      <c r="VOQ73" s="661"/>
      <c r="VOR73" s="556"/>
      <c r="VOS73" s="557"/>
      <c r="VOT73" s="557"/>
      <c r="VOU73" s="557"/>
      <c r="VOV73" s="557"/>
      <c r="VOW73" s="557"/>
      <c r="VOX73" s="557"/>
      <c r="VOY73" s="557"/>
      <c r="VOZ73" s="557"/>
      <c r="VPA73" s="557"/>
      <c r="VPB73" s="557"/>
      <c r="VPC73" s="557"/>
      <c r="VPD73" s="557"/>
      <c r="VPE73" s="557"/>
      <c r="VPF73" s="557"/>
      <c r="VPG73" s="557"/>
      <c r="VPH73" s="557"/>
      <c r="VPI73" s="557"/>
      <c r="VPJ73" s="557"/>
      <c r="VPK73" s="661"/>
      <c r="VPL73" s="556"/>
      <c r="VPM73" s="557"/>
      <c r="VPN73" s="557"/>
      <c r="VPO73" s="557"/>
      <c r="VPP73" s="557"/>
      <c r="VPQ73" s="557"/>
      <c r="VPR73" s="557"/>
      <c r="VPS73" s="557"/>
      <c r="VPT73" s="557"/>
      <c r="VPU73" s="557"/>
      <c r="VPV73" s="557"/>
      <c r="VPW73" s="557"/>
      <c r="VPX73" s="557"/>
      <c r="VPY73" s="557"/>
      <c r="VPZ73" s="557"/>
      <c r="VQA73" s="557"/>
      <c r="VQB73" s="557"/>
      <c r="VQC73" s="557"/>
      <c r="VQD73" s="557"/>
      <c r="VQE73" s="661"/>
      <c r="VQF73" s="556"/>
      <c r="VQG73" s="557"/>
      <c r="VQH73" s="557"/>
      <c r="VQI73" s="557"/>
      <c r="VQJ73" s="557"/>
      <c r="VQK73" s="557"/>
      <c r="VQL73" s="557"/>
      <c r="VQM73" s="557"/>
      <c r="VQN73" s="557"/>
      <c r="VQO73" s="557"/>
      <c r="VQP73" s="557"/>
      <c r="VQQ73" s="557"/>
      <c r="VQR73" s="557"/>
      <c r="VQS73" s="557"/>
      <c r="VQT73" s="557"/>
      <c r="VQU73" s="557"/>
      <c r="VQV73" s="557"/>
      <c r="VQW73" s="557"/>
      <c r="VQX73" s="557"/>
      <c r="VQY73" s="661"/>
      <c r="VQZ73" s="556"/>
      <c r="VRA73" s="557"/>
      <c r="VRB73" s="557"/>
      <c r="VRC73" s="557"/>
      <c r="VRD73" s="557"/>
      <c r="VRE73" s="557"/>
      <c r="VRF73" s="557"/>
      <c r="VRG73" s="557"/>
      <c r="VRH73" s="557"/>
      <c r="VRI73" s="557"/>
      <c r="VRJ73" s="557"/>
      <c r="VRK73" s="557"/>
      <c r="VRL73" s="557"/>
      <c r="VRM73" s="557"/>
      <c r="VRN73" s="557"/>
      <c r="VRO73" s="557"/>
      <c r="VRP73" s="557"/>
      <c r="VRQ73" s="557"/>
      <c r="VRR73" s="557"/>
      <c r="VRS73" s="661"/>
      <c r="VRT73" s="556"/>
      <c r="VRU73" s="557"/>
      <c r="VRV73" s="557"/>
      <c r="VRW73" s="557"/>
      <c r="VRX73" s="557"/>
      <c r="VRY73" s="557"/>
      <c r="VRZ73" s="557"/>
      <c r="VSA73" s="557"/>
      <c r="VSB73" s="557"/>
      <c r="VSC73" s="557"/>
      <c r="VSD73" s="557"/>
      <c r="VSE73" s="557"/>
      <c r="VSF73" s="557"/>
      <c r="VSG73" s="557"/>
      <c r="VSH73" s="557"/>
      <c r="VSI73" s="557"/>
      <c r="VSJ73" s="557"/>
      <c r="VSK73" s="557"/>
      <c r="VSL73" s="557"/>
      <c r="VSM73" s="661"/>
      <c r="VSN73" s="556"/>
      <c r="VSO73" s="557"/>
      <c r="VSP73" s="557"/>
      <c r="VSQ73" s="557"/>
      <c r="VSR73" s="557"/>
      <c r="VSS73" s="557"/>
      <c r="VST73" s="557"/>
      <c r="VSU73" s="557"/>
      <c r="VSV73" s="557"/>
      <c r="VSW73" s="557"/>
      <c r="VSX73" s="557"/>
      <c r="VSY73" s="557"/>
      <c r="VSZ73" s="557"/>
      <c r="VTA73" s="557"/>
      <c r="VTB73" s="557"/>
      <c r="VTC73" s="557"/>
      <c r="VTD73" s="557"/>
      <c r="VTE73" s="557"/>
      <c r="VTF73" s="557"/>
      <c r="VTG73" s="661"/>
      <c r="VTH73" s="556"/>
      <c r="VTI73" s="557"/>
      <c r="VTJ73" s="557"/>
      <c r="VTK73" s="557"/>
      <c r="VTL73" s="557"/>
      <c r="VTM73" s="557"/>
      <c r="VTN73" s="557"/>
      <c r="VTO73" s="557"/>
      <c r="VTP73" s="557"/>
      <c r="VTQ73" s="557"/>
      <c r="VTR73" s="557"/>
      <c r="VTS73" s="557"/>
      <c r="VTT73" s="557"/>
      <c r="VTU73" s="557"/>
      <c r="VTV73" s="557"/>
      <c r="VTW73" s="557"/>
      <c r="VTX73" s="557"/>
      <c r="VTY73" s="557"/>
      <c r="VTZ73" s="557"/>
      <c r="VUA73" s="661"/>
      <c r="VUB73" s="556"/>
      <c r="VUC73" s="557"/>
      <c r="VUD73" s="557"/>
      <c r="VUE73" s="557"/>
      <c r="VUF73" s="557"/>
      <c r="VUG73" s="557"/>
      <c r="VUH73" s="557"/>
      <c r="VUI73" s="557"/>
      <c r="VUJ73" s="557"/>
      <c r="VUK73" s="557"/>
      <c r="VUL73" s="557"/>
      <c r="VUM73" s="557"/>
      <c r="VUN73" s="557"/>
      <c r="VUO73" s="557"/>
      <c r="VUP73" s="557"/>
      <c r="VUQ73" s="557"/>
      <c r="VUR73" s="557"/>
      <c r="VUS73" s="557"/>
      <c r="VUT73" s="557"/>
      <c r="VUU73" s="661"/>
      <c r="VUV73" s="556"/>
      <c r="VUW73" s="557"/>
      <c r="VUX73" s="557"/>
      <c r="VUY73" s="557"/>
      <c r="VUZ73" s="557"/>
      <c r="VVA73" s="557"/>
      <c r="VVB73" s="557"/>
      <c r="VVC73" s="557"/>
      <c r="VVD73" s="557"/>
      <c r="VVE73" s="557"/>
      <c r="VVF73" s="557"/>
      <c r="VVG73" s="557"/>
      <c r="VVH73" s="557"/>
      <c r="VVI73" s="557"/>
      <c r="VVJ73" s="557"/>
      <c r="VVK73" s="557"/>
      <c r="VVL73" s="557"/>
      <c r="VVM73" s="557"/>
      <c r="VVN73" s="557"/>
      <c r="VVO73" s="661"/>
      <c r="VVP73" s="556"/>
      <c r="VVQ73" s="557"/>
      <c r="VVR73" s="557"/>
      <c r="VVS73" s="557"/>
      <c r="VVT73" s="557"/>
      <c r="VVU73" s="557"/>
      <c r="VVV73" s="557"/>
      <c r="VVW73" s="557"/>
      <c r="VVX73" s="557"/>
      <c r="VVY73" s="557"/>
      <c r="VVZ73" s="557"/>
      <c r="VWA73" s="557"/>
      <c r="VWB73" s="557"/>
      <c r="VWC73" s="557"/>
      <c r="VWD73" s="557"/>
      <c r="VWE73" s="557"/>
      <c r="VWF73" s="557"/>
      <c r="VWG73" s="557"/>
      <c r="VWH73" s="557"/>
      <c r="VWI73" s="661"/>
      <c r="VWJ73" s="556"/>
      <c r="VWK73" s="557"/>
      <c r="VWL73" s="557"/>
      <c r="VWM73" s="557"/>
      <c r="VWN73" s="557"/>
      <c r="VWO73" s="557"/>
      <c r="VWP73" s="557"/>
      <c r="VWQ73" s="557"/>
      <c r="VWR73" s="557"/>
      <c r="VWS73" s="557"/>
      <c r="VWT73" s="557"/>
      <c r="VWU73" s="557"/>
      <c r="VWV73" s="557"/>
      <c r="VWW73" s="557"/>
      <c r="VWX73" s="557"/>
      <c r="VWY73" s="557"/>
      <c r="VWZ73" s="557"/>
      <c r="VXA73" s="557"/>
      <c r="VXB73" s="557"/>
      <c r="VXC73" s="661"/>
      <c r="VXD73" s="556"/>
      <c r="VXE73" s="557"/>
      <c r="VXF73" s="557"/>
      <c r="VXG73" s="557"/>
      <c r="VXH73" s="557"/>
      <c r="VXI73" s="557"/>
      <c r="VXJ73" s="557"/>
      <c r="VXK73" s="557"/>
      <c r="VXL73" s="557"/>
      <c r="VXM73" s="557"/>
      <c r="VXN73" s="557"/>
      <c r="VXO73" s="557"/>
      <c r="VXP73" s="557"/>
      <c r="VXQ73" s="557"/>
      <c r="VXR73" s="557"/>
      <c r="VXS73" s="557"/>
      <c r="VXT73" s="557"/>
      <c r="VXU73" s="557"/>
      <c r="VXV73" s="557"/>
      <c r="VXW73" s="661"/>
      <c r="VXX73" s="556"/>
      <c r="VXY73" s="557"/>
      <c r="VXZ73" s="557"/>
      <c r="VYA73" s="557"/>
      <c r="VYB73" s="557"/>
      <c r="VYC73" s="557"/>
      <c r="VYD73" s="557"/>
      <c r="VYE73" s="557"/>
      <c r="VYF73" s="557"/>
      <c r="VYG73" s="557"/>
      <c r="VYH73" s="557"/>
      <c r="VYI73" s="557"/>
      <c r="VYJ73" s="557"/>
      <c r="VYK73" s="557"/>
      <c r="VYL73" s="557"/>
      <c r="VYM73" s="557"/>
      <c r="VYN73" s="557"/>
      <c r="VYO73" s="557"/>
      <c r="VYP73" s="557"/>
      <c r="VYQ73" s="661"/>
      <c r="VYR73" s="556"/>
      <c r="VYS73" s="557"/>
      <c r="VYT73" s="557"/>
      <c r="VYU73" s="557"/>
      <c r="VYV73" s="557"/>
      <c r="VYW73" s="557"/>
      <c r="VYX73" s="557"/>
      <c r="VYY73" s="557"/>
      <c r="VYZ73" s="557"/>
      <c r="VZA73" s="557"/>
      <c r="VZB73" s="557"/>
      <c r="VZC73" s="557"/>
      <c r="VZD73" s="557"/>
      <c r="VZE73" s="557"/>
      <c r="VZF73" s="557"/>
      <c r="VZG73" s="557"/>
      <c r="VZH73" s="557"/>
      <c r="VZI73" s="557"/>
      <c r="VZJ73" s="557"/>
      <c r="VZK73" s="661"/>
      <c r="VZL73" s="556"/>
      <c r="VZM73" s="557"/>
      <c r="VZN73" s="557"/>
      <c r="VZO73" s="557"/>
      <c r="VZP73" s="557"/>
      <c r="VZQ73" s="557"/>
      <c r="VZR73" s="557"/>
      <c r="VZS73" s="557"/>
      <c r="VZT73" s="557"/>
      <c r="VZU73" s="557"/>
      <c r="VZV73" s="557"/>
      <c r="VZW73" s="557"/>
      <c r="VZX73" s="557"/>
      <c r="VZY73" s="557"/>
      <c r="VZZ73" s="557"/>
      <c r="WAA73" s="557"/>
      <c r="WAB73" s="557"/>
      <c r="WAC73" s="557"/>
      <c r="WAD73" s="557"/>
      <c r="WAE73" s="661"/>
      <c r="WAF73" s="556"/>
      <c r="WAG73" s="557"/>
      <c r="WAH73" s="557"/>
      <c r="WAI73" s="557"/>
      <c r="WAJ73" s="557"/>
      <c r="WAK73" s="557"/>
      <c r="WAL73" s="557"/>
      <c r="WAM73" s="557"/>
      <c r="WAN73" s="557"/>
      <c r="WAO73" s="557"/>
      <c r="WAP73" s="557"/>
      <c r="WAQ73" s="557"/>
      <c r="WAR73" s="557"/>
      <c r="WAS73" s="557"/>
      <c r="WAT73" s="557"/>
      <c r="WAU73" s="557"/>
      <c r="WAV73" s="557"/>
      <c r="WAW73" s="557"/>
      <c r="WAX73" s="557"/>
      <c r="WAY73" s="661"/>
      <c r="WAZ73" s="556"/>
      <c r="WBA73" s="557"/>
      <c r="WBB73" s="557"/>
      <c r="WBC73" s="557"/>
      <c r="WBD73" s="557"/>
      <c r="WBE73" s="557"/>
      <c r="WBF73" s="557"/>
      <c r="WBG73" s="557"/>
      <c r="WBH73" s="557"/>
      <c r="WBI73" s="557"/>
      <c r="WBJ73" s="557"/>
      <c r="WBK73" s="557"/>
      <c r="WBL73" s="557"/>
      <c r="WBM73" s="557"/>
      <c r="WBN73" s="557"/>
      <c r="WBO73" s="557"/>
      <c r="WBP73" s="557"/>
      <c r="WBQ73" s="557"/>
      <c r="WBR73" s="557"/>
      <c r="WBS73" s="661"/>
      <c r="WBT73" s="556"/>
      <c r="WBU73" s="557"/>
      <c r="WBV73" s="557"/>
      <c r="WBW73" s="557"/>
      <c r="WBX73" s="557"/>
      <c r="WBY73" s="557"/>
      <c r="WBZ73" s="557"/>
      <c r="WCA73" s="557"/>
      <c r="WCB73" s="557"/>
      <c r="WCC73" s="557"/>
      <c r="WCD73" s="557"/>
      <c r="WCE73" s="557"/>
      <c r="WCF73" s="557"/>
      <c r="WCG73" s="557"/>
      <c r="WCH73" s="557"/>
      <c r="WCI73" s="557"/>
      <c r="WCJ73" s="557"/>
      <c r="WCK73" s="557"/>
      <c r="WCL73" s="557"/>
      <c r="WCM73" s="661"/>
      <c r="WCN73" s="556"/>
      <c r="WCO73" s="557"/>
      <c r="WCP73" s="557"/>
      <c r="WCQ73" s="557"/>
      <c r="WCR73" s="557"/>
      <c r="WCS73" s="557"/>
      <c r="WCT73" s="557"/>
      <c r="WCU73" s="557"/>
      <c r="WCV73" s="557"/>
      <c r="WCW73" s="557"/>
      <c r="WCX73" s="557"/>
      <c r="WCY73" s="557"/>
      <c r="WCZ73" s="557"/>
      <c r="WDA73" s="557"/>
      <c r="WDB73" s="557"/>
      <c r="WDC73" s="557"/>
      <c r="WDD73" s="557"/>
      <c r="WDE73" s="557"/>
      <c r="WDF73" s="557"/>
      <c r="WDG73" s="661"/>
      <c r="WDH73" s="556"/>
      <c r="WDI73" s="557"/>
      <c r="WDJ73" s="557"/>
      <c r="WDK73" s="557"/>
      <c r="WDL73" s="557"/>
      <c r="WDM73" s="557"/>
      <c r="WDN73" s="557"/>
      <c r="WDO73" s="557"/>
      <c r="WDP73" s="557"/>
      <c r="WDQ73" s="557"/>
      <c r="WDR73" s="557"/>
      <c r="WDS73" s="557"/>
      <c r="WDT73" s="557"/>
      <c r="WDU73" s="557"/>
      <c r="WDV73" s="557"/>
      <c r="WDW73" s="557"/>
      <c r="WDX73" s="557"/>
      <c r="WDY73" s="557"/>
      <c r="WDZ73" s="557"/>
      <c r="WEA73" s="661"/>
      <c r="WEB73" s="556"/>
      <c r="WEC73" s="557"/>
      <c r="WED73" s="557"/>
      <c r="WEE73" s="557"/>
      <c r="WEF73" s="557"/>
      <c r="WEG73" s="557"/>
      <c r="WEH73" s="557"/>
      <c r="WEI73" s="557"/>
      <c r="WEJ73" s="557"/>
      <c r="WEK73" s="557"/>
      <c r="WEL73" s="557"/>
      <c r="WEM73" s="557"/>
      <c r="WEN73" s="557"/>
      <c r="WEO73" s="557"/>
      <c r="WEP73" s="557"/>
      <c r="WEQ73" s="557"/>
      <c r="WER73" s="557"/>
      <c r="WES73" s="557"/>
      <c r="WET73" s="557"/>
      <c r="WEU73" s="661"/>
      <c r="WEV73" s="556"/>
      <c r="WEW73" s="557"/>
      <c r="WEX73" s="557"/>
      <c r="WEY73" s="557"/>
      <c r="WEZ73" s="557"/>
      <c r="WFA73" s="557"/>
      <c r="WFB73" s="557"/>
      <c r="WFC73" s="557"/>
      <c r="WFD73" s="557"/>
      <c r="WFE73" s="557"/>
      <c r="WFF73" s="557"/>
      <c r="WFG73" s="557"/>
      <c r="WFH73" s="557"/>
      <c r="WFI73" s="557"/>
      <c r="WFJ73" s="557"/>
      <c r="WFK73" s="557"/>
      <c r="WFL73" s="557"/>
      <c r="WFM73" s="557"/>
      <c r="WFN73" s="557"/>
      <c r="WFO73" s="661"/>
      <c r="WFP73" s="556"/>
      <c r="WFQ73" s="557"/>
      <c r="WFR73" s="557"/>
      <c r="WFS73" s="557"/>
      <c r="WFT73" s="557"/>
      <c r="WFU73" s="557"/>
      <c r="WFV73" s="557"/>
      <c r="WFW73" s="557"/>
      <c r="WFX73" s="557"/>
      <c r="WFY73" s="557"/>
      <c r="WFZ73" s="557"/>
      <c r="WGA73" s="557"/>
      <c r="WGB73" s="557"/>
      <c r="WGC73" s="557"/>
      <c r="WGD73" s="557"/>
      <c r="WGE73" s="557"/>
      <c r="WGF73" s="557"/>
      <c r="WGG73" s="557"/>
      <c r="WGH73" s="557"/>
      <c r="WGI73" s="661"/>
      <c r="WGJ73" s="556"/>
      <c r="WGK73" s="557"/>
      <c r="WGL73" s="557"/>
      <c r="WGM73" s="557"/>
      <c r="WGN73" s="557"/>
      <c r="WGO73" s="557"/>
      <c r="WGP73" s="557"/>
      <c r="WGQ73" s="557"/>
      <c r="WGR73" s="557"/>
      <c r="WGS73" s="557"/>
      <c r="WGT73" s="557"/>
      <c r="WGU73" s="557"/>
      <c r="WGV73" s="557"/>
      <c r="WGW73" s="557"/>
      <c r="WGX73" s="557"/>
      <c r="WGY73" s="557"/>
      <c r="WGZ73" s="557"/>
      <c r="WHA73" s="557"/>
      <c r="WHB73" s="557"/>
      <c r="WHC73" s="661"/>
      <c r="WHD73" s="556"/>
      <c r="WHE73" s="557"/>
      <c r="WHF73" s="557"/>
      <c r="WHG73" s="557"/>
      <c r="WHH73" s="557"/>
      <c r="WHI73" s="557"/>
      <c r="WHJ73" s="557"/>
      <c r="WHK73" s="557"/>
      <c r="WHL73" s="557"/>
      <c r="WHM73" s="557"/>
      <c r="WHN73" s="557"/>
      <c r="WHO73" s="557"/>
      <c r="WHP73" s="557"/>
      <c r="WHQ73" s="557"/>
      <c r="WHR73" s="557"/>
      <c r="WHS73" s="557"/>
      <c r="WHT73" s="557"/>
      <c r="WHU73" s="557"/>
      <c r="WHV73" s="557"/>
      <c r="WHW73" s="661"/>
      <c r="WHX73" s="556"/>
      <c r="WHY73" s="557"/>
      <c r="WHZ73" s="557"/>
      <c r="WIA73" s="557"/>
      <c r="WIB73" s="557"/>
      <c r="WIC73" s="557"/>
      <c r="WID73" s="557"/>
      <c r="WIE73" s="557"/>
      <c r="WIF73" s="557"/>
      <c r="WIG73" s="557"/>
      <c r="WIH73" s="557"/>
      <c r="WII73" s="557"/>
      <c r="WIJ73" s="557"/>
      <c r="WIK73" s="557"/>
      <c r="WIL73" s="557"/>
      <c r="WIM73" s="557"/>
      <c r="WIN73" s="557"/>
      <c r="WIO73" s="557"/>
      <c r="WIP73" s="557"/>
      <c r="WIQ73" s="661"/>
      <c r="WIR73" s="556"/>
      <c r="WIS73" s="557"/>
      <c r="WIT73" s="557"/>
      <c r="WIU73" s="557"/>
      <c r="WIV73" s="557"/>
      <c r="WIW73" s="557"/>
      <c r="WIX73" s="557"/>
      <c r="WIY73" s="557"/>
      <c r="WIZ73" s="557"/>
      <c r="WJA73" s="557"/>
      <c r="WJB73" s="557"/>
      <c r="WJC73" s="557"/>
      <c r="WJD73" s="557"/>
      <c r="WJE73" s="557"/>
      <c r="WJF73" s="557"/>
      <c r="WJG73" s="557"/>
      <c r="WJH73" s="557"/>
      <c r="WJI73" s="557"/>
      <c r="WJJ73" s="557"/>
      <c r="WJK73" s="661"/>
      <c r="WJL73" s="556"/>
      <c r="WJM73" s="557"/>
      <c r="WJN73" s="557"/>
      <c r="WJO73" s="557"/>
      <c r="WJP73" s="557"/>
      <c r="WJQ73" s="557"/>
      <c r="WJR73" s="557"/>
      <c r="WJS73" s="557"/>
      <c r="WJT73" s="557"/>
      <c r="WJU73" s="557"/>
      <c r="WJV73" s="557"/>
      <c r="WJW73" s="557"/>
      <c r="WJX73" s="557"/>
      <c r="WJY73" s="557"/>
      <c r="WJZ73" s="557"/>
      <c r="WKA73" s="557"/>
      <c r="WKB73" s="557"/>
      <c r="WKC73" s="557"/>
      <c r="WKD73" s="557"/>
      <c r="WKE73" s="661"/>
      <c r="WKF73" s="556"/>
      <c r="WKG73" s="557"/>
      <c r="WKH73" s="557"/>
      <c r="WKI73" s="557"/>
      <c r="WKJ73" s="557"/>
      <c r="WKK73" s="557"/>
      <c r="WKL73" s="557"/>
      <c r="WKM73" s="557"/>
      <c r="WKN73" s="557"/>
      <c r="WKO73" s="557"/>
      <c r="WKP73" s="557"/>
      <c r="WKQ73" s="557"/>
      <c r="WKR73" s="557"/>
      <c r="WKS73" s="557"/>
      <c r="WKT73" s="557"/>
      <c r="WKU73" s="557"/>
      <c r="WKV73" s="557"/>
      <c r="WKW73" s="557"/>
      <c r="WKX73" s="557"/>
      <c r="WKY73" s="661"/>
      <c r="WKZ73" s="556"/>
      <c r="WLA73" s="557"/>
      <c r="WLB73" s="557"/>
      <c r="WLC73" s="557"/>
      <c r="WLD73" s="557"/>
      <c r="WLE73" s="557"/>
      <c r="WLF73" s="557"/>
      <c r="WLG73" s="557"/>
      <c r="WLH73" s="557"/>
      <c r="WLI73" s="557"/>
      <c r="WLJ73" s="557"/>
      <c r="WLK73" s="557"/>
      <c r="WLL73" s="557"/>
      <c r="WLM73" s="557"/>
      <c r="WLN73" s="557"/>
      <c r="WLO73" s="557"/>
      <c r="WLP73" s="557"/>
      <c r="WLQ73" s="557"/>
      <c r="WLR73" s="557"/>
      <c r="WLS73" s="661"/>
      <c r="WLT73" s="556"/>
      <c r="WLU73" s="557"/>
      <c r="WLV73" s="557"/>
      <c r="WLW73" s="557"/>
      <c r="WLX73" s="557"/>
      <c r="WLY73" s="557"/>
      <c r="WLZ73" s="557"/>
      <c r="WMA73" s="557"/>
      <c r="WMB73" s="557"/>
      <c r="WMC73" s="557"/>
      <c r="WMD73" s="557"/>
      <c r="WME73" s="557"/>
      <c r="WMF73" s="557"/>
      <c r="WMG73" s="557"/>
      <c r="WMH73" s="557"/>
      <c r="WMI73" s="557"/>
      <c r="WMJ73" s="557"/>
      <c r="WMK73" s="557"/>
      <c r="WML73" s="557"/>
      <c r="WMM73" s="661"/>
      <c r="WMN73" s="556"/>
      <c r="WMO73" s="557"/>
      <c r="WMP73" s="557"/>
      <c r="WMQ73" s="557"/>
      <c r="WMR73" s="557"/>
      <c r="WMS73" s="557"/>
      <c r="WMT73" s="557"/>
      <c r="WMU73" s="557"/>
      <c r="WMV73" s="557"/>
      <c r="WMW73" s="557"/>
      <c r="WMX73" s="557"/>
      <c r="WMY73" s="557"/>
      <c r="WMZ73" s="557"/>
      <c r="WNA73" s="557"/>
      <c r="WNB73" s="557"/>
      <c r="WNC73" s="557"/>
      <c r="WND73" s="557"/>
      <c r="WNE73" s="557"/>
      <c r="WNF73" s="557"/>
      <c r="WNG73" s="661"/>
      <c r="WNH73" s="556"/>
      <c r="WNI73" s="557"/>
      <c r="WNJ73" s="557"/>
      <c r="WNK73" s="557"/>
      <c r="WNL73" s="557"/>
      <c r="WNM73" s="557"/>
      <c r="WNN73" s="557"/>
      <c r="WNO73" s="557"/>
      <c r="WNP73" s="557"/>
      <c r="WNQ73" s="557"/>
      <c r="WNR73" s="557"/>
      <c r="WNS73" s="557"/>
      <c r="WNT73" s="557"/>
      <c r="WNU73" s="557"/>
      <c r="WNV73" s="557"/>
      <c r="WNW73" s="557"/>
      <c r="WNX73" s="557"/>
      <c r="WNY73" s="557"/>
      <c r="WNZ73" s="557"/>
      <c r="WOA73" s="661"/>
      <c r="WOB73" s="556"/>
      <c r="WOC73" s="557"/>
      <c r="WOD73" s="557"/>
      <c r="WOE73" s="557"/>
      <c r="WOF73" s="557"/>
      <c r="WOG73" s="557"/>
      <c r="WOH73" s="557"/>
      <c r="WOI73" s="557"/>
      <c r="WOJ73" s="557"/>
      <c r="WOK73" s="557"/>
      <c r="WOL73" s="557"/>
      <c r="WOM73" s="557"/>
      <c r="WON73" s="557"/>
      <c r="WOO73" s="557"/>
      <c r="WOP73" s="557"/>
      <c r="WOQ73" s="557"/>
      <c r="WOR73" s="557"/>
      <c r="WOS73" s="557"/>
      <c r="WOT73" s="557"/>
      <c r="WOU73" s="661"/>
      <c r="WOV73" s="556"/>
      <c r="WOW73" s="557"/>
      <c r="WOX73" s="557"/>
      <c r="WOY73" s="557"/>
      <c r="WOZ73" s="557"/>
      <c r="WPA73" s="557"/>
      <c r="WPB73" s="557"/>
      <c r="WPC73" s="557"/>
      <c r="WPD73" s="557"/>
      <c r="WPE73" s="557"/>
      <c r="WPF73" s="557"/>
      <c r="WPG73" s="557"/>
      <c r="WPH73" s="557"/>
      <c r="WPI73" s="557"/>
      <c r="WPJ73" s="557"/>
      <c r="WPK73" s="557"/>
      <c r="WPL73" s="557"/>
      <c r="WPM73" s="557"/>
      <c r="WPN73" s="557"/>
      <c r="WPO73" s="661"/>
      <c r="WPP73" s="556"/>
      <c r="WPQ73" s="557"/>
      <c r="WPR73" s="557"/>
      <c r="WPS73" s="557"/>
      <c r="WPT73" s="557"/>
      <c r="WPU73" s="557"/>
      <c r="WPV73" s="557"/>
      <c r="WPW73" s="557"/>
      <c r="WPX73" s="557"/>
      <c r="WPY73" s="557"/>
      <c r="WPZ73" s="557"/>
      <c r="WQA73" s="557"/>
      <c r="WQB73" s="557"/>
      <c r="WQC73" s="557"/>
      <c r="WQD73" s="557"/>
      <c r="WQE73" s="557"/>
      <c r="WQF73" s="557"/>
      <c r="WQG73" s="557"/>
      <c r="WQH73" s="557"/>
      <c r="WQI73" s="661"/>
      <c r="WQJ73" s="556"/>
      <c r="WQK73" s="557"/>
      <c r="WQL73" s="557"/>
      <c r="WQM73" s="557"/>
      <c r="WQN73" s="557"/>
      <c r="WQO73" s="557"/>
      <c r="WQP73" s="557"/>
      <c r="WQQ73" s="557"/>
      <c r="WQR73" s="557"/>
      <c r="WQS73" s="557"/>
      <c r="WQT73" s="557"/>
      <c r="WQU73" s="557"/>
      <c r="WQV73" s="557"/>
      <c r="WQW73" s="557"/>
      <c r="WQX73" s="557"/>
      <c r="WQY73" s="557"/>
      <c r="WQZ73" s="557"/>
      <c r="WRA73" s="557"/>
      <c r="WRB73" s="557"/>
      <c r="WRC73" s="661"/>
      <c r="WRD73" s="556"/>
      <c r="WRE73" s="557"/>
      <c r="WRF73" s="557"/>
      <c r="WRG73" s="557"/>
      <c r="WRH73" s="557"/>
      <c r="WRI73" s="557"/>
      <c r="WRJ73" s="557"/>
      <c r="WRK73" s="557"/>
      <c r="WRL73" s="557"/>
      <c r="WRM73" s="557"/>
      <c r="WRN73" s="557"/>
      <c r="WRO73" s="557"/>
      <c r="WRP73" s="557"/>
      <c r="WRQ73" s="557"/>
      <c r="WRR73" s="557"/>
      <c r="WRS73" s="557"/>
      <c r="WRT73" s="557"/>
      <c r="WRU73" s="557"/>
      <c r="WRV73" s="557"/>
      <c r="WRW73" s="661"/>
      <c r="WRX73" s="556"/>
      <c r="WRY73" s="557"/>
      <c r="WRZ73" s="557"/>
      <c r="WSA73" s="557"/>
      <c r="WSB73" s="557"/>
      <c r="WSC73" s="557"/>
      <c r="WSD73" s="557"/>
      <c r="WSE73" s="557"/>
      <c r="WSF73" s="557"/>
      <c r="WSG73" s="557"/>
      <c r="WSH73" s="557"/>
      <c r="WSI73" s="557"/>
      <c r="WSJ73" s="557"/>
      <c r="WSK73" s="557"/>
      <c r="WSL73" s="557"/>
      <c r="WSM73" s="557"/>
      <c r="WSN73" s="557"/>
      <c r="WSO73" s="557"/>
      <c r="WSP73" s="557"/>
      <c r="WSQ73" s="661"/>
      <c r="WSR73" s="556"/>
      <c r="WSS73" s="557"/>
      <c r="WST73" s="557"/>
      <c r="WSU73" s="557"/>
      <c r="WSV73" s="557"/>
      <c r="WSW73" s="557"/>
      <c r="WSX73" s="557"/>
      <c r="WSY73" s="557"/>
      <c r="WSZ73" s="557"/>
      <c r="WTA73" s="557"/>
      <c r="WTB73" s="557"/>
      <c r="WTC73" s="557"/>
      <c r="WTD73" s="557"/>
      <c r="WTE73" s="557"/>
      <c r="WTF73" s="557"/>
      <c r="WTG73" s="557"/>
      <c r="WTH73" s="557"/>
      <c r="WTI73" s="557"/>
      <c r="WTJ73" s="557"/>
      <c r="WTK73" s="661"/>
      <c r="WTL73" s="556"/>
      <c r="WTM73" s="557"/>
      <c r="WTN73" s="557"/>
      <c r="WTO73" s="557"/>
      <c r="WTP73" s="557"/>
      <c r="WTQ73" s="557"/>
      <c r="WTR73" s="557"/>
      <c r="WTS73" s="557"/>
      <c r="WTT73" s="557"/>
      <c r="WTU73" s="557"/>
      <c r="WTV73" s="557"/>
      <c r="WTW73" s="557"/>
      <c r="WTX73" s="557"/>
      <c r="WTY73" s="557"/>
      <c r="WTZ73" s="557"/>
      <c r="WUA73" s="557"/>
      <c r="WUB73" s="557"/>
      <c r="WUC73" s="557"/>
      <c r="WUD73" s="557"/>
      <c r="WUE73" s="661"/>
      <c r="WUF73" s="556"/>
      <c r="WUG73" s="557"/>
      <c r="WUH73" s="557"/>
      <c r="WUI73" s="557"/>
      <c r="WUJ73" s="557"/>
      <c r="WUK73" s="557"/>
      <c r="WUL73" s="557"/>
      <c r="WUM73" s="557"/>
      <c r="WUN73" s="557"/>
      <c r="WUO73" s="557"/>
      <c r="WUP73" s="557"/>
      <c r="WUQ73" s="557"/>
      <c r="WUR73" s="557"/>
      <c r="WUS73" s="557"/>
      <c r="WUT73" s="557"/>
      <c r="WUU73" s="557"/>
      <c r="WUV73" s="557"/>
      <c r="WUW73" s="557"/>
      <c r="WUX73" s="557"/>
      <c r="WUY73" s="661"/>
      <c r="WUZ73" s="556"/>
      <c r="WVA73" s="557"/>
      <c r="WVB73" s="557"/>
      <c r="WVC73" s="557"/>
      <c r="WVD73" s="557"/>
      <c r="WVE73" s="557"/>
      <c r="WVF73" s="557"/>
      <c r="WVG73" s="557"/>
      <c r="WVH73" s="557"/>
      <c r="WVI73" s="557"/>
      <c r="WVJ73" s="557"/>
      <c r="WVK73" s="557"/>
      <c r="WVL73" s="557"/>
      <c r="WVM73" s="557"/>
      <c r="WVN73" s="557"/>
      <c r="WVO73" s="557"/>
      <c r="WVP73" s="557"/>
      <c r="WVQ73" s="557"/>
      <c r="WVR73" s="557"/>
      <c r="WVS73" s="661"/>
      <c r="WVT73" s="556"/>
      <c r="WVU73" s="557"/>
      <c r="WVV73" s="557"/>
      <c r="WVW73" s="557"/>
      <c r="WVX73" s="557"/>
      <c r="WVY73" s="557"/>
      <c r="WVZ73" s="557"/>
      <c r="WWA73" s="557"/>
      <c r="WWB73" s="557"/>
      <c r="WWC73" s="557"/>
      <c r="WWD73" s="557"/>
      <c r="WWE73" s="557"/>
      <c r="WWF73" s="557"/>
      <c r="WWG73" s="557"/>
      <c r="WWH73" s="557"/>
      <c r="WWI73" s="557"/>
      <c r="WWJ73" s="557"/>
      <c r="WWK73" s="557"/>
      <c r="WWL73" s="557"/>
      <c r="WWM73" s="661"/>
      <c r="WWN73" s="556"/>
      <c r="WWO73" s="557"/>
      <c r="WWP73" s="557"/>
      <c r="WWQ73" s="557"/>
      <c r="WWR73" s="557"/>
      <c r="WWS73" s="557"/>
      <c r="WWT73" s="557"/>
      <c r="WWU73" s="557"/>
      <c r="WWV73" s="557"/>
      <c r="WWW73" s="557"/>
      <c r="WWX73" s="557"/>
      <c r="WWY73" s="557"/>
      <c r="WWZ73" s="557"/>
      <c r="WXA73" s="557"/>
      <c r="WXB73" s="557"/>
      <c r="WXC73" s="557"/>
      <c r="WXD73" s="557"/>
      <c r="WXE73" s="557"/>
      <c r="WXF73" s="557"/>
      <c r="WXG73" s="661"/>
      <c r="WXH73" s="556"/>
      <c r="WXI73" s="557"/>
      <c r="WXJ73" s="557"/>
      <c r="WXK73" s="557"/>
      <c r="WXL73" s="557"/>
      <c r="WXM73" s="557"/>
      <c r="WXN73" s="557"/>
      <c r="WXO73" s="557"/>
      <c r="WXP73" s="557"/>
      <c r="WXQ73" s="557"/>
      <c r="WXR73" s="557"/>
      <c r="WXS73" s="557"/>
      <c r="WXT73" s="557"/>
      <c r="WXU73" s="557"/>
      <c r="WXV73" s="557"/>
      <c r="WXW73" s="557"/>
      <c r="WXX73" s="557"/>
      <c r="WXY73" s="557"/>
      <c r="WXZ73" s="557"/>
      <c r="WYA73" s="661"/>
      <c r="WYB73" s="556"/>
      <c r="WYC73" s="557"/>
      <c r="WYD73" s="557"/>
      <c r="WYE73" s="557"/>
      <c r="WYF73" s="557"/>
      <c r="WYG73" s="557"/>
      <c r="WYH73" s="557"/>
      <c r="WYI73" s="557"/>
      <c r="WYJ73" s="557"/>
      <c r="WYK73" s="557"/>
      <c r="WYL73" s="557"/>
      <c r="WYM73" s="557"/>
      <c r="WYN73" s="557"/>
      <c r="WYO73" s="557"/>
      <c r="WYP73" s="557"/>
      <c r="WYQ73" s="557"/>
      <c r="WYR73" s="557"/>
      <c r="WYS73" s="557"/>
      <c r="WYT73" s="557"/>
      <c r="WYU73" s="661"/>
      <c r="WYV73" s="556"/>
      <c r="WYW73" s="557"/>
      <c r="WYX73" s="557"/>
      <c r="WYY73" s="557"/>
      <c r="WYZ73" s="557"/>
      <c r="WZA73" s="557"/>
      <c r="WZB73" s="557"/>
      <c r="WZC73" s="557"/>
      <c r="WZD73" s="557"/>
      <c r="WZE73" s="557"/>
      <c r="WZF73" s="557"/>
      <c r="WZG73" s="557"/>
      <c r="WZH73" s="557"/>
      <c r="WZI73" s="557"/>
      <c r="WZJ73" s="557"/>
      <c r="WZK73" s="557"/>
      <c r="WZL73" s="557"/>
      <c r="WZM73" s="557"/>
      <c r="WZN73" s="557"/>
      <c r="WZO73" s="661"/>
      <c r="WZP73" s="556"/>
      <c r="WZQ73" s="557"/>
      <c r="WZR73" s="557"/>
      <c r="WZS73" s="557"/>
      <c r="WZT73" s="557"/>
      <c r="WZU73" s="557"/>
      <c r="WZV73" s="557"/>
      <c r="WZW73" s="557"/>
      <c r="WZX73" s="557"/>
      <c r="WZY73" s="557"/>
      <c r="WZZ73" s="557"/>
      <c r="XAA73" s="557"/>
      <c r="XAB73" s="557"/>
      <c r="XAC73" s="557"/>
      <c r="XAD73" s="557"/>
      <c r="XAE73" s="557"/>
      <c r="XAF73" s="557"/>
      <c r="XAG73" s="557"/>
      <c r="XAH73" s="557"/>
      <c r="XAI73" s="661"/>
      <c r="XAJ73" s="556"/>
      <c r="XAK73" s="557"/>
      <c r="XAL73" s="557"/>
      <c r="XAM73" s="557"/>
      <c r="XAN73" s="557"/>
      <c r="XAO73" s="557"/>
      <c r="XAP73" s="557"/>
      <c r="XAQ73" s="557"/>
      <c r="XAR73" s="557"/>
      <c r="XAS73" s="557"/>
      <c r="XAT73" s="557"/>
      <c r="XAU73" s="557"/>
      <c r="XAV73" s="557"/>
      <c r="XAW73" s="557"/>
      <c r="XAX73" s="557"/>
      <c r="XAY73" s="557"/>
      <c r="XAZ73" s="557"/>
      <c r="XBA73" s="557"/>
      <c r="XBB73" s="557"/>
      <c r="XBC73" s="661"/>
      <c r="XBD73" s="556"/>
      <c r="XBE73" s="557"/>
      <c r="XBF73" s="557"/>
      <c r="XBG73" s="557"/>
      <c r="XBH73" s="557"/>
      <c r="XBI73" s="557"/>
      <c r="XBJ73" s="557"/>
      <c r="XBK73" s="557"/>
      <c r="XBL73" s="557"/>
      <c r="XBM73" s="557"/>
      <c r="XBN73" s="557"/>
      <c r="XBO73" s="557"/>
      <c r="XBP73" s="557"/>
      <c r="XBQ73" s="557"/>
      <c r="XBR73" s="557"/>
      <c r="XBS73" s="557"/>
      <c r="XBT73" s="557"/>
      <c r="XBU73" s="557"/>
      <c r="XBV73" s="557"/>
      <c r="XBW73" s="661"/>
      <c r="XBX73" s="556"/>
      <c r="XBY73" s="557"/>
      <c r="XBZ73" s="557"/>
      <c r="XCA73" s="557"/>
      <c r="XCB73" s="557"/>
      <c r="XCC73" s="557"/>
      <c r="XCD73" s="557"/>
      <c r="XCE73" s="557"/>
      <c r="XCF73" s="557"/>
      <c r="XCG73" s="557"/>
      <c r="XCH73" s="557"/>
      <c r="XCI73" s="557"/>
      <c r="XCJ73" s="557"/>
      <c r="XCK73" s="557"/>
      <c r="XCL73" s="557"/>
      <c r="XCM73" s="557"/>
      <c r="XCN73" s="557"/>
      <c r="XCO73" s="557"/>
      <c r="XCP73" s="557"/>
      <c r="XCQ73" s="661"/>
      <c r="XCR73" s="556"/>
      <c r="XCS73" s="557"/>
      <c r="XCT73" s="557"/>
      <c r="XCU73" s="557"/>
      <c r="XCV73" s="557"/>
      <c r="XCW73" s="557"/>
      <c r="XCX73" s="557"/>
      <c r="XCY73" s="557"/>
      <c r="XCZ73" s="557"/>
      <c r="XDA73" s="557"/>
      <c r="XDB73" s="557"/>
      <c r="XDC73" s="557"/>
      <c r="XDD73" s="557"/>
      <c r="XDE73" s="557"/>
      <c r="XDF73" s="557"/>
      <c r="XDG73" s="557"/>
      <c r="XDH73" s="557"/>
      <c r="XDI73" s="557"/>
      <c r="XDJ73" s="557"/>
      <c r="XDK73" s="661"/>
      <c r="XDL73" s="556"/>
      <c r="XDM73" s="557"/>
      <c r="XDN73" s="557"/>
      <c r="XDO73" s="557"/>
      <c r="XDP73" s="557"/>
      <c r="XDQ73" s="557"/>
      <c r="XDR73" s="557"/>
      <c r="XDS73" s="557"/>
      <c r="XDT73" s="557"/>
      <c r="XDU73" s="557"/>
      <c r="XDV73" s="557"/>
      <c r="XDW73" s="557"/>
      <c r="XDX73" s="557"/>
      <c r="XDY73" s="557"/>
      <c r="XDZ73" s="557"/>
      <c r="XEA73" s="557"/>
      <c r="XEB73" s="557"/>
      <c r="XEC73" s="557"/>
      <c r="XED73" s="557"/>
      <c r="XEE73" s="661"/>
      <c r="XEF73" s="556"/>
      <c r="XEG73" s="557"/>
      <c r="XEH73" s="557"/>
      <c r="XEI73" s="557"/>
      <c r="XEJ73" s="557"/>
      <c r="XEK73" s="557"/>
      <c r="XEL73" s="557"/>
      <c r="XEM73" s="557"/>
      <c r="XEN73" s="557"/>
      <c r="XEO73" s="557"/>
      <c r="XEP73" s="557"/>
      <c r="XEQ73" s="557"/>
      <c r="XER73" s="557"/>
      <c r="XES73" s="557"/>
      <c r="XET73" s="557"/>
      <c r="XEU73" s="557"/>
      <c r="XEV73" s="557"/>
      <c r="XEW73" s="557"/>
      <c r="XEX73" s="557"/>
      <c r="XEY73" s="661"/>
      <c r="XEZ73" s="556"/>
      <c r="XFA73" s="556"/>
      <c r="XFB73" s="556"/>
      <c r="XFC73" s="556"/>
    </row>
    <row r="74" spans="1:16383" ht="14.25" customHeight="1" x14ac:dyDescent="0.2">
      <c r="A74" s="593">
        <v>11</v>
      </c>
      <c r="B74" s="585" t="s">
        <v>1163</v>
      </c>
      <c r="C74" s="597" t="s">
        <v>1147</v>
      </c>
      <c r="D74" s="597">
        <v>23008</v>
      </c>
      <c r="E74" s="597" t="s">
        <v>36</v>
      </c>
      <c r="F74" s="597" t="s">
        <v>54</v>
      </c>
      <c r="G74" s="356" t="s">
        <v>1151</v>
      </c>
      <c r="H74" s="357">
        <v>75</v>
      </c>
      <c r="I74" s="358" t="s">
        <v>847</v>
      </c>
      <c r="J74" s="358">
        <v>3650</v>
      </c>
      <c r="K74" s="359">
        <v>1</v>
      </c>
      <c r="L74" s="358">
        <v>3650</v>
      </c>
      <c r="M74" s="358">
        <v>4270.5</v>
      </c>
      <c r="N74" s="356" t="s">
        <v>1111</v>
      </c>
      <c r="O74" s="560" t="s">
        <v>722</v>
      </c>
      <c r="P74" s="560" t="s">
        <v>1149</v>
      </c>
      <c r="Q74" s="330"/>
      <c r="R74" s="657"/>
      <c r="S74" s="659" t="s">
        <v>18</v>
      </c>
    </row>
    <row r="75" spans="1:16383" ht="14.25" x14ac:dyDescent="0.2">
      <c r="A75" s="594"/>
      <c r="B75" s="586"/>
      <c r="C75" s="598"/>
      <c r="D75" s="682"/>
      <c r="E75" s="682"/>
      <c r="F75" s="682"/>
      <c r="G75" s="329" t="s">
        <v>1150</v>
      </c>
      <c r="H75" s="332">
        <v>49</v>
      </c>
      <c r="I75" s="34" t="s">
        <v>847</v>
      </c>
      <c r="J75" s="34">
        <v>5700</v>
      </c>
      <c r="K75" s="329">
        <v>1</v>
      </c>
      <c r="L75" s="34">
        <v>5700</v>
      </c>
      <c r="M75" s="34">
        <v>6669</v>
      </c>
      <c r="N75" s="329" t="s">
        <v>1111</v>
      </c>
      <c r="O75" s="561"/>
      <c r="P75" s="561"/>
      <c r="Q75" s="331"/>
      <c r="R75" s="673"/>
      <c r="S75" s="674"/>
    </row>
    <row r="76" spans="1:16383" ht="14.25" x14ac:dyDescent="0.2">
      <c r="A76" s="594"/>
      <c r="B76" s="586"/>
      <c r="C76" s="598"/>
      <c r="D76" s="682"/>
      <c r="E76" s="682"/>
      <c r="F76" s="682"/>
      <c r="G76" s="329" t="s">
        <v>1148</v>
      </c>
      <c r="H76" s="332">
        <v>40</v>
      </c>
      <c r="I76" s="34" t="s">
        <v>847</v>
      </c>
      <c r="J76" s="34">
        <v>6850</v>
      </c>
      <c r="K76" s="329">
        <v>1</v>
      </c>
      <c r="L76" s="34">
        <v>6850</v>
      </c>
      <c r="M76" s="34">
        <v>8014.4999999999991</v>
      </c>
      <c r="N76" s="329" t="s">
        <v>1143</v>
      </c>
      <c r="O76" s="561"/>
      <c r="P76" s="561"/>
      <c r="Q76" s="331"/>
      <c r="R76" s="673"/>
      <c r="S76" s="674"/>
    </row>
    <row r="77" spans="1:16383" ht="14.25" x14ac:dyDescent="0.2">
      <c r="A77" s="594"/>
      <c r="B77" s="586"/>
      <c r="C77" s="598"/>
      <c r="D77" s="682"/>
      <c r="E77" s="682"/>
      <c r="F77" s="682"/>
      <c r="G77" s="329" t="s">
        <v>1152</v>
      </c>
      <c r="H77" s="332">
        <v>33</v>
      </c>
      <c r="I77" s="34" t="s">
        <v>847</v>
      </c>
      <c r="J77" s="34">
        <v>7980</v>
      </c>
      <c r="K77" s="329">
        <v>1</v>
      </c>
      <c r="L77" s="34">
        <v>7980</v>
      </c>
      <c r="M77" s="34">
        <v>9336.5999999999985</v>
      </c>
      <c r="N77" s="329" t="s">
        <v>1143</v>
      </c>
      <c r="O77" s="561"/>
      <c r="P77" s="561"/>
      <c r="Q77" s="331"/>
      <c r="R77" s="673"/>
      <c r="S77" s="674"/>
    </row>
    <row r="78" spans="1:16383" ht="14.25" x14ac:dyDescent="0.2">
      <c r="A78" s="594"/>
      <c r="B78" s="586"/>
      <c r="C78" s="598"/>
      <c r="D78" s="683"/>
      <c r="E78" s="683"/>
      <c r="F78" s="683"/>
      <c r="G78" s="329"/>
      <c r="H78" s="332"/>
      <c r="I78" s="34"/>
      <c r="J78" s="34"/>
      <c r="K78" s="329"/>
      <c r="L78" s="34"/>
      <c r="M78" s="34"/>
      <c r="N78" s="329"/>
      <c r="O78" s="562"/>
      <c r="P78" s="562"/>
      <c r="Q78" s="331"/>
      <c r="R78" s="673"/>
      <c r="S78" s="674"/>
    </row>
    <row r="79" spans="1:16383" ht="14.25" x14ac:dyDescent="0.2">
      <c r="A79" s="595"/>
      <c r="B79" s="581"/>
      <c r="C79" s="582"/>
      <c r="D79" s="582"/>
      <c r="E79" s="582"/>
      <c r="F79" s="582"/>
      <c r="G79" s="582"/>
      <c r="H79" s="582"/>
      <c r="I79" s="582"/>
      <c r="J79" s="582"/>
      <c r="K79" s="582"/>
      <c r="L79" s="582"/>
      <c r="M79" s="582"/>
      <c r="N79" s="582"/>
      <c r="O79" s="582"/>
      <c r="P79" s="582"/>
      <c r="Q79" s="582"/>
      <c r="R79" s="582"/>
      <c r="S79" s="582"/>
    </row>
    <row r="80" spans="1:16383" ht="15.75" x14ac:dyDescent="0.2">
      <c r="A80" s="556" t="s">
        <v>1164</v>
      </c>
      <c r="B80" s="557"/>
      <c r="C80" s="557"/>
      <c r="D80" s="557"/>
      <c r="E80" s="557"/>
      <c r="F80" s="557"/>
      <c r="G80" s="557"/>
      <c r="H80" s="557"/>
      <c r="I80" s="557"/>
      <c r="J80" s="557"/>
      <c r="K80" s="557"/>
      <c r="L80" s="557"/>
      <c r="M80" s="557"/>
      <c r="N80" s="557"/>
      <c r="O80" s="557"/>
      <c r="P80" s="557"/>
      <c r="Q80" s="557"/>
      <c r="R80" s="557"/>
      <c r="S80" s="557"/>
    </row>
    <row r="81" spans="1:19" ht="14.25" x14ac:dyDescent="0.2">
      <c r="A81" s="593">
        <v>12</v>
      </c>
      <c r="B81" s="585" t="s">
        <v>1165</v>
      </c>
      <c r="C81" s="597" t="s">
        <v>1147</v>
      </c>
      <c r="D81" s="597">
        <v>23008</v>
      </c>
      <c r="E81" s="597" t="s">
        <v>36</v>
      </c>
      <c r="F81" s="597" t="s">
        <v>54</v>
      </c>
      <c r="G81" s="356" t="s">
        <v>1151</v>
      </c>
      <c r="H81" s="357">
        <v>0</v>
      </c>
      <c r="I81" s="358" t="s">
        <v>847</v>
      </c>
      <c r="J81" s="358">
        <v>8530</v>
      </c>
      <c r="K81" s="359">
        <v>1</v>
      </c>
      <c r="L81" s="358">
        <f>J81*K81</f>
        <v>8530</v>
      </c>
      <c r="M81" s="358">
        <f>L81*1.17</f>
        <v>9980.0999999999985</v>
      </c>
      <c r="N81" s="356" t="s">
        <v>1111</v>
      </c>
      <c r="O81" s="560" t="s">
        <v>722</v>
      </c>
      <c r="P81" s="560" t="s">
        <v>1149</v>
      </c>
      <c r="Q81" s="330"/>
      <c r="R81" s="657"/>
      <c r="S81" s="659" t="s">
        <v>18</v>
      </c>
    </row>
    <row r="82" spans="1:19" ht="14.25" x14ac:dyDescent="0.2">
      <c r="A82" s="594"/>
      <c r="B82" s="586"/>
      <c r="C82" s="598"/>
      <c r="D82" s="682"/>
      <c r="E82" s="682"/>
      <c r="F82" s="682"/>
      <c r="G82" s="329" t="s">
        <v>1148</v>
      </c>
      <c r="H82" s="332">
        <f t="shared" ref="H82:H84" si="3">O82+P82</f>
        <v>0</v>
      </c>
      <c r="I82" s="34" t="s">
        <v>847</v>
      </c>
      <c r="J82" s="34">
        <v>8733</v>
      </c>
      <c r="K82" s="329">
        <v>1</v>
      </c>
      <c r="L82" s="34">
        <f t="shared" ref="L82:L84" si="4">J82*K82</f>
        <v>8733</v>
      </c>
      <c r="M82" s="34">
        <f t="shared" ref="M82:M84" si="5">L82*1.17</f>
        <v>10217.609999999999</v>
      </c>
      <c r="N82" s="329" t="s">
        <v>1143</v>
      </c>
      <c r="O82" s="561"/>
      <c r="P82" s="561"/>
      <c r="Q82" s="331"/>
      <c r="R82" s="673"/>
      <c r="S82" s="674"/>
    </row>
    <row r="83" spans="1:19" ht="14.25" x14ac:dyDescent="0.2">
      <c r="A83" s="594"/>
      <c r="B83" s="586"/>
      <c r="C83" s="598"/>
      <c r="D83" s="682"/>
      <c r="E83" s="682"/>
      <c r="F83" s="682"/>
      <c r="G83" s="329" t="s">
        <v>1150</v>
      </c>
      <c r="H83" s="332">
        <f t="shared" si="3"/>
        <v>0</v>
      </c>
      <c r="I83" s="34" t="s">
        <v>847</v>
      </c>
      <c r="J83" s="34">
        <v>9700</v>
      </c>
      <c r="K83" s="329">
        <v>1</v>
      </c>
      <c r="L83" s="34">
        <f t="shared" si="4"/>
        <v>9700</v>
      </c>
      <c r="M83" s="34">
        <f t="shared" si="5"/>
        <v>11349</v>
      </c>
      <c r="N83" s="329" t="s">
        <v>1111</v>
      </c>
      <c r="O83" s="561"/>
      <c r="P83" s="561"/>
      <c r="Q83" s="331"/>
      <c r="R83" s="673"/>
      <c r="S83" s="674"/>
    </row>
    <row r="84" spans="1:19" ht="14.25" x14ac:dyDescent="0.2">
      <c r="A84" s="594"/>
      <c r="B84" s="586"/>
      <c r="C84" s="598"/>
      <c r="D84" s="682"/>
      <c r="E84" s="682"/>
      <c r="F84" s="682"/>
      <c r="G84" s="329" t="s">
        <v>1152</v>
      </c>
      <c r="H84" s="332">
        <f t="shared" si="3"/>
        <v>0</v>
      </c>
      <c r="I84" s="34" t="s">
        <v>847</v>
      </c>
      <c r="J84" s="34">
        <v>16980</v>
      </c>
      <c r="K84" s="329">
        <v>1</v>
      </c>
      <c r="L84" s="34">
        <f t="shared" si="4"/>
        <v>16980</v>
      </c>
      <c r="M84" s="34">
        <f t="shared" si="5"/>
        <v>19866.599999999999</v>
      </c>
      <c r="N84" s="329" t="s">
        <v>1143</v>
      </c>
      <c r="O84" s="561"/>
      <c r="P84" s="561"/>
      <c r="Q84" s="331"/>
      <c r="R84" s="673"/>
      <c r="S84" s="674"/>
    </row>
    <row r="85" spans="1:19" ht="14.25" x14ac:dyDescent="0.2">
      <c r="A85" s="594"/>
      <c r="B85" s="586"/>
      <c r="C85" s="598"/>
      <c r="D85" s="683"/>
      <c r="E85" s="683"/>
      <c r="F85" s="683"/>
      <c r="G85" s="329"/>
      <c r="H85" s="332"/>
      <c r="I85" s="34"/>
      <c r="J85" s="34"/>
      <c r="K85" s="329"/>
      <c r="L85" s="34"/>
      <c r="M85" s="34"/>
      <c r="N85" s="329"/>
      <c r="O85" s="562"/>
      <c r="P85" s="561"/>
      <c r="Q85" s="331"/>
      <c r="R85" s="673"/>
      <c r="S85" s="674"/>
    </row>
    <row r="86" spans="1:19" ht="14.25" x14ac:dyDescent="0.2">
      <c r="A86" s="595"/>
      <c r="B86" s="581"/>
      <c r="C86" s="582"/>
      <c r="D86" s="582"/>
      <c r="E86" s="582"/>
      <c r="F86" s="582"/>
      <c r="G86" s="582"/>
      <c r="H86" s="582"/>
      <c r="I86" s="582"/>
      <c r="J86" s="582"/>
      <c r="K86" s="582"/>
      <c r="L86" s="582"/>
      <c r="M86" s="582"/>
      <c r="N86" s="582"/>
      <c r="O86" s="582"/>
      <c r="P86" s="582"/>
      <c r="Q86" s="582"/>
      <c r="R86" s="582"/>
      <c r="S86" s="582"/>
    </row>
    <row r="89" spans="1:19" x14ac:dyDescent="0.2">
      <c r="B89" s="23"/>
    </row>
    <row r="94" spans="1:19" x14ac:dyDescent="0.2">
      <c r="B94" s="7"/>
    </row>
    <row r="95" spans="1:19" x14ac:dyDescent="0.2">
      <c r="B95" s="8"/>
    </row>
    <row r="96" spans="1:19" x14ac:dyDescent="0.2">
      <c r="B96" s="8"/>
    </row>
    <row r="98" spans="2:2" x14ac:dyDescent="0.2">
      <c r="B98" s="9"/>
    </row>
    <row r="99" spans="2:2" x14ac:dyDescent="0.2">
      <c r="B99" s="9"/>
    </row>
  </sheetData>
  <mergeCells count="5064">
    <mergeCell ref="P81:P85"/>
    <mergeCell ref="R81:R85"/>
    <mergeCell ref="S81:S85"/>
    <mergeCell ref="B86:S86"/>
    <mergeCell ref="S74:S78"/>
    <mergeCell ref="B79:S79"/>
    <mergeCell ref="A80:S80"/>
    <mergeCell ref="A81:A86"/>
    <mergeCell ref="B81:B85"/>
    <mergeCell ref="C81:C85"/>
    <mergeCell ref="D81:D85"/>
    <mergeCell ref="E81:E85"/>
    <mergeCell ref="F81:F85"/>
    <mergeCell ref="O81:O85"/>
    <mergeCell ref="XEZ73:XFC73"/>
    <mergeCell ref="A74:A79"/>
    <mergeCell ref="B74:B78"/>
    <mergeCell ref="C74:C78"/>
    <mergeCell ref="D74:D78"/>
    <mergeCell ref="E74:E78"/>
    <mergeCell ref="F74:F78"/>
    <mergeCell ref="O74:O78"/>
    <mergeCell ref="P74:P78"/>
    <mergeCell ref="R74:R78"/>
    <mergeCell ref="XAJ73:XBC73"/>
    <mergeCell ref="XBD73:XBW73"/>
    <mergeCell ref="XBX73:XCQ73"/>
    <mergeCell ref="XCR73:XDK73"/>
    <mergeCell ref="XDL73:XEE73"/>
    <mergeCell ref="XEF73:XEY73"/>
    <mergeCell ref="WVT73:WWM73"/>
    <mergeCell ref="WWN73:WXG73"/>
    <mergeCell ref="WXH73:WYA73"/>
    <mergeCell ref="WYB73:WYU73"/>
    <mergeCell ref="WYV73:WZO73"/>
    <mergeCell ref="WZP73:XAI73"/>
    <mergeCell ref="WRD73:WRW73"/>
    <mergeCell ref="WRX73:WSQ73"/>
    <mergeCell ref="WSR73:WTK73"/>
    <mergeCell ref="WTL73:WUE73"/>
    <mergeCell ref="WUF73:WUY73"/>
    <mergeCell ref="WUZ73:WVS73"/>
    <mergeCell ref="WMN73:WNG73"/>
    <mergeCell ref="WNH73:WOA73"/>
    <mergeCell ref="WOB73:WOU73"/>
    <mergeCell ref="WOV73:WPO73"/>
    <mergeCell ref="WPP73:WQI73"/>
    <mergeCell ref="WQJ73:WRC73"/>
    <mergeCell ref="WHX73:WIQ73"/>
    <mergeCell ref="WIR73:WJK73"/>
    <mergeCell ref="WJL73:WKE73"/>
    <mergeCell ref="WKF73:WKY73"/>
    <mergeCell ref="WKZ73:WLS73"/>
    <mergeCell ref="WLT73:WMM73"/>
    <mergeCell ref="WDH73:WEA73"/>
    <mergeCell ref="WEB73:WEU73"/>
    <mergeCell ref="WEV73:WFO73"/>
    <mergeCell ref="WFP73:WGI73"/>
    <mergeCell ref="WGJ73:WHC73"/>
    <mergeCell ref="WHD73:WHW73"/>
    <mergeCell ref="VYR73:VZK73"/>
    <mergeCell ref="VZL73:WAE73"/>
    <mergeCell ref="WAF73:WAY73"/>
    <mergeCell ref="WAZ73:WBS73"/>
    <mergeCell ref="WBT73:WCM73"/>
    <mergeCell ref="WCN73:WDG73"/>
    <mergeCell ref="VUB73:VUU73"/>
    <mergeCell ref="VUV73:VVO73"/>
    <mergeCell ref="VVP73:VWI73"/>
    <mergeCell ref="VWJ73:VXC73"/>
    <mergeCell ref="VXD73:VXW73"/>
    <mergeCell ref="VXX73:VYQ73"/>
    <mergeCell ref="VPL73:VQE73"/>
    <mergeCell ref="VQF73:VQY73"/>
    <mergeCell ref="VQZ73:VRS73"/>
    <mergeCell ref="VRT73:VSM73"/>
    <mergeCell ref="VSN73:VTG73"/>
    <mergeCell ref="VTH73:VUA73"/>
    <mergeCell ref="VKV73:VLO73"/>
    <mergeCell ref="VLP73:VMI73"/>
    <mergeCell ref="VMJ73:VNC73"/>
    <mergeCell ref="VND73:VNW73"/>
    <mergeCell ref="VNX73:VOQ73"/>
    <mergeCell ref="VOR73:VPK73"/>
    <mergeCell ref="VGF73:VGY73"/>
    <mergeCell ref="VGZ73:VHS73"/>
    <mergeCell ref="VHT73:VIM73"/>
    <mergeCell ref="VIN73:VJG73"/>
    <mergeCell ref="VJH73:VKA73"/>
    <mergeCell ref="VKB73:VKU73"/>
    <mergeCell ref="VBP73:VCI73"/>
    <mergeCell ref="VCJ73:VDC73"/>
    <mergeCell ref="VDD73:VDW73"/>
    <mergeCell ref="VDX73:VEQ73"/>
    <mergeCell ref="VER73:VFK73"/>
    <mergeCell ref="VFL73:VGE73"/>
    <mergeCell ref="UWZ73:UXS73"/>
    <mergeCell ref="UXT73:UYM73"/>
    <mergeCell ref="UYN73:UZG73"/>
    <mergeCell ref="UZH73:VAA73"/>
    <mergeCell ref="VAB73:VAU73"/>
    <mergeCell ref="VAV73:VBO73"/>
    <mergeCell ref="USJ73:UTC73"/>
    <mergeCell ref="UTD73:UTW73"/>
    <mergeCell ref="UTX73:UUQ73"/>
    <mergeCell ref="UUR73:UVK73"/>
    <mergeCell ref="UVL73:UWE73"/>
    <mergeCell ref="UWF73:UWY73"/>
    <mergeCell ref="UNT73:UOM73"/>
    <mergeCell ref="UON73:UPG73"/>
    <mergeCell ref="UPH73:UQA73"/>
    <mergeCell ref="UQB73:UQU73"/>
    <mergeCell ref="UQV73:URO73"/>
    <mergeCell ref="URP73:USI73"/>
    <mergeCell ref="UJD73:UJW73"/>
    <mergeCell ref="UJX73:UKQ73"/>
    <mergeCell ref="UKR73:ULK73"/>
    <mergeCell ref="ULL73:UME73"/>
    <mergeCell ref="UMF73:UMY73"/>
    <mergeCell ref="UMZ73:UNS73"/>
    <mergeCell ref="UEN73:UFG73"/>
    <mergeCell ref="UFH73:UGA73"/>
    <mergeCell ref="UGB73:UGU73"/>
    <mergeCell ref="UGV73:UHO73"/>
    <mergeCell ref="UHP73:UII73"/>
    <mergeCell ref="UIJ73:UJC73"/>
    <mergeCell ref="TZX73:UAQ73"/>
    <mergeCell ref="UAR73:UBK73"/>
    <mergeCell ref="UBL73:UCE73"/>
    <mergeCell ref="UCF73:UCY73"/>
    <mergeCell ref="UCZ73:UDS73"/>
    <mergeCell ref="UDT73:UEM73"/>
    <mergeCell ref="TVH73:TWA73"/>
    <mergeCell ref="TWB73:TWU73"/>
    <mergeCell ref="TWV73:TXO73"/>
    <mergeCell ref="TXP73:TYI73"/>
    <mergeCell ref="TYJ73:TZC73"/>
    <mergeCell ref="TZD73:TZW73"/>
    <mergeCell ref="TQR73:TRK73"/>
    <mergeCell ref="TRL73:TSE73"/>
    <mergeCell ref="TSF73:TSY73"/>
    <mergeCell ref="TSZ73:TTS73"/>
    <mergeCell ref="TTT73:TUM73"/>
    <mergeCell ref="TUN73:TVG73"/>
    <mergeCell ref="TMB73:TMU73"/>
    <mergeCell ref="TMV73:TNO73"/>
    <mergeCell ref="TNP73:TOI73"/>
    <mergeCell ref="TOJ73:TPC73"/>
    <mergeCell ref="TPD73:TPW73"/>
    <mergeCell ref="TPX73:TQQ73"/>
    <mergeCell ref="THL73:TIE73"/>
    <mergeCell ref="TIF73:TIY73"/>
    <mergeCell ref="TIZ73:TJS73"/>
    <mergeCell ref="TJT73:TKM73"/>
    <mergeCell ref="TKN73:TLG73"/>
    <mergeCell ref="TLH73:TMA73"/>
    <mergeCell ref="TCV73:TDO73"/>
    <mergeCell ref="TDP73:TEI73"/>
    <mergeCell ref="TEJ73:TFC73"/>
    <mergeCell ref="TFD73:TFW73"/>
    <mergeCell ref="TFX73:TGQ73"/>
    <mergeCell ref="TGR73:THK73"/>
    <mergeCell ref="SYF73:SYY73"/>
    <mergeCell ref="SYZ73:SZS73"/>
    <mergeCell ref="SZT73:TAM73"/>
    <mergeCell ref="TAN73:TBG73"/>
    <mergeCell ref="TBH73:TCA73"/>
    <mergeCell ref="TCB73:TCU73"/>
    <mergeCell ref="STP73:SUI73"/>
    <mergeCell ref="SUJ73:SVC73"/>
    <mergeCell ref="SVD73:SVW73"/>
    <mergeCell ref="SVX73:SWQ73"/>
    <mergeCell ref="SWR73:SXK73"/>
    <mergeCell ref="SXL73:SYE73"/>
    <mergeCell ref="SOZ73:SPS73"/>
    <mergeCell ref="SPT73:SQM73"/>
    <mergeCell ref="SQN73:SRG73"/>
    <mergeCell ref="SRH73:SSA73"/>
    <mergeCell ref="SSB73:SSU73"/>
    <mergeCell ref="SSV73:STO73"/>
    <mergeCell ref="SKJ73:SLC73"/>
    <mergeCell ref="SLD73:SLW73"/>
    <mergeCell ref="SLX73:SMQ73"/>
    <mergeCell ref="SMR73:SNK73"/>
    <mergeCell ref="SNL73:SOE73"/>
    <mergeCell ref="SOF73:SOY73"/>
    <mergeCell ref="SFT73:SGM73"/>
    <mergeCell ref="SGN73:SHG73"/>
    <mergeCell ref="SHH73:SIA73"/>
    <mergeCell ref="SIB73:SIU73"/>
    <mergeCell ref="SIV73:SJO73"/>
    <mergeCell ref="SJP73:SKI73"/>
    <mergeCell ref="SBD73:SBW73"/>
    <mergeCell ref="SBX73:SCQ73"/>
    <mergeCell ref="SCR73:SDK73"/>
    <mergeCell ref="SDL73:SEE73"/>
    <mergeCell ref="SEF73:SEY73"/>
    <mergeCell ref="SEZ73:SFS73"/>
    <mergeCell ref="RWN73:RXG73"/>
    <mergeCell ref="RXH73:RYA73"/>
    <mergeCell ref="RYB73:RYU73"/>
    <mergeCell ref="RYV73:RZO73"/>
    <mergeCell ref="RZP73:SAI73"/>
    <mergeCell ref="SAJ73:SBC73"/>
    <mergeCell ref="RRX73:RSQ73"/>
    <mergeCell ref="RSR73:RTK73"/>
    <mergeCell ref="RTL73:RUE73"/>
    <mergeCell ref="RUF73:RUY73"/>
    <mergeCell ref="RUZ73:RVS73"/>
    <mergeCell ref="RVT73:RWM73"/>
    <mergeCell ref="RNH73:ROA73"/>
    <mergeCell ref="ROB73:ROU73"/>
    <mergeCell ref="ROV73:RPO73"/>
    <mergeCell ref="RPP73:RQI73"/>
    <mergeCell ref="RQJ73:RRC73"/>
    <mergeCell ref="RRD73:RRW73"/>
    <mergeCell ref="RIR73:RJK73"/>
    <mergeCell ref="RJL73:RKE73"/>
    <mergeCell ref="RKF73:RKY73"/>
    <mergeCell ref="RKZ73:RLS73"/>
    <mergeCell ref="RLT73:RMM73"/>
    <mergeCell ref="RMN73:RNG73"/>
    <mergeCell ref="REB73:REU73"/>
    <mergeCell ref="REV73:RFO73"/>
    <mergeCell ref="RFP73:RGI73"/>
    <mergeCell ref="RGJ73:RHC73"/>
    <mergeCell ref="RHD73:RHW73"/>
    <mergeCell ref="RHX73:RIQ73"/>
    <mergeCell ref="QZL73:RAE73"/>
    <mergeCell ref="RAF73:RAY73"/>
    <mergeCell ref="RAZ73:RBS73"/>
    <mergeCell ref="RBT73:RCM73"/>
    <mergeCell ref="RCN73:RDG73"/>
    <mergeCell ref="RDH73:REA73"/>
    <mergeCell ref="QUV73:QVO73"/>
    <mergeCell ref="QVP73:QWI73"/>
    <mergeCell ref="QWJ73:QXC73"/>
    <mergeCell ref="QXD73:QXW73"/>
    <mergeCell ref="QXX73:QYQ73"/>
    <mergeCell ref="QYR73:QZK73"/>
    <mergeCell ref="QQF73:QQY73"/>
    <mergeCell ref="QQZ73:QRS73"/>
    <mergeCell ref="QRT73:QSM73"/>
    <mergeCell ref="QSN73:QTG73"/>
    <mergeCell ref="QTH73:QUA73"/>
    <mergeCell ref="QUB73:QUU73"/>
    <mergeCell ref="QLP73:QMI73"/>
    <mergeCell ref="QMJ73:QNC73"/>
    <mergeCell ref="QND73:QNW73"/>
    <mergeCell ref="QNX73:QOQ73"/>
    <mergeCell ref="QOR73:QPK73"/>
    <mergeCell ref="QPL73:QQE73"/>
    <mergeCell ref="QGZ73:QHS73"/>
    <mergeCell ref="QHT73:QIM73"/>
    <mergeCell ref="QIN73:QJG73"/>
    <mergeCell ref="QJH73:QKA73"/>
    <mergeCell ref="QKB73:QKU73"/>
    <mergeCell ref="QKV73:QLO73"/>
    <mergeCell ref="QCJ73:QDC73"/>
    <mergeCell ref="QDD73:QDW73"/>
    <mergeCell ref="QDX73:QEQ73"/>
    <mergeCell ref="QER73:QFK73"/>
    <mergeCell ref="QFL73:QGE73"/>
    <mergeCell ref="QGF73:QGY73"/>
    <mergeCell ref="PXT73:PYM73"/>
    <mergeCell ref="PYN73:PZG73"/>
    <mergeCell ref="PZH73:QAA73"/>
    <mergeCell ref="QAB73:QAU73"/>
    <mergeCell ref="QAV73:QBO73"/>
    <mergeCell ref="QBP73:QCI73"/>
    <mergeCell ref="PTD73:PTW73"/>
    <mergeCell ref="PTX73:PUQ73"/>
    <mergeCell ref="PUR73:PVK73"/>
    <mergeCell ref="PVL73:PWE73"/>
    <mergeCell ref="PWF73:PWY73"/>
    <mergeCell ref="PWZ73:PXS73"/>
    <mergeCell ref="PON73:PPG73"/>
    <mergeCell ref="PPH73:PQA73"/>
    <mergeCell ref="PQB73:PQU73"/>
    <mergeCell ref="PQV73:PRO73"/>
    <mergeCell ref="PRP73:PSI73"/>
    <mergeCell ref="PSJ73:PTC73"/>
    <mergeCell ref="PJX73:PKQ73"/>
    <mergeCell ref="PKR73:PLK73"/>
    <mergeCell ref="PLL73:PME73"/>
    <mergeCell ref="PMF73:PMY73"/>
    <mergeCell ref="PMZ73:PNS73"/>
    <mergeCell ref="PNT73:POM73"/>
    <mergeCell ref="PFH73:PGA73"/>
    <mergeCell ref="PGB73:PGU73"/>
    <mergeCell ref="PGV73:PHO73"/>
    <mergeCell ref="PHP73:PII73"/>
    <mergeCell ref="PIJ73:PJC73"/>
    <mergeCell ref="PJD73:PJW73"/>
    <mergeCell ref="PAR73:PBK73"/>
    <mergeCell ref="PBL73:PCE73"/>
    <mergeCell ref="PCF73:PCY73"/>
    <mergeCell ref="PCZ73:PDS73"/>
    <mergeCell ref="PDT73:PEM73"/>
    <mergeCell ref="PEN73:PFG73"/>
    <mergeCell ref="OWB73:OWU73"/>
    <mergeCell ref="OWV73:OXO73"/>
    <mergeCell ref="OXP73:OYI73"/>
    <mergeCell ref="OYJ73:OZC73"/>
    <mergeCell ref="OZD73:OZW73"/>
    <mergeCell ref="OZX73:PAQ73"/>
    <mergeCell ref="ORL73:OSE73"/>
    <mergeCell ref="OSF73:OSY73"/>
    <mergeCell ref="OSZ73:OTS73"/>
    <mergeCell ref="OTT73:OUM73"/>
    <mergeCell ref="OUN73:OVG73"/>
    <mergeCell ref="OVH73:OWA73"/>
    <mergeCell ref="OMV73:ONO73"/>
    <mergeCell ref="ONP73:OOI73"/>
    <mergeCell ref="OOJ73:OPC73"/>
    <mergeCell ref="OPD73:OPW73"/>
    <mergeCell ref="OPX73:OQQ73"/>
    <mergeCell ref="OQR73:ORK73"/>
    <mergeCell ref="OIF73:OIY73"/>
    <mergeCell ref="OIZ73:OJS73"/>
    <mergeCell ref="OJT73:OKM73"/>
    <mergeCell ref="OKN73:OLG73"/>
    <mergeCell ref="OLH73:OMA73"/>
    <mergeCell ref="OMB73:OMU73"/>
    <mergeCell ref="ODP73:OEI73"/>
    <mergeCell ref="OEJ73:OFC73"/>
    <mergeCell ref="OFD73:OFW73"/>
    <mergeCell ref="OFX73:OGQ73"/>
    <mergeCell ref="OGR73:OHK73"/>
    <mergeCell ref="OHL73:OIE73"/>
    <mergeCell ref="NYZ73:NZS73"/>
    <mergeCell ref="NZT73:OAM73"/>
    <mergeCell ref="OAN73:OBG73"/>
    <mergeCell ref="OBH73:OCA73"/>
    <mergeCell ref="OCB73:OCU73"/>
    <mergeCell ref="OCV73:ODO73"/>
    <mergeCell ref="NUJ73:NVC73"/>
    <mergeCell ref="NVD73:NVW73"/>
    <mergeCell ref="NVX73:NWQ73"/>
    <mergeCell ref="NWR73:NXK73"/>
    <mergeCell ref="NXL73:NYE73"/>
    <mergeCell ref="NYF73:NYY73"/>
    <mergeCell ref="NPT73:NQM73"/>
    <mergeCell ref="NQN73:NRG73"/>
    <mergeCell ref="NRH73:NSA73"/>
    <mergeCell ref="NSB73:NSU73"/>
    <mergeCell ref="NSV73:NTO73"/>
    <mergeCell ref="NTP73:NUI73"/>
    <mergeCell ref="NLD73:NLW73"/>
    <mergeCell ref="NLX73:NMQ73"/>
    <mergeCell ref="NMR73:NNK73"/>
    <mergeCell ref="NNL73:NOE73"/>
    <mergeCell ref="NOF73:NOY73"/>
    <mergeCell ref="NOZ73:NPS73"/>
    <mergeCell ref="NGN73:NHG73"/>
    <mergeCell ref="NHH73:NIA73"/>
    <mergeCell ref="NIB73:NIU73"/>
    <mergeCell ref="NIV73:NJO73"/>
    <mergeCell ref="NJP73:NKI73"/>
    <mergeCell ref="NKJ73:NLC73"/>
    <mergeCell ref="NBX73:NCQ73"/>
    <mergeCell ref="NCR73:NDK73"/>
    <mergeCell ref="NDL73:NEE73"/>
    <mergeCell ref="NEF73:NEY73"/>
    <mergeCell ref="NEZ73:NFS73"/>
    <mergeCell ref="NFT73:NGM73"/>
    <mergeCell ref="MXH73:MYA73"/>
    <mergeCell ref="MYB73:MYU73"/>
    <mergeCell ref="MYV73:MZO73"/>
    <mergeCell ref="MZP73:NAI73"/>
    <mergeCell ref="NAJ73:NBC73"/>
    <mergeCell ref="NBD73:NBW73"/>
    <mergeCell ref="MSR73:MTK73"/>
    <mergeCell ref="MTL73:MUE73"/>
    <mergeCell ref="MUF73:MUY73"/>
    <mergeCell ref="MUZ73:MVS73"/>
    <mergeCell ref="MVT73:MWM73"/>
    <mergeCell ref="MWN73:MXG73"/>
    <mergeCell ref="MOB73:MOU73"/>
    <mergeCell ref="MOV73:MPO73"/>
    <mergeCell ref="MPP73:MQI73"/>
    <mergeCell ref="MQJ73:MRC73"/>
    <mergeCell ref="MRD73:MRW73"/>
    <mergeCell ref="MRX73:MSQ73"/>
    <mergeCell ref="MJL73:MKE73"/>
    <mergeCell ref="MKF73:MKY73"/>
    <mergeCell ref="MKZ73:MLS73"/>
    <mergeCell ref="MLT73:MMM73"/>
    <mergeCell ref="MMN73:MNG73"/>
    <mergeCell ref="MNH73:MOA73"/>
    <mergeCell ref="MEV73:MFO73"/>
    <mergeCell ref="MFP73:MGI73"/>
    <mergeCell ref="MGJ73:MHC73"/>
    <mergeCell ref="MHD73:MHW73"/>
    <mergeCell ref="MHX73:MIQ73"/>
    <mergeCell ref="MIR73:MJK73"/>
    <mergeCell ref="MAF73:MAY73"/>
    <mergeCell ref="MAZ73:MBS73"/>
    <mergeCell ref="MBT73:MCM73"/>
    <mergeCell ref="MCN73:MDG73"/>
    <mergeCell ref="MDH73:MEA73"/>
    <mergeCell ref="MEB73:MEU73"/>
    <mergeCell ref="LVP73:LWI73"/>
    <mergeCell ref="LWJ73:LXC73"/>
    <mergeCell ref="LXD73:LXW73"/>
    <mergeCell ref="LXX73:LYQ73"/>
    <mergeCell ref="LYR73:LZK73"/>
    <mergeCell ref="LZL73:MAE73"/>
    <mergeCell ref="LQZ73:LRS73"/>
    <mergeCell ref="LRT73:LSM73"/>
    <mergeCell ref="LSN73:LTG73"/>
    <mergeCell ref="LTH73:LUA73"/>
    <mergeCell ref="LUB73:LUU73"/>
    <mergeCell ref="LUV73:LVO73"/>
    <mergeCell ref="LMJ73:LNC73"/>
    <mergeCell ref="LND73:LNW73"/>
    <mergeCell ref="LNX73:LOQ73"/>
    <mergeCell ref="LOR73:LPK73"/>
    <mergeCell ref="LPL73:LQE73"/>
    <mergeCell ref="LQF73:LQY73"/>
    <mergeCell ref="LHT73:LIM73"/>
    <mergeCell ref="LIN73:LJG73"/>
    <mergeCell ref="LJH73:LKA73"/>
    <mergeCell ref="LKB73:LKU73"/>
    <mergeCell ref="LKV73:LLO73"/>
    <mergeCell ref="LLP73:LMI73"/>
    <mergeCell ref="LDD73:LDW73"/>
    <mergeCell ref="LDX73:LEQ73"/>
    <mergeCell ref="LER73:LFK73"/>
    <mergeCell ref="LFL73:LGE73"/>
    <mergeCell ref="LGF73:LGY73"/>
    <mergeCell ref="LGZ73:LHS73"/>
    <mergeCell ref="KYN73:KZG73"/>
    <mergeCell ref="KZH73:LAA73"/>
    <mergeCell ref="LAB73:LAU73"/>
    <mergeCell ref="LAV73:LBO73"/>
    <mergeCell ref="LBP73:LCI73"/>
    <mergeCell ref="LCJ73:LDC73"/>
    <mergeCell ref="KTX73:KUQ73"/>
    <mergeCell ref="KUR73:KVK73"/>
    <mergeCell ref="KVL73:KWE73"/>
    <mergeCell ref="KWF73:KWY73"/>
    <mergeCell ref="KWZ73:KXS73"/>
    <mergeCell ref="KXT73:KYM73"/>
    <mergeCell ref="KPH73:KQA73"/>
    <mergeCell ref="KQB73:KQU73"/>
    <mergeCell ref="KQV73:KRO73"/>
    <mergeCell ref="KRP73:KSI73"/>
    <mergeCell ref="KSJ73:KTC73"/>
    <mergeCell ref="KTD73:KTW73"/>
    <mergeCell ref="KKR73:KLK73"/>
    <mergeCell ref="KLL73:KME73"/>
    <mergeCell ref="KMF73:KMY73"/>
    <mergeCell ref="KMZ73:KNS73"/>
    <mergeCell ref="KNT73:KOM73"/>
    <mergeCell ref="KON73:KPG73"/>
    <mergeCell ref="KGB73:KGU73"/>
    <mergeCell ref="KGV73:KHO73"/>
    <mergeCell ref="KHP73:KII73"/>
    <mergeCell ref="KIJ73:KJC73"/>
    <mergeCell ref="KJD73:KJW73"/>
    <mergeCell ref="KJX73:KKQ73"/>
    <mergeCell ref="KBL73:KCE73"/>
    <mergeCell ref="KCF73:KCY73"/>
    <mergeCell ref="KCZ73:KDS73"/>
    <mergeCell ref="KDT73:KEM73"/>
    <mergeCell ref="KEN73:KFG73"/>
    <mergeCell ref="KFH73:KGA73"/>
    <mergeCell ref="JWV73:JXO73"/>
    <mergeCell ref="JXP73:JYI73"/>
    <mergeCell ref="JYJ73:JZC73"/>
    <mergeCell ref="JZD73:JZW73"/>
    <mergeCell ref="JZX73:KAQ73"/>
    <mergeCell ref="KAR73:KBK73"/>
    <mergeCell ref="JSF73:JSY73"/>
    <mergeCell ref="JSZ73:JTS73"/>
    <mergeCell ref="JTT73:JUM73"/>
    <mergeCell ref="JUN73:JVG73"/>
    <mergeCell ref="JVH73:JWA73"/>
    <mergeCell ref="JWB73:JWU73"/>
    <mergeCell ref="JNP73:JOI73"/>
    <mergeCell ref="JOJ73:JPC73"/>
    <mergeCell ref="JPD73:JPW73"/>
    <mergeCell ref="JPX73:JQQ73"/>
    <mergeCell ref="JQR73:JRK73"/>
    <mergeCell ref="JRL73:JSE73"/>
    <mergeCell ref="JIZ73:JJS73"/>
    <mergeCell ref="JJT73:JKM73"/>
    <mergeCell ref="JKN73:JLG73"/>
    <mergeCell ref="JLH73:JMA73"/>
    <mergeCell ref="JMB73:JMU73"/>
    <mergeCell ref="JMV73:JNO73"/>
    <mergeCell ref="JEJ73:JFC73"/>
    <mergeCell ref="JFD73:JFW73"/>
    <mergeCell ref="JFX73:JGQ73"/>
    <mergeCell ref="JGR73:JHK73"/>
    <mergeCell ref="JHL73:JIE73"/>
    <mergeCell ref="JIF73:JIY73"/>
    <mergeCell ref="IZT73:JAM73"/>
    <mergeCell ref="JAN73:JBG73"/>
    <mergeCell ref="JBH73:JCA73"/>
    <mergeCell ref="JCB73:JCU73"/>
    <mergeCell ref="JCV73:JDO73"/>
    <mergeCell ref="JDP73:JEI73"/>
    <mergeCell ref="IVD73:IVW73"/>
    <mergeCell ref="IVX73:IWQ73"/>
    <mergeCell ref="IWR73:IXK73"/>
    <mergeCell ref="IXL73:IYE73"/>
    <mergeCell ref="IYF73:IYY73"/>
    <mergeCell ref="IYZ73:IZS73"/>
    <mergeCell ref="IQN73:IRG73"/>
    <mergeCell ref="IRH73:ISA73"/>
    <mergeCell ref="ISB73:ISU73"/>
    <mergeCell ref="ISV73:ITO73"/>
    <mergeCell ref="ITP73:IUI73"/>
    <mergeCell ref="IUJ73:IVC73"/>
    <mergeCell ref="ILX73:IMQ73"/>
    <mergeCell ref="IMR73:INK73"/>
    <mergeCell ref="INL73:IOE73"/>
    <mergeCell ref="IOF73:IOY73"/>
    <mergeCell ref="IOZ73:IPS73"/>
    <mergeCell ref="IPT73:IQM73"/>
    <mergeCell ref="IHH73:IIA73"/>
    <mergeCell ref="IIB73:IIU73"/>
    <mergeCell ref="IIV73:IJO73"/>
    <mergeCell ref="IJP73:IKI73"/>
    <mergeCell ref="IKJ73:ILC73"/>
    <mergeCell ref="ILD73:ILW73"/>
    <mergeCell ref="ICR73:IDK73"/>
    <mergeCell ref="IDL73:IEE73"/>
    <mergeCell ref="IEF73:IEY73"/>
    <mergeCell ref="IEZ73:IFS73"/>
    <mergeCell ref="IFT73:IGM73"/>
    <mergeCell ref="IGN73:IHG73"/>
    <mergeCell ref="HYB73:HYU73"/>
    <mergeCell ref="HYV73:HZO73"/>
    <mergeCell ref="HZP73:IAI73"/>
    <mergeCell ref="IAJ73:IBC73"/>
    <mergeCell ref="IBD73:IBW73"/>
    <mergeCell ref="IBX73:ICQ73"/>
    <mergeCell ref="HTL73:HUE73"/>
    <mergeCell ref="HUF73:HUY73"/>
    <mergeCell ref="HUZ73:HVS73"/>
    <mergeCell ref="HVT73:HWM73"/>
    <mergeCell ref="HWN73:HXG73"/>
    <mergeCell ref="HXH73:HYA73"/>
    <mergeCell ref="HOV73:HPO73"/>
    <mergeCell ref="HPP73:HQI73"/>
    <mergeCell ref="HQJ73:HRC73"/>
    <mergeCell ref="HRD73:HRW73"/>
    <mergeCell ref="HRX73:HSQ73"/>
    <mergeCell ref="HSR73:HTK73"/>
    <mergeCell ref="HKF73:HKY73"/>
    <mergeCell ref="HKZ73:HLS73"/>
    <mergeCell ref="HLT73:HMM73"/>
    <mergeCell ref="HMN73:HNG73"/>
    <mergeCell ref="HNH73:HOA73"/>
    <mergeCell ref="HOB73:HOU73"/>
    <mergeCell ref="HFP73:HGI73"/>
    <mergeCell ref="HGJ73:HHC73"/>
    <mergeCell ref="HHD73:HHW73"/>
    <mergeCell ref="HHX73:HIQ73"/>
    <mergeCell ref="HIR73:HJK73"/>
    <mergeCell ref="HJL73:HKE73"/>
    <mergeCell ref="HAZ73:HBS73"/>
    <mergeCell ref="HBT73:HCM73"/>
    <mergeCell ref="HCN73:HDG73"/>
    <mergeCell ref="HDH73:HEA73"/>
    <mergeCell ref="HEB73:HEU73"/>
    <mergeCell ref="HEV73:HFO73"/>
    <mergeCell ref="GWJ73:GXC73"/>
    <mergeCell ref="GXD73:GXW73"/>
    <mergeCell ref="GXX73:GYQ73"/>
    <mergeCell ref="GYR73:GZK73"/>
    <mergeCell ref="GZL73:HAE73"/>
    <mergeCell ref="HAF73:HAY73"/>
    <mergeCell ref="GRT73:GSM73"/>
    <mergeCell ref="GSN73:GTG73"/>
    <mergeCell ref="GTH73:GUA73"/>
    <mergeCell ref="GUB73:GUU73"/>
    <mergeCell ref="GUV73:GVO73"/>
    <mergeCell ref="GVP73:GWI73"/>
    <mergeCell ref="GND73:GNW73"/>
    <mergeCell ref="GNX73:GOQ73"/>
    <mergeCell ref="GOR73:GPK73"/>
    <mergeCell ref="GPL73:GQE73"/>
    <mergeCell ref="GQF73:GQY73"/>
    <mergeCell ref="GQZ73:GRS73"/>
    <mergeCell ref="GIN73:GJG73"/>
    <mergeCell ref="GJH73:GKA73"/>
    <mergeCell ref="GKB73:GKU73"/>
    <mergeCell ref="GKV73:GLO73"/>
    <mergeCell ref="GLP73:GMI73"/>
    <mergeCell ref="GMJ73:GNC73"/>
    <mergeCell ref="GDX73:GEQ73"/>
    <mergeCell ref="GER73:GFK73"/>
    <mergeCell ref="GFL73:GGE73"/>
    <mergeCell ref="GGF73:GGY73"/>
    <mergeCell ref="GGZ73:GHS73"/>
    <mergeCell ref="GHT73:GIM73"/>
    <mergeCell ref="FZH73:GAA73"/>
    <mergeCell ref="GAB73:GAU73"/>
    <mergeCell ref="GAV73:GBO73"/>
    <mergeCell ref="GBP73:GCI73"/>
    <mergeCell ref="GCJ73:GDC73"/>
    <mergeCell ref="GDD73:GDW73"/>
    <mergeCell ref="FUR73:FVK73"/>
    <mergeCell ref="FVL73:FWE73"/>
    <mergeCell ref="FWF73:FWY73"/>
    <mergeCell ref="FWZ73:FXS73"/>
    <mergeCell ref="FXT73:FYM73"/>
    <mergeCell ref="FYN73:FZG73"/>
    <mergeCell ref="FQB73:FQU73"/>
    <mergeCell ref="FQV73:FRO73"/>
    <mergeCell ref="FRP73:FSI73"/>
    <mergeCell ref="FSJ73:FTC73"/>
    <mergeCell ref="FTD73:FTW73"/>
    <mergeCell ref="FTX73:FUQ73"/>
    <mergeCell ref="FLL73:FME73"/>
    <mergeCell ref="FMF73:FMY73"/>
    <mergeCell ref="FMZ73:FNS73"/>
    <mergeCell ref="FNT73:FOM73"/>
    <mergeCell ref="FON73:FPG73"/>
    <mergeCell ref="FPH73:FQA73"/>
    <mergeCell ref="FGV73:FHO73"/>
    <mergeCell ref="FHP73:FII73"/>
    <mergeCell ref="FIJ73:FJC73"/>
    <mergeCell ref="FJD73:FJW73"/>
    <mergeCell ref="FJX73:FKQ73"/>
    <mergeCell ref="FKR73:FLK73"/>
    <mergeCell ref="FCF73:FCY73"/>
    <mergeCell ref="FCZ73:FDS73"/>
    <mergeCell ref="FDT73:FEM73"/>
    <mergeCell ref="FEN73:FFG73"/>
    <mergeCell ref="FFH73:FGA73"/>
    <mergeCell ref="FGB73:FGU73"/>
    <mergeCell ref="EXP73:EYI73"/>
    <mergeCell ref="EYJ73:EZC73"/>
    <mergeCell ref="EZD73:EZW73"/>
    <mergeCell ref="EZX73:FAQ73"/>
    <mergeCell ref="FAR73:FBK73"/>
    <mergeCell ref="FBL73:FCE73"/>
    <mergeCell ref="ESZ73:ETS73"/>
    <mergeCell ref="ETT73:EUM73"/>
    <mergeCell ref="EUN73:EVG73"/>
    <mergeCell ref="EVH73:EWA73"/>
    <mergeCell ref="EWB73:EWU73"/>
    <mergeCell ref="EWV73:EXO73"/>
    <mergeCell ref="EOJ73:EPC73"/>
    <mergeCell ref="EPD73:EPW73"/>
    <mergeCell ref="EPX73:EQQ73"/>
    <mergeCell ref="EQR73:ERK73"/>
    <mergeCell ref="ERL73:ESE73"/>
    <mergeCell ref="ESF73:ESY73"/>
    <mergeCell ref="EJT73:EKM73"/>
    <mergeCell ref="EKN73:ELG73"/>
    <mergeCell ref="ELH73:EMA73"/>
    <mergeCell ref="EMB73:EMU73"/>
    <mergeCell ref="EMV73:ENO73"/>
    <mergeCell ref="ENP73:EOI73"/>
    <mergeCell ref="EFD73:EFW73"/>
    <mergeCell ref="EFX73:EGQ73"/>
    <mergeCell ref="EGR73:EHK73"/>
    <mergeCell ref="EHL73:EIE73"/>
    <mergeCell ref="EIF73:EIY73"/>
    <mergeCell ref="EIZ73:EJS73"/>
    <mergeCell ref="EAN73:EBG73"/>
    <mergeCell ref="EBH73:ECA73"/>
    <mergeCell ref="ECB73:ECU73"/>
    <mergeCell ref="ECV73:EDO73"/>
    <mergeCell ref="EDP73:EEI73"/>
    <mergeCell ref="EEJ73:EFC73"/>
    <mergeCell ref="DVX73:DWQ73"/>
    <mergeCell ref="DWR73:DXK73"/>
    <mergeCell ref="DXL73:DYE73"/>
    <mergeCell ref="DYF73:DYY73"/>
    <mergeCell ref="DYZ73:DZS73"/>
    <mergeCell ref="DZT73:EAM73"/>
    <mergeCell ref="DRH73:DSA73"/>
    <mergeCell ref="DSB73:DSU73"/>
    <mergeCell ref="DSV73:DTO73"/>
    <mergeCell ref="DTP73:DUI73"/>
    <mergeCell ref="DUJ73:DVC73"/>
    <mergeCell ref="DVD73:DVW73"/>
    <mergeCell ref="DMR73:DNK73"/>
    <mergeCell ref="DNL73:DOE73"/>
    <mergeCell ref="DOF73:DOY73"/>
    <mergeCell ref="DOZ73:DPS73"/>
    <mergeCell ref="DPT73:DQM73"/>
    <mergeCell ref="DQN73:DRG73"/>
    <mergeCell ref="DIB73:DIU73"/>
    <mergeCell ref="DIV73:DJO73"/>
    <mergeCell ref="DJP73:DKI73"/>
    <mergeCell ref="DKJ73:DLC73"/>
    <mergeCell ref="DLD73:DLW73"/>
    <mergeCell ref="DLX73:DMQ73"/>
    <mergeCell ref="DDL73:DEE73"/>
    <mergeCell ref="DEF73:DEY73"/>
    <mergeCell ref="DEZ73:DFS73"/>
    <mergeCell ref="DFT73:DGM73"/>
    <mergeCell ref="DGN73:DHG73"/>
    <mergeCell ref="DHH73:DIA73"/>
    <mergeCell ref="CYV73:CZO73"/>
    <mergeCell ref="CZP73:DAI73"/>
    <mergeCell ref="DAJ73:DBC73"/>
    <mergeCell ref="DBD73:DBW73"/>
    <mergeCell ref="DBX73:DCQ73"/>
    <mergeCell ref="DCR73:DDK73"/>
    <mergeCell ref="CUF73:CUY73"/>
    <mergeCell ref="CUZ73:CVS73"/>
    <mergeCell ref="CVT73:CWM73"/>
    <mergeCell ref="CWN73:CXG73"/>
    <mergeCell ref="CXH73:CYA73"/>
    <mergeCell ref="CYB73:CYU73"/>
    <mergeCell ref="CPP73:CQI73"/>
    <mergeCell ref="CQJ73:CRC73"/>
    <mergeCell ref="CRD73:CRW73"/>
    <mergeCell ref="CRX73:CSQ73"/>
    <mergeCell ref="CSR73:CTK73"/>
    <mergeCell ref="CTL73:CUE73"/>
    <mergeCell ref="CKZ73:CLS73"/>
    <mergeCell ref="CLT73:CMM73"/>
    <mergeCell ref="CMN73:CNG73"/>
    <mergeCell ref="CNH73:COA73"/>
    <mergeCell ref="COB73:COU73"/>
    <mergeCell ref="COV73:CPO73"/>
    <mergeCell ref="CGJ73:CHC73"/>
    <mergeCell ref="CHD73:CHW73"/>
    <mergeCell ref="CHX73:CIQ73"/>
    <mergeCell ref="CIR73:CJK73"/>
    <mergeCell ref="CJL73:CKE73"/>
    <mergeCell ref="CKF73:CKY73"/>
    <mergeCell ref="CBT73:CCM73"/>
    <mergeCell ref="CCN73:CDG73"/>
    <mergeCell ref="CDH73:CEA73"/>
    <mergeCell ref="CEB73:CEU73"/>
    <mergeCell ref="CEV73:CFO73"/>
    <mergeCell ref="CFP73:CGI73"/>
    <mergeCell ref="BXD73:BXW73"/>
    <mergeCell ref="BXX73:BYQ73"/>
    <mergeCell ref="BYR73:BZK73"/>
    <mergeCell ref="BZL73:CAE73"/>
    <mergeCell ref="CAF73:CAY73"/>
    <mergeCell ref="CAZ73:CBS73"/>
    <mergeCell ref="BSN73:BTG73"/>
    <mergeCell ref="BTH73:BUA73"/>
    <mergeCell ref="BUB73:BUU73"/>
    <mergeCell ref="BUV73:BVO73"/>
    <mergeCell ref="BVP73:BWI73"/>
    <mergeCell ref="BWJ73:BXC73"/>
    <mergeCell ref="BNX73:BOQ73"/>
    <mergeCell ref="BOR73:BPK73"/>
    <mergeCell ref="BPL73:BQE73"/>
    <mergeCell ref="BQF73:BQY73"/>
    <mergeCell ref="BQZ73:BRS73"/>
    <mergeCell ref="BRT73:BSM73"/>
    <mergeCell ref="BJH73:BKA73"/>
    <mergeCell ref="BKB73:BKU73"/>
    <mergeCell ref="BKV73:BLO73"/>
    <mergeCell ref="BLP73:BMI73"/>
    <mergeCell ref="BMJ73:BNC73"/>
    <mergeCell ref="BND73:BNW73"/>
    <mergeCell ref="BER73:BFK73"/>
    <mergeCell ref="BFL73:BGE73"/>
    <mergeCell ref="BGF73:BGY73"/>
    <mergeCell ref="BGZ73:BHS73"/>
    <mergeCell ref="BHT73:BIM73"/>
    <mergeCell ref="BIN73:BJG73"/>
    <mergeCell ref="BAB73:BAU73"/>
    <mergeCell ref="BAV73:BBO73"/>
    <mergeCell ref="BBP73:BCI73"/>
    <mergeCell ref="BCJ73:BDC73"/>
    <mergeCell ref="BDD73:BDW73"/>
    <mergeCell ref="BDX73:BEQ73"/>
    <mergeCell ref="AVL73:AWE73"/>
    <mergeCell ref="AWF73:AWY73"/>
    <mergeCell ref="AWZ73:AXS73"/>
    <mergeCell ref="AXT73:AYM73"/>
    <mergeCell ref="AYN73:AZG73"/>
    <mergeCell ref="AZH73:BAA73"/>
    <mergeCell ref="AQV73:ARO73"/>
    <mergeCell ref="ARP73:ASI73"/>
    <mergeCell ref="ASJ73:ATC73"/>
    <mergeCell ref="ATD73:ATW73"/>
    <mergeCell ref="ATX73:AUQ73"/>
    <mergeCell ref="AUR73:AVK73"/>
    <mergeCell ref="AMF73:AMY73"/>
    <mergeCell ref="AMZ73:ANS73"/>
    <mergeCell ref="ANT73:AOM73"/>
    <mergeCell ref="AON73:APG73"/>
    <mergeCell ref="APH73:AQA73"/>
    <mergeCell ref="AQB73:AQU73"/>
    <mergeCell ref="AHP73:AII73"/>
    <mergeCell ref="AIJ73:AJC73"/>
    <mergeCell ref="AJD73:AJW73"/>
    <mergeCell ref="AJX73:AKQ73"/>
    <mergeCell ref="AKR73:ALK73"/>
    <mergeCell ref="ALL73:AME73"/>
    <mergeCell ref="ACZ73:ADS73"/>
    <mergeCell ref="ADT73:AEM73"/>
    <mergeCell ref="AEN73:AFG73"/>
    <mergeCell ref="AFH73:AGA73"/>
    <mergeCell ref="AGB73:AGU73"/>
    <mergeCell ref="AGV73:AHO73"/>
    <mergeCell ref="YJ73:ZC73"/>
    <mergeCell ref="ZD73:ZW73"/>
    <mergeCell ref="ZX73:AAQ73"/>
    <mergeCell ref="AAR73:ABK73"/>
    <mergeCell ref="ABL73:ACE73"/>
    <mergeCell ref="ACF73:ACY73"/>
    <mergeCell ref="TT73:UM73"/>
    <mergeCell ref="UN73:VG73"/>
    <mergeCell ref="VH73:WA73"/>
    <mergeCell ref="WB73:WU73"/>
    <mergeCell ref="WV73:XO73"/>
    <mergeCell ref="XP73:YI73"/>
    <mergeCell ref="PD73:PW73"/>
    <mergeCell ref="PX73:QQ73"/>
    <mergeCell ref="QR73:RK73"/>
    <mergeCell ref="RL73:SE73"/>
    <mergeCell ref="SF73:SY73"/>
    <mergeCell ref="SZ73:TS73"/>
    <mergeCell ref="KN73:LG73"/>
    <mergeCell ref="LH73:MA73"/>
    <mergeCell ref="MB73:MU73"/>
    <mergeCell ref="MV73:NO73"/>
    <mergeCell ref="NP73:OI73"/>
    <mergeCell ref="OJ73:PC73"/>
    <mergeCell ref="FX73:GQ73"/>
    <mergeCell ref="GR73:HK73"/>
    <mergeCell ref="HL73:IE73"/>
    <mergeCell ref="IF73:IY73"/>
    <mergeCell ref="IZ73:JS73"/>
    <mergeCell ref="JT73:KM73"/>
    <mergeCell ref="BH73:CA73"/>
    <mergeCell ref="CB73:CU73"/>
    <mergeCell ref="CV73:DO73"/>
    <mergeCell ref="DP73:EI73"/>
    <mergeCell ref="EJ73:FC73"/>
    <mergeCell ref="FD73:FW73"/>
    <mergeCell ref="R67:R71"/>
    <mergeCell ref="S67:S71"/>
    <mergeCell ref="B72:S72"/>
    <mergeCell ref="A73:S73"/>
    <mergeCell ref="T73:AM73"/>
    <mergeCell ref="AN73:BG73"/>
    <mergeCell ref="XEF66:XEY66"/>
    <mergeCell ref="XEZ66:XFC66"/>
    <mergeCell ref="A67:A72"/>
    <mergeCell ref="B67:B71"/>
    <mergeCell ref="C67:C71"/>
    <mergeCell ref="D67:D71"/>
    <mergeCell ref="E67:E71"/>
    <mergeCell ref="F67:F71"/>
    <mergeCell ref="O67:O71"/>
    <mergeCell ref="P67:P71"/>
    <mergeCell ref="WZP66:XAI66"/>
    <mergeCell ref="XAJ66:XBC66"/>
    <mergeCell ref="XBD66:XBW66"/>
    <mergeCell ref="XBX66:XCQ66"/>
    <mergeCell ref="XCR66:XDK66"/>
    <mergeCell ref="XDL66:XEE66"/>
    <mergeCell ref="WUZ66:WVS66"/>
    <mergeCell ref="WVT66:WWM66"/>
    <mergeCell ref="WWN66:WXG66"/>
    <mergeCell ref="WXH66:WYA66"/>
    <mergeCell ref="WYB66:WYU66"/>
    <mergeCell ref="WYV66:WZO66"/>
    <mergeCell ref="WQJ66:WRC66"/>
    <mergeCell ref="WRD66:WRW66"/>
    <mergeCell ref="WRX66:WSQ66"/>
    <mergeCell ref="WSR66:WTK66"/>
    <mergeCell ref="WTL66:WUE66"/>
    <mergeCell ref="WUF66:WUY66"/>
    <mergeCell ref="WLT66:WMM66"/>
    <mergeCell ref="WMN66:WNG66"/>
    <mergeCell ref="WNH66:WOA66"/>
    <mergeCell ref="WOB66:WOU66"/>
    <mergeCell ref="WOV66:WPO66"/>
    <mergeCell ref="WPP66:WQI66"/>
    <mergeCell ref="WHD66:WHW66"/>
    <mergeCell ref="WHX66:WIQ66"/>
    <mergeCell ref="WIR66:WJK66"/>
    <mergeCell ref="WJL66:WKE66"/>
    <mergeCell ref="WKF66:WKY66"/>
    <mergeCell ref="WKZ66:WLS66"/>
    <mergeCell ref="WCN66:WDG66"/>
    <mergeCell ref="WDH66:WEA66"/>
    <mergeCell ref="WEB66:WEU66"/>
    <mergeCell ref="WEV66:WFO66"/>
    <mergeCell ref="WFP66:WGI66"/>
    <mergeCell ref="WGJ66:WHC66"/>
    <mergeCell ref="VXX66:VYQ66"/>
    <mergeCell ref="VYR66:VZK66"/>
    <mergeCell ref="VZL66:WAE66"/>
    <mergeCell ref="WAF66:WAY66"/>
    <mergeCell ref="WAZ66:WBS66"/>
    <mergeCell ref="WBT66:WCM66"/>
    <mergeCell ref="VTH66:VUA66"/>
    <mergeCell ref="VUB66:VUU66"/>
    <mergeCell ref="VUV66:VVO66"/>
    <mergeCell ref="VVP66:VWI66"/>
    <mergeCell ref="VWJ66:VXC66"/>
    <mergeCell ref="VXD66:VXW66"/>
    <mergeCell ref="VOR66:VPK66"/>
    <mergeCell ref="VPL66:VQE66"/>
    <mergeCell ref="VQF66:VQY66"/>
    <mergeCell ref="VQZ66:VRS66"/>
    <mergeCell ref="VRT66:VSM66"/>
    <mergeCell ref="VSN66:VTG66"/>
    <mergeCell ref="VKB66:VKU66"/>
    <mergeCell ref="VKV66:VLO66"/>
    <mergeCell ref="VLP66:VMI66"/>
    <mergeCell ref="VMJ66:VNC66"/>
    <mergeCell ref="VND66:VNW66"/>
    <mergeCell ref="VNX66:VOQ66"/>
    <mergeCell ref="VFL66:VGE66"/>
    <mergeCell ref="VGF66:VGY66"/>
    <mergeCell ref="VGZ66:VHS66"/>
    <mergeCell ref="VHT66:VIM66"/>
    <mergeCell ref="VIN66:VJG66"/>
    <mergeCell ref="VJH66:VKA66"/>
    <mergeCell ref="VAV66:VBO66"/>
    <mergeCell ref="VBP66:VCI66"/>
    <mergeCell ref="VCJ66:VDC66"/>
    <mergeCell ref="VDD66:VDW66"/>
    <mergeCell ref="VDX66:VEQ66"/>
    <mergeCell ref="VER66:VFK66"/>
    <mergeCell ref="UWF66:UWY66"/>
    <mergeCell ref="UWZ66:UXS66"/>
    <mergeCell ref="UXT66:UYM66"/>
    <mergeCell ref="UYN66:UZG66"/>
    <mergeCell ref="UZH66:VAA66"/>
    <mergeCell ref="VAB66:VAU66"/>
    <mergeCell ref="URP66:USI66"/>
    <mergeCell ref="USJ66:UTC66"/>
    <mergeCell ref="UTD66:UTW66"/>
    <mergeCell ref="UTX66:UUQ66"/>
    <mergeCell ref="UUR66:UVK66"/>
    <mergeCell ref="UVL66:UWE66"/>
    <mergeCell ref="UMZ66:UNS66"/>
    <mergeCell ref="UNT66:UOM66"/>
    <mergeCell ref="UON66:UPG66"/>
    <mergeCell ref="UPH66:UQA66"/>
    <mergeCell ref="UQB66:UQU66"/>
    <mergeCell ref="UQV66:URO66"/>
    <mergeCell ref="UIJ66:UJC66"/>
    <mergeCell ref="UJD66:UJW66"/>
    <mergeCell ref="UJX66:UKQ66"/>
    <mergeCell ref="UKR66:ULK66"/>
    <mergeCell ref="ULL66:UME66"/>
    <mergeCell ref="UMF66:UMY66"/>
    <mergeCell ref="UDT66:UEM66"/>
    <mergeCell ref="UEN66:UFG66"/>
    <mergeCell ref="UFH66:UGA66"/>
    <mergeCell ref="UGB66:UGU66"/>
    <mergeCell ref="UGV66:UHO66"/>
    <mergeCell ref="UHP66:UII66"/>
    <mergeCell ref="TZD66:TZW66"/>
    <mergeCell ref="TZX66:UAQ66"/>
    <mergeCell ref="UAR66:UBK66"/>
    <mergeCell ref="UBL66:UCE66"/>
    <mergeCell ref="UCF66:UCY66"/>
    <mergeCell ref="UCZ66:UDS66"/>
    <mergeCell ref="TUN66:TVG66"/>
    <mergeCell ref="TVH66:TWA66"/>
    <mergeCell ref="TWB66:TWU66"/>
    <mergeCell ref="TWV66:TXO66"/>
    <mergeCell ref="TXP66:TYI66"/>
    <mergeCell ref="TYJ66:TZC66"/>
    <mergeCell ref="TPX66:TQQ66"/>
    <mergeCell ref="TQR66:TRK66"/>
    <mergeCell ref="TRL66:TSE66"/>
    <mergeCell ref="TSF66:TSY66"/>
    <mergeCell ref="TSZ66:TTS66"/>
    <mergeCell ref="TTT66:TUM66"/>
    <mergeCell ref="TLH66:TMA66"/>
    <mergeCell ref="TMB66:TMU66"/>
    <mergeCell ref="TMV66:TNO66"/>
    <mergeCell ref="TNP66:TOI66"/>
    <mergeCell ref="TOJ66:TPC66"/>
    <mergeCell ref="TPD66:TPW66"/>
    <mergeCell ref="TGR66:THK66"/>
    <mergeCell ref="THL66:TIE66"/>
    <mergeCell ref="TIF66:TIY66"/>
    <mergeCell ref="TIZ66:TJS66"/>
    <mergeCell ref="TJT66:TKM66"/>
    <mergeCell ref="TKN66:TLG66"/>
    <mergeCell ref="TCB66:TCU66"/>
    <mergeCell ref="TCV66:TDO66"/>
    <mergeCell ref="TDP66:TEI66"/>
    <mergeCell ref="TEJ66:TFC66"/>
    <mergeCell ref="TFD66:TFW66"/>
    <mergeCell ref="TFX66:TGQ66"/>
    <mergeCell ref="SXL66:SYE66"/>
    <mergeCell ref="SYF66:SYY66"/>
    <mergeCell ref="SYZ66:SZS66"/>
    <mergeCell ref="SZT66:TAM66"/>
    <mergeCell ref="TAN66:TBG66"/>
    <mergeCell ref="TBH66:TCA66"/>
    <mergeCell ref="SSV66:STO66"/>
    <mergeCell ref="STP66:SUI66"/>
    <mergeCell ref="SUJ66:SVC66"/>
    <mergeCell ref="SVD66:SVW66"/>
    <mergeCell ref="SVX66:SWQ66"/>
    <mergeCell ref="SWR66:SXK66"/>
    <mergeCell ref="SOF66:SOY66"/>
    <mergeCell ref="SOZ66:SPS66"/>
    <mergeCell ref="SPT66:SQM66"/>
    <mergeCell ref="SQN66:SRG66"/>
    <mergeCell ref="SRH66:SSA66"/>
    <mergeCell ref="SSB66:SSU66"/>
    <mergeCell ref="SJP66:SKI66"/>
    <mergeCell ref="SKJ66:SLC66"/>
    <mergeCell ref="SLD66:SLW66"/>
    <mergeCell ref="SLX66:SMQ66"/>
    <mergeCell ref="SMR66:SNK66"/>
    <mergeCell ref="SNL66:SOE66"/>
    <mergeCell ref="SEZ66:SFS66"/>
    <mergeCell ref="SFT66:SGM66"/>
    <mergeCell ref="SGN66:SHG66"/>
    <mergeCell ref="SHH66:SIA66"/>
    <mergeCell ref="SIB66:SIU66"/>
    <mergeCell ref="SIV66:SJO66"/>
    <mergeCell ref="SAJ66:SBC66"/>
    <mergeCell ref="SBD66:SBW66"/>
    <mergeCell ref="SBX66:SCQ66"/>
    <mergeCell ref="SCR66:SDK66"/>
    <mergeCell ref="SDL66:SEE66"/>
    <mergeCell ref="SEF66:SEY66"/>
    <mergeCell ref="RVT66:RWM66"/>
    <mergeCell ref="RWN66:RXG66"/>
    <mergeCell ref="RXH66:RYA66"/>
    <mergeCell ref="RYB66:RYU66"/>
    <mergeCell ref="RYV66:RZO66"/>
    <mergeCell ref="RZP66:SAI66"/>
    <mergeCell ref="RRD66:RRW66"/>
    <mergeCell ref="RRX66:RSQ66"/>
    <mergeCell ref="RSR66:RTK66"/>
    <mergeCell ref="RTL66:RUE66"/>
    <mergeCell ref="RUF66:RUY66"/>
    <mergeCell ref="RUZ66:RVS66"/>
    <mergeCell ref="RMN66:RNG66"/>
    <mergeCell ref="RNH66:ROA66"/>
    <mergeCell ref="ROB66:ROU66"/>
    <mergeCell ref="ROV66:RPO66"/>
    <mergeCell ref="RPP66:RQI66"/>
    <mergeCell ref="RQJ66:RRC66"/>
    <mergeCell ref="RHX66:RIQ66"/>
    <mergeCell ref="RIR66:RJK66"/>
    <mergeCell ref="RJL66:RKE66"/>
    <mergeCell ref="RKF66:RKY66"/>
    <mergeCell ref="RKZ66:RLS66"/>
    <mergeCell ref="RLT66:RMM66"/>
    <mergeCell ref="RDH66:REA66"/>
    <mergeCell ref="REB66:REU66"/>
    <mergeCell ref="REV66:RFO66"/>
    <mergeCell ref="RFP66:RGI66"/>
    <mergeCell ref="RGJ66:RHC66"/>
    <mergeCell ref="RHD66:RHW66"/>
    <mergeCell ref="QYR66:QZK66"/>
    <mergeCell ref="QZL66:RAE66"/>
    <mergeCell ref="RAF66:RAY66"/>
    <mergeCell ref="RAZ66:RBS66"/>
    <mergeCell ref="RBT66:RCM66"/>
    <mergeCell ref="RCN66:RDG66"/>
    <mergeCell ref="QUB66:QUU66"/>
    <mergeCell ref="QUV66:QVO66"/>
    <mergeCell ref="QVP66:QWI66"/>
    <mergeCell ref="QWJ66:QXC66"/>
    <mergeCell ref="QXD66:QXW66"/>
    <mergeCell ref="QXX66:QYQ66"/>
    <mergeCell ref="QPL66:QQE66"/>
    <mergeCell ref="QQF66:QQY66"/>
    <mergeCell ref="QQZ66:QRS66"/>
    <mergeCell ref="QRT66:QSM66"/>
    <mergeCell ref="QSN66:QTG66"/>
    <mergeCell ref="QTH66:QUA66"/>
    <mergeCell ref="QKV66:QLO66"/>
    <mergeCell ref="QLP66:QMI66"/>
    <mergeCell ref="QMJ66:QNC66"/>
    <mergeCell ref="QND66:QNW66"/>
    <mergeCell ref="QNX66:QOQ66"/>
    <mergeCell ref="QOR66:QPK66"/>
    <mergeCell ref="QGF66:QGY66"/>
    <mergeCell ref="QGZ66:QHS66"/>
    <mergeCell ref="QHT66:QIM66"/>
    <mergeCell ref="QIN66:QJG66"/>
    <mergeCell ref="QJH66:QKA66"/>
    <mergeCell ref="QKB66:QKU66"/>
    <mergeCell ref="QBP66:QCI66"/>
    <mergeCell ref="QCJ66:QDC66"/>
    <mergeCell ref="QDD66:QDW66"/>
    <mergeCell ref="QDX66:QEQ66"/>
    <mergeCell ref="QER66:QFK66"/>
    <mergeCell ref="QFL66:QGE66"/>
    <mergeCell ref="PWZ66:PXS66"/>
    <mergeCell ref="PXT66:PYM66"/>
    <mergeCell ref="PYN66:PZG66"/>
    <mergeCell ref="PZH66:QAA66"/>
    <mergeCell ref="QAB66:QAU66"/>
    <mergeCell ref="QAV66:QBO66"/>
    <mergeCell ref="PSJ66:PTC66"/>
    <mergeCell ref="PTD66:PTW66"/>
    <mergeCell ref="PTX66:PUQ66"/>
    <mergeCell ref="PUR66:PVK66"/>
    <mergeCell ref="PVL66:PWE66"/>
    <mergeCell ref="PWF66:PWY66"/>
    <mergeCell ref="PNT66:POM66"/>
    <mergeCell ref="PON66:PPG66"/>
    <mergeCell ref="PPH66:PQA66"/>
    <mergeCell ref="PQB66:PQU66"/>
    <mergeCell ref="PQV66:PRO66"/>
    <mergeCell ref="PRP66:PSI66"/>
    <mergeCell ref="PJD66:PJW66"/>
    <mergeCell ref="PJX66:PKQ66"/>
    <mergeCell ref="PKR66:PLK66"/>
    <mergeCell ref="PLL66:PME66"/>
    <mergeCell ref="PMF66:PMY66"/>
    <mergeCell ref="PMZ66:PNS66"/>
    <mergeCell ref="PEN66:PFG66"/>
    <mergeCell ref="PFH66:PGA66"/>
    <mergeCell ref="PGB66:PGU66"/>
    <mergeCell ref="PGV66:PHO66"/>
    <mergeCell ref="PHP66:PII66"/>
    <mergeCell ref="PIJ66:PJC66"/>
    <mergeCell ref="OZX66:PAQ66"/>
    <mergeCell ref="PAR66:PBK66"/>
    <mergeCell ref="PBL66:PCE66"/>
    <mergeCell ref="PCF66:PCY66"/>
    <mergeCell ref="PCZ66:PDS66"/>
    <mergeCell ref="PDT66:PEM66"/>
    <mergeCell ref="OVH66:OWA66"/>
    <mergeCell ref="OWB66:OWU66"/>
    <mergeCell ref="OWV66:OXO66"/>
    <mergeCell ref="OXP66:OYI66"/>
    <mergeCell ref="OYJ66:OZC66"/>
    <mergeCell ref="OZD66:OZW66"/>
    <mergeCell ref="OQR66:ORK66"/>
    <mergeCell ref="ORL66:OSE66"/>
    <mergeCell ref="OSF66:OSY66"/>
    <mergeCell ref="OSZ66:OTS66"/>
    <mergeCell ref="OTT66:OUM66"/>
    <mergeCell ref="OUN66:OVG66"/>
    <mergeCell ref="OMB66:OMU66"/>
    <mergeCell ref="OMV66:ONO66"/>
    <mergeCell ref="ONP66:OOI66"/>
    <mergeCell ref="OOJ66:OPC66"/>
    <mergeCell ref="OPD66:OPW66"/>
    <mergeCell ref="OPX66:OQQ66"/>
    <mergeCell ref="OHL66:OIE66"/>
    <mergeCell ref="OIF66:OIY66"/>
    <mergeCell ref="OIZ66:OJS66"/>
    <mergeCell ref="OJT66:OKM66"/>
    <mergeCell ref="OKN66:OLG66"/>
    <mergeCell ref="OLH66:OMA66"/>
    <mergeCell ref="OCV66:ODO66"/>
    <mergeCell ref="ODP66:OEI66"/>
    <mergeCell ref="OEJ66:OFC66"/>
    <mergeCell ref="OFD66:OFW66"/>
    <mergeCell ref="OFX66:OGQ66"/>
    <mergeCell ref="OGR66:OHK66"/>
    <mergeCell ref="NYF66:NYY66"/>
    <mergeCell ref="NYZ66:NZS66"/>
    <mergeCell ref="NZT66:OAM66"/>
    <mergeCell ref="OAN66:OBG66"/>
    <mergeCell ref="OBH66:OCA66"/>
    <mergeCell ref="OCB66:OCU66"/>
    <mergeCell ref="NTP66:NUI66"/>
    <mergeCell ref="NUJ66:NVC66"/>
    <mergeCell ref="NVD66:NVW66"/>
    <mergeCell ref="NVX66:NWQ66"/>
    <mergeCell ref="NWR66:NXK66"/>
    <mergeCell ref="NXL66:NYE66"/>
    <mergeCell ref="NOZ66:NPS66"/>
    <mergeCell ref="NPT66:NQM66"/>
    <mergeCell ref="NQN66:NRG66"/>
    <mergeCell ref="NRH66:NSA66"/>
    <mergeCell ref="NSB66:NSU66"/>
    <mergeCell ref="NSV66:NTO66"/>
    <mergeCell ref="NKJ66:NLC66"/>
    <mergeCell ref="NLD66:NLW66"/>
    <mergeCell ref="NLX66:NMQ66"/>
    <mergeCell ref="NMR66:NNK66"/>
    <mergeCell ref="NNL66:NOE66"/>
    <mergeCell ref="NOF66:NOY66"/>
    <mergeCell ref="NFT66:NGM66"/>
    <mergeCell ref="NGN66:NHG66"/>
    <mergeCell ref="NHH66:NIA66"/>
    <mergeCell ref="NIB66:NIU66"/>
    <mergeCell ref="NIV66:NJO66"/>
    <mergeCell ref="NJP66:NKI66"/>
    <mergeCell ref="NBD66:NBW66"/>
    <mergeCell ref="NBX66:NCQ66"/>
    <mergeCell ref="NCR66:NDK66"/>
    <mergeCell ref="NDL66:NEE66"/>
    <mergeCell ref="NEF66:NEY66"/>
    <mergeCell ref="NEZ66:NFS66"/>
    <mergeCell ref="MWN66:MXG66"/>
    <mergeCell ref="MXH66:MYA66"/>
    <mergeCell ref="MYB66:MYU66"/>
    <mergeCell ref="MYV66:MZO66"/>
    <mergeCell ref="MZP66:NAI66"/>
    <mergeCell ref="NAJ66:NBC66"/>
    <mergeCell ref="MRX66:MSQ66"/>
    <mergeCell ref="MSR66:MTK66"/>
    <mergeCell ref="MTL66:MUE66"/>
    <mergeCell ref="MUF66:MUY66"/>
    <mergeCell ref="MUZ66:MVS66"/>
    <mergeCell ref="MVT66:MWM66"/>
    <mergeCell ref="MNH66:MOA66"/>
    <mergeCell ref="MOB66:MOU66"/>
    <mergeCell ref="MOV66:MPO66"/>
    <mergeCell ref="MPP66:MQI66"/>
    <mergeCell ref="MQJ66:MRC66"/>
    <mergeCell ref="MRD66:MRW66"/>
    <mergeCell ref="MIR66:MJK66"/>
    <mergeCell ref="MJL66:MKE66"/>
    <mergeCell ref="MKF66:MKY66"/>
    <mergeCell ref="MKZ66:MLS66"/>
    <mergeCell ref="MLT66:MMM66"/>
    <mergeCell ref="MMN66:MNG66"/>
    <mergeCell ref="MEB66:MEU66"/>
    <mergeCell ref="MEV66:MFO66"/>
    <mergeCell ref="MFP66:MGI66"/>
    <mergeCell ref="MGJ66:MHC66"/>
    <mergeCell ref="MHD66:MHW66"/>
    <mergeCell ref="MHX66:MIQ66"/>
    <mergeCell ref="LZL66:MAE66"/>
    <mergeCell ref="MAF66:MAY66"/>
    <mergeCell ref="MAZ66:MBS66"/>
    <mergeCell ref="MBT66:MCM66"/>
    <mergeCell ref="MCN66:MDG66"/>
    <mergeCell ref="MDH66:MEA66"/>
    <mergeCell ref="LUV66:LVO66"/>
    <mergeCell ref="LVP66:LWI66"/>
    <mergeCell ref="LWJ66:LXC66"/>
    <mergeCell ref="LXD66:LXW66"/>
    <mergeCell ref="LXX66:LYQ66"/>
    <mergeCell ref="LYR66:LZK66"/>
    <mergeCell ref="LQF66:LQY66"/>
    <mergeCell ref="LQZ66:LRS66"/>
    <mergeCell ref="LRT66:LSM66"/>
    <mergeCell ref="LSN66:LTG66"/>
    <mergeCell ref="LTH66:LUA66"/>
    <mergeCell ref="LUB66:LUU66"/>
    <mergeCell ref="LLP66:LMI66"/>
    <mergeCell ref="LMJ66:LNC66"/>
    <mergeCell ref="LND66:LNW66"/>
    <mergeCell ref="LNX66:LOQ66"/>
    <mergeCell ref="LOR66:LPK66"/>
    <mergeCell ref="LPL66:LQE66"/>
    <mergeCell ref="LGZ66:LHS66"/>
    <mergeCell ref="LHT66:LIM66"/>
    <mergeCell ref="LIN66:LJG66"/>
    <mergeCell ref="LJH66:LKA66"/>
    <mergeCell ref="LKB66:LKU66"/>
    <mergeCell ref="LKV66:LLO66"/>
    <mergeCell ref="LCJ66:LDC66"/>
    <mergeCell ref="LDD66:LDW66"/>
    <mergeCell ref="LDX66:LEQ66"/>
    <mergeCell ref="LER66:LFK66"/>
    <mergeCell ref="LFL66:LGE66"/>
    <mergeCell ref="LGF66:LGY66"/>
    <mergeCell ref="KXT66:KYM66"/>
    <mergeCell ref="KYN66:KZG66"/>
    <mergeCell ref="KZH66:LAA66"/>
    <mergeCell ref="LAB66:LAU66"/>
    <mergeCell ref="LAV66:LBO66"/>
    <mergeCell ref="LBP66:LCI66"/>
    <mergeCell ref="KTD66:KTW66"/>
    <mergeCell ref="KTX66:KUQ66"/>
    <mergeCell ref="KUR66:KVK66"/>
    <mergeCell ref="KVL66:KWE66"/>
    <mergeCell ref="KWF66:KWY66"/>
    <mergeCell ref="KWZ66:KXS66"/>
    <mergeCell ref="KON66:KPG66"/>
    <mergeCell ref="KPH66:KQA66"/>
    <mergeCell ref="KQB66:KQU66"/>
    <mergeCell ref="KQV66:KRO66"/>
    <mergeCell ref="KRP66:KSI66"/>
    <mergeCell ref="KSJ66:KTC66"/>
    <mergeCell ref="KJX66:KKQ66"/>
    <mergeCell ref="KKR66:KLK66"/>
    <mergeCell ref="KLL66:KME66"/>
    <mergeCell ref="KMF66:KMY66"/>
    <mergeCell ref="KMZ66:KNS66"/>
    <mergeCell ref="KNT66:KOM66"/>
    <mergeCell ref="KFH66:KGA66"/>
    <mergeCell ref="KGB66:KGU66"/>
    <mergeCell ref="KGV66:KHO66"/>
    <mergeCell ref="KHP66:KII66"/>
    <mergeCell ref="KIJ66:KJC66"/>
    <mergeCell ref="KJD66:KJW66"/>
    <mergeCell ref="KAR66:KBK66"/>
    <mergeCell ref="KBL66:KCE66"/>
    <mergeCell ref="KCF66:KCY66"/>
    <mergeCell ref="KCZ66:KDS66"/>
    <mergeCell ref="KDT66:KEM66"/>
    <mergeCell ref="KEN66:KFG66"/>
    <mergeCell ref="JWB66:JWU66"/>
    <mergeCell ref="JWV66:JXO66"/>
    <mergeCell ref="JXP66:JYI66"/>
    <mergeCell ref="JYJ66:JZC66"/>
    <mergeCell ref="JZD66:JZW66"/>
    <mergeCell ref="JZX66:KAQ66"/>
    <mergeCell ref="JRL66:JSE66"/>
    <mergeCell ref="JSF66:JSY66"/>
    <mergeCell ref="JSZ66:JTS66"/>
    <mergeCell ref="JTT66:JUM66"/>
    <mergeCell ref="JUN66:JVG66"/>
    <mergeCell ref="JVH66:JWA66"/>
    <mergeCell ref="JMV66:JNO66"/>
    <mergeCell ref="JNP66:JOI66"/>
    <mergeCell ref="JOJ66:JPC66"/>
    <mergeCell ref="JPD66:JPW66"/>
    <mergeCell ref="JPX66:JQQ66"/>
    <mergeCell ref="JQR66:JRK66"/>
    <mergeCell ref="JIF66:JIY66"/>
    <mergeCell ref="JIZ66:JJS66"/>
    <mergeCell ref="JJT66:JKM66"/>
    <mergeCell ref="JKN66:JLG66"/>
    <mergeCell ref="JLH66:JMA66"/>
    <mergeCell ref="JMB66:JMU66"/>
    <mergeCell ref="JDP66:JEI66"/>
    <mergeCell ref="JEJ66:JFC66"/>
    <mergeCell ref="JFD66:JFW66"/>
    <mergeCell ref="JFX66:JGQ66"/>
    <mergeCell ref="JGR66:JHK66"/>
    <mergeCell ref="JHL66:JIE66"/>
    <mergeCell ref="IYZ66:IZS66"/>
    <mergeCell ref="IZT66:JAM66"/>
    <mergeCell ref="JAN66:JBG66"/>
    <mergeCell ref="JBH66:JCA66"/>
    <mergeCell ref="JCB66:JCU66"/>
    <mergeCell ref="JCV66:JDO66"/>
    <mergeCell ref="IUJ66:IVC66"/>
    <mergeCell ref="IVD66:IVW66"/>
    <mergeCell ref="IVX66:IWQ66"/>
    <mergeCell ref="IWR66:IXK66"/>
    <mergeCell ref="IXL66:IYE66"/>
    <mergeCell ref="IYF66:IYY66"/>
    <mergeCell ref="IPT66:IQM66"/>
    <mergeCell ref="IQN66:IRG66"/>
    <mergeCell ref="IRH66:ISA66"/>
    <mergeCell ref="ISB66:ISU66"/>
    <mergeCell ref="ISV66:ITO66"/>
    <mergeCell ref="ITP66:IUI66"/>
    <mergeCell ref="ILD66:ILW66"/>
    <mergeCell ref="ILX66:IMQ66"/>
    <mergeCell ref="IMR66:INK66"/>
    <mergeCell ref="INL66:IOE66"/>
    <mergeCell ref="IOF66:IOY66"/>
    <mergeCell ref="IOZ66:IPS66"/>
    <mergeCell ref="IGN66:IHG66"/>
    <mergeCell ref="IHH66:IIA66"/>
    <mergeCell ref="IIB66:IIU66"/>
    <mergeCell ref="IIV66:IJO66"/>
    <mergeCell ref="IJP66:IKI66"/>
    <mergeCell ref="IKJ66:ILC66"/>
    <mergeCell ref="IBX66:ICQ66"/>
    <mergeCell ref="ICR66:IDK66"/>
    <mergeCell ref="IDL66:IEE66"/>
    <mergeCell ref="IEF66:IEY66"/>
    <mergeCell ref="IEZ66:IFS66"/>
    <mergeCell ref="IFT66:IGM66"/>
    <mergeCell ref="HXH66:HYA66"/>
    <mergeCell ref="HYB66:HYU66"/>
    <mergeCell ref="HYV66:HZO66"/>
    <mergeCell ref="HZP66:IAI66"/>
    <mergeCell ref="IAJ66:IBC66"/>
    <mergeCell ref="IBD66:IBW66"/>
    <mergeCell ref="HSR66:HTK66"/>
    <mergeCell ref="HTL66:HUE66"/>
    <mergeCell ref="HUF66:HUY66"/>
    <mergeCell ref="HUZ66:HVS66"/>
    <mergeCell ref="HVT66:HWM66"/>
    <mergeCell ref="HWN66:HXG66"/>
    <mergeCell ref="HOB66:HOU66"/>
    <mergeCell ref="HOV66:HPO66"/>
    <mergeCell ref="HPP66:HQI66"/>
    <mergeCell ref="HQJ66:HRC66"/>
    <mergeCell ref="HRD66:HRW66"/>
    <mergeCell ref="HRX66:HSQ66"/>
    <mergeCell ref="HJL66:HKE66"/>
    <mergeCell ref="HKF66:HKY66"/>
    <mergeCell ref="HKZ66:HLS66"/>
    <mergeCell ref="HLT66:HMM66"/>
    <mergeCell ref="HMN66:HNG66"/>
    <mergeCell ref="HNH66:HOA66"/>
    <mergeCell ref="HEV66:HFO66"/>
    <mergeCell ref="HFP66:HGI66"/>
    <mergeCell ref="HGJ66:HHC66"/>
    <mergeCell ref="HHD66:HHW66"/>
    <mergeCell ref="HHX66:HIQ66"/>
    <mergeCell ref="HIR66:HJK66"/>
    <mergeCell ref="HAF66:HAY66"/>
    <mergeCell ref="HAZ66:HBS66"/>
    <mergeCell ref="HBT66:HCM66"/>
    <mergeCell ref="HCN66:HDG66"/>
    <mergeCell ref="HDH66:HEA66"/>
    <mergeCell ref="HEB66:HEU66"/>
    <mergeCell ref="GVP66:GWI66"/>
    <mergeCell ref="GWJ66:GXC66"/>
    <mergeCell ref="GXD66:GXW66"/>
    <mergeCell ref="GXX66:GYQ66"/>
    <mergeCell ref="GYR66:GZK66"/>
    <mergeCell ref="GZL66:HAE66"/>
    <mergeCell ref="GQZ66:GRS66"/>
    <mergeCell ref="GRT66:GSM66"/>
    <mergeCell ref="GSN66:GTG66"/>
    <mergeCell ref="GTH66:GUA66"/>
    <mergeCell ref="GUB66:GUU66"/>
    <mergeCell ref="GUV66:GVO66"/>
    <mergeCell ref="GMJ66:GNC66"/>
    <mergeCell ref="GND66:GNW66"/>
    <mergeCell ref="GNX66:GOQ66"/>
    <mergeCell ref="GOR66:GPK66"/>
    <mergeCell ref="GPL66:GQE66"/>
    <mergeCell ref="GQF66:GQY66"/>
    <mergeCell ref="GHT66:GIM66"/>
    <mergeCell ref="GIN66:GJG66"/>
    <mergeCell ref="GJH66:GKA66"/>
    <mergeCell ref="GKB66:GKU66"/>
    <mergeCell ref="GKV66:GLO66"/>
    <mergeCell ref="GLP66:GMI66"/>
    <mergeCell ref="GDD66:GDW66"/>
    <mergeCell ref="GDX66:GEQ66"/>
    <mergeCell ref="GER66:GFK66"/>
    <mergeCell ref="GFL66:GGE66"/>
    <mergeCell ref="GGF66:GGY66"/>
    <mergeCell ref="GGZ66:GHS66"/>
    <mergeCell ref="FYN66:FZG66"/>
    <mergeCell ref="FZH66:GAA66"/>
    <mergeCell ref="GAB66:GAU66"/>
    <mergeCell ref="GAV66:GBO66"/>
    <mergeCell ref="GBP66:GCI66"/>
    <mergeCell ref="GCJ66:GDC66"/>
    <mergeCell ref="FTX66:FUQ66"/>
    <mergeCell ref="FUR66:FVK66"/>
    <mergeCell ref="FVL66:FWE66"/>
    <mergeCell ref="FWF66:FWY66"/>
    <mergeCell ref="FWZ66:FXS66"/>
    <mergeCell ref="FXT66:FYM66"/>
    <mergeCell ref="FPH66:FQA66"/>
    <mergeCell ref="FQB66:FQU66"/>
    <mergeCell ref="FQV66:FRO66"/>
    <mergeCell ref="FRP66:FSI66"/>
    <mergeCell ref="FSJ66:FTC66"/>
    <mergeCell ref="FTD66:FTW66"/>
    <mergeCell ref="FKR66:FLK66"/>
    <mergeCell ref="FLL66:FME66"/>
    <mergeCell ref="FMF66:FMY66"/>
    <mergeCell ref="FMZ66:FNS66"/>
    <mergeCell ref="FNT66:FOM66"/>
    <mergeCell ref="FON66:FPG66"/>
    <mergeCell ref="FGB66:FGU66"/>
    <mergeCell ref="FGV66:FHO66"/>
    <mergeCell ref="FHP66:FII66"/>
    <mergeCell ref="FIJ66:FJC66"/>
    <mergeCell ref="FJD66:FJW66"/>
    <mergeCell ref="FJX66:FKQ66"/>
    <mergeCell ref="FBL66:FCE66"/>
    <mergeCell ref="FCF66:FCY66"/>
    <mergeCell ref="FCZ66:FDS66"/>
    <mergeCell ref="FDT66:FEM66"/>
    <mergeCell ref="FEN66:FFG66"/>
    <mergeCell ref="FFH66:FGA66"/>
    <mergeCell ref="EWV66:EXO66"/>
    <mergeCell ref="EXP66:EYI66"/>
    <mergeCell ref="EYJ66:EZC66"/>
    <mergeCell ref="EZD66:EZW66"/>
    <mergeCell ref="EZX66:FAQ66"/>
    <mergeCell ref="FAR66:FBK66"/>
    <mergeCell ref="ESF66:ESY66"/>
    <mergeCell ref="ESZ66:ETS66"/>
    <mergeCell ref="ETT66:EUM66"/>
    <mergeCell ref="EUN66:EVG66"/>
    <mergeCell ref="EVH66:EWA66"/>
    <mergeCell ref="EWB66:EWU66"/>
    <mergeCell ref="ENP66:EOI66"/>
    <mergeCell ref="EOJ66:EPC66"/>
    <mergeCell ref="EPD66:EPW66"/>
    <mergeCell ref="EPX66:EQQ66"/>
    <mergeCell ref="EQR66:ERK66"/>
    <mergeCell ref="ERL66:ESE66"/>
    <mergeCell ref="EIZ66:EJS66"/>
    <mergeCell ref="EJT66:EKM66"/>
    <mergeCell ref="EKN66:ELG66"/>
    <mergeCell ref="ELH66:EMA66"/>
    <mergeCell ref="EMB66:EMU66"/>
    <mergeCell ref="EMV66:ENO66"/>
    <mergeCell ref="EEJ66:EFC66"/>
    <mergeCell ref="EFD66:EFW66"/>
    <mergeCell ref="EFX66:EGQ66"/>
    <mergeCell ref="EGR66:EHK66"/>
    <mergeCell ref="EHL66:EIE66"/>
    <mergeCell ref="EIF66:EIY66"/>
    <mergeCell ref="DZT66:EAM66"/>
    <mergeCell ref="EAN66:EBG66"/>
    <mergeCell ref="EBH66:ECA66"/>
    <mergeCell ref="ECB66:ECU66"/>
    <mergeCell ref="ECV66:EDO66"/>
    <mergeCell ref="EDP66:EEI66"/>
    <mergeCell ref="DVD66:DVW66"/>
    <mergeCell ref="DVX66:DWQ66"/>
    <mergeCell ref="DWR66:DXK66"/>
    <mergeCell ref="DXL66:DYE66"/>
    <mergeCell ref="DYF66:DYY66"/>
    <mergeCell ref="DYZ66:DZS66"/>
    <mergeCell ref="DQN66:DRG66"/>
    <mergeCell ref="DRH66:DSA66"/>
    <mergeCell ref="DSB66:DSU66"/>
    <mergeCell ref="DSV66:DTO66"/>
    <mergeCell ref="DTP66:DUI66"/>
    <mergeCell ref="DUJ66:DVC66"/>
    <mergeCell ref="DLX66:DMQ66"/>
    <mergeCell ref="DMR66:DNK66"/>
    <mergeCell ref="DNL66:DOE66"/>
    <mergeCell ref="DOF66:DOY66"/>
    <mergeCell ref="DOZ66:DPS66"/>
    <mergeCell ref="DPT66:DQM66"/>
    <mergeCell ref="DHH66:DIA66"/>
    <mergeCell ref="DIB66:DIU66"/>
    <mergeCell ref="DIV66:DJO66"/>
    <mergeCell ref="DJP66:DKI66"/>
    <mergeCell ref="DKJ66:DLC66"/>
    <mergeCell ref="DLD66:DLW66"/>
    <mergeCell ref="DCR66:DDK66"/>
    <mergeCell ref="DDL66:DEE66"/>
    <mergeCell ref="DEF66:DEY66"/>
    <mergeCell ref="DEZ66:DFS66"/>
    <mergeCell ref="DFT66:DGM66"/>
    <mergeCell ref="DGN66:DHG66"/>
    <mergeCell ref="CYB66:CYU66"/>
    <mergeCell ref="CYV66:CZO66"/>
    <mergeCell ref="CZP66:DAI66"/>
    <mergeCell ref="DAJ66:DBC66"/>
    <mergeCell ref="DBD66:DBW66"/>
    <mergeCell ref="DBX66:DCQ66"/>
    <mergeCell ref="CTL66:CUE66"/>
    <mergeCell ref="CUF66:CUY66"/>
    <mergeCell ref="CUZ66:CVS66"/>
    <mergeCell ref="CVT66:CWM66"/>
    <mergeCell ref="CWN66:CXG66"/>
    <mergeCell ref="CXH66:CYA66"/>
    <mergeCell ref="COV66:CPO66"/>
    <mergeCell ref="CPP66:CQI66"/>
    <mergeCell ref="CQJ66:CRC66"/>
    <mergeCell ref="CRD66:CRW66"/>
    <mergeCell ref="CRX66:CSQ66"/>
    <mergeCell ref="CSR66:CTK66"/>
    <mergeCell ref="CKF66:CKY66"/>
    <mergeCell ref="CKZ66:CLS66"/>
    <mergeCell ref="CLT66:CMM66"/>
    <mergeCell ref="CMN66:CNG66"/>
    <mergeCell ref="CNH66:COA66"/>
    <mergeCell ref="COB66:COU66"/>
    <mergeCell ref="CFP66:CGI66"/>
    <mergeCell ref="CGJ66:CHC66"/>
    <mergeCell ref="CHD66:CHW66"/>
    <mergeCell ref="CHX66:CIQ66"/>
    <mergeCell ref="CIR66:CJK66"/>
    <mergeCell ref="CJL66:CKE66"/>
    <mergeCell ref="CAZ66:CBS66"/>
    <mergeCell ref="CBT66:CCM66"/>
    <mergeCell ref="CCN66:CDG66"/>
    <mergeCell ref="CDH66:CEA66"/>
    <mergeCell ref="CEB66:CEU66"/>
    <mergeCell ref="CEV66:CFO66"/>
    <mergeCell ref="BWJ66:BXC66"/>
    <mergeCell ref="BXD66:BXW66"/>
    <mergeCell ref="BXX66:BYQ66"/>
    <mergeCell ref="BYR66:BZK66"/>
    <mergeCell ref="BZL66:CAE66"/>
    <mergeCell ref="CAF66:CAY66"/>
    <mergeCell ref="BRT66:BSM66"/>
    <mergeCell ref="BSN66:BTG66"/>
    <mergeCell ref="BTH66:BUA66"/>
    <mergeCell ref="BUB66:BUU66"/>
    <mergeCell ref="BUV66:BVO66"/>
    <mergeCell ref="BVP66:BWI66"/>
    <mergeCell ref="BND66:BNW66"/>
    <mergeCell ref="BNX66:BOQ66"/>
    <mergeCell ref="BOR66:BPK66"/>
    <mergeCell ref="BPL66:BQE66"/>
    <mergeCell ref="BQF66:BQY66"/>
    <mergeCell ref="BQZ66:BRS66"/>
    <mergeCell ref="BIN66:BJG66"/>
    <mergeCell ref="BJH66:BKA66"/>
    <mergeCell ref="BKB66:BKU66"/>
    <mergeCell ref="BKV66:BLO66"/>
    <mergeCell ref="BLP66:BMI66"/>
    <mergeCell ref="BMJ66:BNC66"/>
    <mergeCell ref="BDX66:BEQ66"/>
    <mergeCell ref="BER66:BFK66"/>
    <mergeCell ref="BFL66:BGE66"/>
    <mergeCell ref="BGF66:BGY66"/>
    <mergeCell ref="BGZ66:BHS66"/>
    <mergeCell ref="BHT66:BIM66"/>
    <mergeCell ref="AZH66:BAA66"/>
    <mergeCell ref="BAB66:BAU66"/>
    <mergeCell ref="BAV66:BBO66"/>
    <mergeCell ref="BBP66:BCI66"/>
    <mergeCell ref="BCJ66:BDC66"/>
    <mergeCell ref="BDD66:BDW66"/>
    <mergeCell ref="AUR66:AVK66"/>
    <mergeCell ref="AVL66:AWE66"/>
    <mergeCell ref="AWF66:AWY66"/>
    <mergeCell ref="AWZ66:AXS66"/>
    <mergeCell ref="AXT66:AYM66"/>
    <mergeCell ref="AYN66:AZG66"/>
    <mergeCell ref="AQB66:AQU66"/>
    <mergeCell ref="AQV66:ARO66"/>
    <mergeCell ref="ARP66:ASI66"/>
    <mergeCell ref="ASJ66:ATC66"/>
    <mergeCell ref="ATD66:ATW66"/>
    <mergeCell ref="ATX66:AUQ66"/>
    <mergeCell ref="ALL66:AME66"/>
    <mergeCell ref="AMF66:AMY66"/>
    <mergeCell ref="AMZ66:ANS66"/>
    <mergeCell ref="ANT66:AOM66"/>
    <mergeCell ref="AON66:APG66"/>
    <mergeCell ref="APH66:AQA66"/>
    <mergeCell ref="AGV66:AHO66"/>
    <mergeCell ref="AHP66:AII66"/>
    <mergeCell ref="AIJ66:AJC66"/>
    <mergeCell ref="AJD66:AJW66"/>
    <mergeCell ref="AJX66:AKQ66"/>
    <mergeCell ref="AKR66:ALK66"/>
    <mergeCell ref="ACF66:ACY66"/>
    <mergeCell ref="ACZ66:ADS66"/>
    <mergeCell ref="ADT66:AEM66"/>
    <mergeCell ref="AEN66:AFG66"/>
    <mergeCell ref="AFH66:AGA66"/>
    <mergeCell ref="AGB66:AGU66"/>
    <mergeCell ref="XP66:YI66"/>
    <mergeCell ref="YJ66:ZC66"/>
    <mergeCell ref="ZD66:ZW66"/>
    <mergeCell ref="ZX66:AAQ66"/>
    <mergeCell ref="AAR66:ABK66"/>
    <mergeCell ref="ABL66:ACE66"/>
    <mergeCell ref="SZ66:TS66"/>
    <mergeCell ref="TT66:UM66"/>
    <mergeCell ref="UN66:VG66"/>
    <mergeCell ref="VH66:WA66"/>
    <mergeCell ref="WB66:WU66"/>
    <mergeCell ref="WV66:XO66"/>
    <mergeCell ref="OJ66:PC66"/>
    <mergeCell ref="PD66:PW66"/>
    <mergeCell ref="PX66:QQ66"/>
    <mergeCell ref="QR66:RK66"/>
    <mergeCell ref="RL66:SE66"/>
    <mergeCell ref="SF66:SY66"/>
    <mergeCell ref="JT66:KM66"/>
    <mergeCell ref="KN66:LG66"/>
    <mergeCell ref="LH66:MA66"/>
    <mergeCell ref="MB66:MU66"/>
    <mergeCell ref="MV66:NO66"/>
    <mergeCell ref="NP66:OI66"/>
    <mergeCell ref="FD66:FW66"/>
    <mergeCell ref="FX66:GQ66"/>
    <mergeCell ref="GR66:HK66"/>
    <mergeCell ref="HL66:IE66"/>
    <mergeCell ref="IF66:IY66"/>
    <mergeCell ref="IZ66:JS66"/>
    <mergeCell ref="AN66:BG66"/>
    <mergeCell ref="BH66:CA66"/>
    <mergeCell ref="CB66:CU66"/>
    <mergeCell ref="CV66:DO66"/>
    <mergeCell ref="DP66:EI66"/>
    <mergeCell ref="EJ66:FC66"/>
    <mergeCell ref="P60:P64"/>
    <mergeCell ref="R60:R64"/>
    <mergeCell ref="S60:S64"/>
    <mergeCell ref="B65:S65"/>
    <mergeCell ref="A66:S66"/>
    <mergeCell ref="T66:AM66"/>
    <mergeCell ref="XDL59:XEE59"/>
    <mergeCell ref="XEF59:XEY59"/>
    <mergeCell ref="XEZ59:XFC59"/>
    <mergeCell ref="A60:A65"/>
    <mergeCell ref="B60:B64"/>
    <mergeCell ref="C60:C64"/>
    <mergeCell ref="D60:D64"/>
    <mergeCell ref="E60:E64"/>
    <mergeCell ref="F60:F64"/>
    <mergeCell ref="O60:O64"/>
    <mergeCell ref="WYV59:WZO59"/>
    <mergeCell ref="WZP59:XAI59"/>
    <mergeCell ref="XAJ59:XBC59"/>
    <mergeCell ref="XBD59:XBW59"/>
    <mergeCell ref="XBX59:XCQ59"/>
    <mergeCell ref="XCR59:XDK59"/>
    <mergeCell ref="WUF59:WUY59"/>
    <mergeCell ref="WUZ59:WVS59"/>
    <mergeCell ref="WVT59:WWM59"/>
    <mergeCell ref="WWN59:WXG59"/>
    <mergeCell ref="WXH59:WYA59"/>
    <mergeCell ref="WYB59:WYU59"/>
    <mergeCell ref="WPP59:WQI59"/>
    <mergeCell ref="WQJ59:WRC59"/>
    <mergeCell ref="WRD59:WRW59"/>
    <mergeCell ref="WRX59:WSQ59"/>
    <mergeCell ref="WSR59:WTK59"/>
    <mergeCell ref="WTL59:WUE59"/>
    <mergeCell ref="WKZ59:WLS59"/>
    <mergeCell ref="WLT59:WMM59"/>
    <mergeCell ref="WMN59:WNG59"/>
    <mergeCell ref="WNH59:WOA59"/>
    <mergeCell ref="WOB59:WOU59"/>
    <mergeCell ref="WOV59:WPO59"/>
    <mergeCell ref="WGJ59:WHC59"/>
    <mergeCell ref="WHD59:WHW59"/>
    <mergeCell ref="WHX59:WIQ59"/>
    <mergeCell ref="WIR59:WJK59"/>
    <mergeCell ref="WJL59:WKE59"/>
    <mergeCell ref="WKF59:WKY59"/>
    <mergeCell ref="WBT59:WCM59"/>
    <mergeCell ref="WCN59:WDG59"/>
    <mergeCell ref="WDH59:WEA59"/>
    <mergeCell ref="WEB59:WEU59"/>
    <mergeCell ref="WEV59:WFO59"/>
    <mergeCell ref="WFP59:WGI59"/>
    <mergeCell ref="VXD59:VXW59"/>
    <mergeCell ref="VXX59:VYQ59"/>
    <mergeCell ref="VYR59:VZK59"/>
    <mergeCell ref="VZL59:WAE59"/>
    <mergeCell ref="WAF59:WAY59"/>
    <mergeCell ref="WAZ59:WBS59"/>
    <mergeCell ref="VSN59:VTG59"/>
    <mergeCell ref="VTH59:VUA59"/>
    <mergeCell ref="VUB59:VUU59"/>
    <mergeCell ref="VUV59:VVO59"/>
    <mergeCell ref="VVP59:VWI59"/>
    <mergeCell ref="VWJ59:VXC59"/>
    <mergeCell ref="VNX59:VOQ59"/>
    <mergeCell ref="VOR59:VPK59"/>
    <mergeCell ref="VPL59:VQE59"/>
    <mergeCell ref="VQF59:VQY59"/>
    <mergeCell ref="VQZ59:VRS59"/>
    <mergeCell ref="VRT59:VSM59"/>
    <mergeCell ref="VJH59:VKA59"/>
    <mergeCell ref="VKB59:VKU59"/>
    <mergeCell ref="VKV59:VLO59"/>
    <mergeCell ref="VLP59:VMI59"/>
    <mergeCell ref="VMJ59:VNC59"/>
    <mergeCell ref="VND59:VNW59"/>
    <mergeCell ref="VER59:VFK59"/>
    <mergeCell ref="VFL59:VGE59"/>
    <mergeCell ref="VGF59:VGY59"/>
    <mergeCell ref="VGZ59:VHS59"/>
    <mergeCell ref="VHT59:VIM59"/>
    <mergeCell ref="VIN59:VJG59"/>
    <mergeCell ref="VAB59:VAU59"/>
    <mergeCell ref="VAV59:VBO59"/>
    <mergeCell ref="VBP59:VCI59"/>
    <mergeCell ref="VCJ59:VDC59"/>
    <mergeCell ref="VDD59:VDW59"/>
    <mergeCell ref="VDX59:VEQ59"/>
    <mergeCell ref="UVL59:UWE59"/>
    <mergeCell ref="UWF59:UWY59"/>
    <mergeCell ref="UWZ59:UXS59"/>
    <mergeCell ref="UXT59:UYM59"/>
    <mergeCell ref="UYN59:UZG59"/>
    <mergeCell ref="UZH59:VAA59"/>
    <mergeCell ref="UQV59:URO59"/>
    <mergeCell ref="URP59:USI59"/>
    <mergeCell ref="USJ59:UTC59"/>
    <mergeCell ref="UTD59:UTW59"/>
    <mergeCell ref="UTX59:UUQ59"/>
    <mergeCell ref="UUR59:UVK59"/>
    <mergeCell ref="UMF59:UMY59"/>
    <mergeCell ref="UMZ59:UNS59"/>
    <mergeCell ref="UNT59:UOM59"/>
    <mergeCell ref="UON59:UPG59"/>
    <mergeCell ref="UPH59:UQA59"/>
    <mergeCell ref="UQB59:UQU59"/>
    <mergeCell ref="UHP59:UII59"/>
    <mergeCell ref="UIJ59:UJC59"/>
    <mergeCell ref="UJD59:UJW59"/>
    <mergeCell ref="UJX59:UKQ59"/>
    <mergeCell ref="UKR59:ULK59"/>
    <mergeCell ref="ULL59:UME59"/>
    <mergeCell ref="UCZ59:UDS59"/>
    <mergeCell ref="UDT59:UEM59"/>
    <mergeCell ref="UEN59:UFG59"/>
    <mergeCell ref="UFH59:UGA59"/>
    <mergeCell ref="UGB59:UGU59"/>
    <mergeCell ref="UGV59:UHO59"/>
    <mergeCell ref="TYJ59:TZC59"/>
    <mergeCell ref="TZD59:TZW59"/>
    <mergeCell ref="TZX59:UAQ59"/>
    <mergeCell ref="UAR59:UBK59"/>
    <mergeCell ref="UBL59:UCE59"/>
    <mergeCell ref="UCF59:UCY59"/>
    <mergeCell ref="TTT59:TUM59"/>
    <mergeCell ref="TUN59:TVG59"/>
    <mergeCell ref="TVH59:TWA59"/>
    <mergeCell ref="TWB59:TWU59"/>
    <mergeCell ref="TWV59:TXO59"/>
    <mergeCell ref="TXP59:TYI59"/>
    <mergeCell ref="TPD59:TPW59"/>
    <mergeCell ref="TPX59:TQQ59"/>
    <mergeCell ref="TQR59:TRK59"/>
    <mergeCell ref="TRL59:TSE59"/>
    <mergeCell ref="TSF59:TSY59"/>
    <mergeCell ref="TSZ59:TTS59"/>
    <mergeCell ref="TKN59:TLG59"/>
    <mergeCell ref="TLH59:TMA59"/>
    <mergeCell ref="TMB59:TMU59"/>
    <mergeCell ref="TMV59:TNO59"/>
    <mergeCell ref="TNP59:TOI59"/>
    <mergeCell ref="TOJ59:TPC59"/>
    <mergeCell ref="TFX59:TGQ59"/>
    <mergeCell ref="TGR59:THK59"/>
    <mergeCell ref="THL59:TIE59"/>
    <mergeCell ref="TIF59:TIY59"/>
    <mergeCell ref="TIZ59:TJS59"/>
    <mergeCell ref="TJT59:TKM59"/>
    <mergeCell ref="TBH59:TCA59"/>
    <mergeCell ref="TCB59:TCU59"/>
    <mergeCell ref="TCV59:TDO59"/>
    <mergeCell ref="TDP59:TEI59"/>
    <mergeCell ref="TEJ59:TFC59"/>
    <mergeCell ref="TFD59:TFW59"/>
    <mergeCell ref="SWR59:SXK59"/>
    <mergeCell ref="SXL59:SYE59"/>
    <mergeCell ref="SYF59:SYY59"/>
    <mergeCell ref="SYZ59:SZS59"/>
    <mergeCell ref="SZT59:TAM59"/>
    <mergeCell ref="TAN59:TBG59"/>
    <mergeCell ref="SSB59:SSU59"/>
    <mergeCell ref="SSV59:STO59"/>
    <mergeCell ref="STP59:SUI59"/>
    <mergeCell ref="SUJ59:SVC59"/>
    <mergeCell ref="SVD59:SVW59"/>
    <mergeCell ref="SVX59:SWQ59"/>
    <mergeCell ref="SNL59:SOE59"/>
    <mergeCell ref="SOF59:SOY59"/>
    <mergeCell ref="SOZ59:SPS59"/>
    <mergeCell ref="SPT59:SQM59"/>
    <mergeCell ref="SQN59:SRG59"/>
    <mergeCell ref="SRH59:SSA59"/>
    <mergeCell ref="SIV59:SJO59"/>
    <mergeCell ref="SJP59:SKI59"/>
    <mergeCell ref="SKJ59:SLC59"/>
    <mergeCell ref="SLD59:SLW59"/>
    <mergeCell ref="SLX59:SMQ59"/>
    <mergeCell ref="SMR59:SNK59"/>
    <mergeCell ref="SEF59:SEY59"/>
    <mergeCell ref="SEZ59:SFS59"/>
    <mergeCell ref="SFT59:SGM59"/>
    <mergeCell ref="SGN59:SHG59"/>
    <mergeCell ref="SHH59:SIA59"/>
    <mergeCell ref="SIB59:SIU59"/>
    <mergeCell ref="RZP59:SAI59"/>
    <mergeCell ref="SAJ59:SBC59"/>
    <mergeCell ref="SBD59:SBW59"/>
    <mergeCell ref="SBX59:SCQ59"/>
    <mergeCell ref="SCR59:SDK59"/>
    <mergeCell ref="SDL59:SEE59"/>
    <mergeCell ref="RUZ59:RVS59"/>
    <mergeCell ref="RVT59:RWM59"/>
    <mergeCell ref="RWN59:RXG59"/>
    <mergeCell ref="RXH59:RYA59"/>
    <mergeCell ref="RYB59:RYU59"/>
    <mergeCell ref="RYV59:RZO59"/>
    <mergeCell ref="RQJ59:RRC59"/>
    <mergeCell ref="RRD59:RRW59"/>
    <mergeCell ref="RRX59:RSQ59"/>
    <mergeCell ref="RSR59:RTK59"/>
    <mergeCell ref="RTL59:RUE59"/>
    <mergeCell ref="RUF59:RUY59"/>
    <mergeCell ref="RLT59:RMM59"/>
    <mergeCell ref="RMN59:RNG59"/>
    <mergeCell ref="RNH59:ROA59"/>
    <mergeCell ref="ROB59:ROU59"/>
    <mergeCell ref="ROV59:RPO59"/>
    <mergeCell ref="RPP59:RQI59"/>
    <mergeCell ref="RHD59:RHW59"/>
    <mergeCell ref="RHX59:RIQ59"/>
    <mergeCell ref="RIR59:RJK59"/>
    <mergeCell ref="RJL59:RKE59"/>
    <mergeCell ref="RKF59:RKY59"/>
    <mergeCell ref="RKZ59:RLS59"/>
    <mergeCell ref="RCN59:RDG59"/>
    <mergeCell ref="RDH59:REA59"/>
    <mergeCell ref="REB59:REU59"/>
    <mergeCell ref="REV59:RFO59"/>
    <mergeCell ref="RFP59:RGI59"/>
    <mergeCell ref="RGJ59:RHC59"/>
    <mergeCell ref="QXX59:QYQ59"/>
    <mergeCell ref="QYR59:QZK59"/>
    <mergeCell ref="QZL59:RAE59"/>
    <mergeCell ref="RAF59:RAY59"/>
    <mergeCell ref="RAZ59:RBS59"/>
    <mergeCell ref="RBT59:RCM59"/>
    <mergeCell ref="QTH59:QUA59"/>
    <mergeCell ref="QUB59:QUU59"/>
    <mergeCell ref="QUV59:QVO59"/>
    <mergeCell ref="QVP59:QWI59"/>
    <mergeCell ref="QWJ59:QXC59"/>
    <mergeCell ref="QXD59:QXW59"/>
    <mergeCell ref="QOR59:QPK59"/>
    <mergeCell ref="QPL59:QQE59"/>
    <mergeCell ref="QQF59:QQY59"/>
    <mergeCell ref="QQZ59:QRS59"/>
    <mergeCell ref="QRT59:QSM59"/>
    <mergeCell ref="QSN59:QTG59"/>
    <mergeCell ref="QKB59:QKU59"/>
    <mergeCell ref="QKV59:QLO59"/>
    <mergeCell ref="QLP59:QMI59"/>
    <mergeCell ref="QMJ59:QNC59"/>
    <mergeCell ref="QND59:QNW59"/>
    <mergeCell ref="QNX59:QOQ59"/>
    <mergeCell ref="QFL59:QGE59"/>
    <mergeCell ref="QGF59:QGY59"/>
    <mergeCell ref="QGZ59:QHS59"/>
    <mergeCell ref="QHT59:QIM59"/>
    <mergeCell ref="QIN59:QJG59"/>
    <mergeCell ref="QJH59:QKA59"/>
    <mergeCell ref="QAV59:QBO59"/>
    <mergeCell ref="QBP59:QCI59"/>
    <mergeCell ref="QCJ59:QDC59"/>
    <mergeCell ref="QDD59:QDW59"/>
    <mergeCell ref="QDX59:QEQ59"/>
    <mergeCell ref="QER59:QFK59"/>
    <mergeCell ref="PWF59:PWY59"/>
    <mergeCell ref="PWZ59:PXS59"/>
    <mergeCell ref="PXT59:PYM59"/>
    <mergeCell ref="PYN59:PZG59"/>
    <mergeCell ref="PZH59:QAA59"/>
    <mergeCell ref="QAB59:QAU59"/>
    <mergeCell ref="PRP59:PSI59"/>
    <mergeCell ref="PSJ59:PTC59"/>
    <mergeCell ref="PTD59:PTW59"/>
    <mergeCell ref="PTX59:PUQ59"/>
    <mergeCell ref="PUR59:PVK59"/>
    <mergeCell ref="PVL59:PWE59"/>
    <mergeCell ref="PMZ59:PNS59"/>
    <mergeCell ref="PNT59:POM59"/>
    <mergeCell ref="PON59:PPG59"/>
    <mergeCell ref="PPH59:PQA59"/>
    <mergeCell ref="PQB59:PQU59"/>
    <mergeCell ref="PQV59:PRO59"/>
    <mergeCell ref="PIJ59:PJC59"/>
    <mergeCell ref="PJD59:PJW59"/>
    <mergeCell ref="PJX59:PKQ59"/>
    <mergeCell ref="PKR59:PLK59"/>
    <mergeCell ref="PLL59:PME59"/>
    <mergeCell ref="PMF59:PMY59"/>
    <mergeCell ref="PDT59:PEM59"/>
    <mergeCell ref="PEN59:PFG59"/>
    <mergeCell ref="PFH59:PGA59"/>
    <mergeCell ref="PGB59:PGU59"/>
    <mergeCell ref="PGV59:PHO59"/>
    <mergeCell ref="PHP59:PII59"/>
    <mergeCell ref="OZD59:OZW59"/>
    <mergeCell ref="OZX59:PAQ59"/>
    <mergeCell ref="PAR59:PBK59"/>
    <mergeCell ref="PBL59:PCE59"/>
    <mergeCell ref="PCF59:PCY59"/>
    <mergeCell ref="PCZ59:PDS59"/>
    <mergeCell ref="OUN59:OVG59"/>
    <mergeCell ref="OVH59:OWA59"/>
    <mergeCell ref="OWB59:OWU59"/>
    <mergeCell ref="OWV59:OXO59"/>
    <mergeCell ref="OXP59:OYI59"/>
    <mergeCell ref="OYJ59:OZC59"/>
    <mergeCell ref="OPX59:OQQ59"/>
    <mergeCell ref="OQR59:ORK59"/>
    <mergeCell ref="ORL59:OSE59"/>
    <mergeCell ref="OSF59:OSY59"/>
    <mergeCell ref="OSZ59:OTS59"/>
    <mergeCell ref="OTT59:OUM59"/>
    <mergeCell ref="OLH59:OMA59"/>
    <mergeCell ref="OMB59:OMU59"/>
    <mergeCell ref="OMV59:ONO59"/>
    <mergeCell ref="ONP59:OOI59"/>
    <mergeCell ref="OOJ59:OPC59"/>
    <mergeCell ref="OPD59:OPW59"/>
    <mergeCell ref="OGR59:OHK59"/>
    <mergeCell ref="OHL59:OIE59"/>
    <mergeCell ref="OIF59:OIY59"/>
    <mergeCell ref="OIZ59:OJS59"/>
    <mergeCell ref="OJT59:OKM59"/>
    <mergeCell ref="OKN59:OLG59"/>
    <mergeCell ref="OCB59:OCU59"/>
    <mergeCell ref="OCV59:ODO59"/>
    <mergeCell ref="ODP59:OEI59"/>
    <mergeCell ref="OEJ59:OFC59"/>
    <mergeCell ref="OFD59:OFW59"/>
    <mergeCell ref="OFX59:OGQ59"/>
    <mergeCell ref="NXL59:NYE59"/>
    <mergeCell ref="NYF59:NYY59"/>
    <mergeCell ref="NYZ59:NZS59"/>
    <mergeCell ref="NZT59:OAM59"/>
    <mergeCell ref="OAN59:OBG59"/>
    <mergeCell ref="OBH59:OCA59"/>
    <mergeCell ref="NSV59:NTO59"/>
    <mergeCell ref="NTP59:NUI59"/>
    <mergeCell ref="NUJ59:NVC59"/>
    <mergeCell ref="NVD59:NVW59"/>
    <mergeCell ref="NVX59:NWQ59"/>
    <mergeCell ref="NWR59:NXK59"/>
    <mergeCell ref="NOF59:NOY59"/>
    <mergeCell ref="NOZ59:NPS59"/>
    <mergeCell ref="NPT59:NQM59"/>
    <mergeCell ref="NQN59:NRG59"/>
    <mergeCell ref="NRH59:NSA59"/>
    <mergeCell ref="NSB59:NSU59"/>
    <mergeCell ref="NJP59:NKI59"/>
    <mergeCell ref="NKJ59:NLC59"/>
    <mergeCell ref="NLD59:NLW59"/>
    <mergeCell ref="NLX59:NMQ59"/>
    <mergeCell ref="NMR59:NNK59"/>
    <mergeCell ref="NNL59:NOE59"/>
    <mergeCell ref="NEZ59:NFS59"/>
    <mergeCell ref="NFT59:NGM59"/>
    <mergeCell ref="NGN59:NHG59"/>
    <mergeCell ref="NHH59:NIA59"/>
    <mergeCell ref="NIB59:NIU59"/>
    <mergeCell ref="NIV59:NJO59"/>
    <mergeCell ref="NAJ59:NBC59"/>
    <mergeCell ref="NBD59:NBW59"/>
    <mergeCell ref="NBX59:NCQ59"/>
    <mergeCell ref="NCR59:NDK59"/>
    <mergeCell ref="NDL59:NEE59"/>
    <mergeCell ref="NEF59:NEY59"/>
    <mergeCell ref="MVT59:MWM59"/>
    <mergeCell ref="MWN59:MXG59"/>
    <mergeCell ref="MXH59:MYA59"/>
    <mergeCell ref="MYB59:MYU59"/>
    <mergeCell ref="MYV59:MZO59"/>
    <mergeCell ref="MZP59:NAI59"/>
    <mergeCell ref="MRD59:MRW59"/>
    <mergeCell ref="MRX59:MSQ59"/>
    <mergeCell ref="MSR59:MTK59"/>
    <mergeCell ref="MTL59:MUE59"/>
    <mergeCell ref="MUF59:MUY59"/>
    <mergeCell ref="MUZ59:MVS59"/>
    <mergeCell ref="MMN59:MNG59"/>
    <mergeCell ref="MNH59:MOA59"/>
    <mergeCell ref="MOB59:MOU59"/>
    <mergeCell ref="MOV59:MPO59"/>
    <mergeCell ref="MPP59:MQI59"/>
    <mergeCell ref="MQJ59:MRC59"/>
    <mergeCell ref="MHX59:MIQ59"/>
    <mergeCell ref="MIR59:MJK59"/>
    <mergeCell ref="MJL59:MKE59"/>
    <mergeCell ref="MKF59:MKY59"/>
    <mergeCell ref="MKZ59:MLS59"/>
    <mergeCell ref="MLT59:MMM59"/>
    <mergeCell ref="MDH59:MEA59"/>
    <mergeCell ref="MEB59:MEU59"/>
    <mergeCell ref="MEV59:MFO59"/>
    <mergeCell ref="MFP59:MGI59"/>
    <mergeCell ref="MGJ59:MHC59"/>
    <mergeCell ref="MHD59:MHW59"/>
    <mergeCell ref="LYR59:LZK59"/>
    <mergeCell ref="LZL59:MAE59"/>
    <mergeCell ref="MAF59:MAY59"/>
    <mergeCell ref="MAZ59:MBS59"/>
    <mergeCell ref="MBT59:MCM59"/>
    <mergeCell ref="MCN59:MDG59"/>
    <mergeCell ref="LUB59:LUU59"/>
    <mergeCell ref="LUV59:LVO59"/>
    <mergeCell ref="LVP59:LWI59"/>
    <mergeCell ref="LWJ59:LXC59"/>
    <mergeCell ref="LXD59:LXW59"/>
    <mergeCell ref="LXX59:LYQ59"/>
    <mergeCell ref="LPL59:LQE59"/>
    <mergeCell ref="LQF59:LQY59"/>
    <mergeCell ref="LQZ59:LRS59"/>
    <mergeCell ref="LRT59:LSM59"/>
    <mergeCell ref="LSN59:LTG59"/>
    <mergeCell ref="LTH59:LUA59"/>
    <mergeCell ref="LKV59:LLO59"/>
    <mergeCell ref="LLP59:LMI59"/>
    <mergeCell ref="LMJ59:LNC59"/>
    <mergeCell ref="LND59:LNW59"/>
    <mergeCell ref="LNX59:LOQ59"/>
    <mergeCell ref="LOR59:LPK59"/>
    <mergeCell ref="LGF59:LGY59"/>
    <mergeCell ref="LGZ59:LHS59"/>
    <mergeCell ref="LHT59:LIM59"/>
    <mergeCell ref="LIN59:LJG59"/>
    <mergeCell ref="LJH59:LKA59"/>
    <mergeCell ref="LKB59:LKU59"/>
    <mergeCell ref="LBP59:LCI59"/>
    <mergeCell ref="LCJ59:LDC59"/>
    <mergeCell ref="LDD59:LDW59"/>
    <mergeCell ref="LDX59:LEQ59"/>
    <mergeCell ref="LER59:LFK59"/>
    <mergeCell ref="LFL59:LGE59"/>
    <mergeCell ref="KWZ59:KXS59"/>
    <mergeCell ref="KXT59:KYM59"/>
    <mergeCell ref="KYN59:KZG59"/>
    <mergeCell ref="KZH59:LAA59"/>
    <mergeCell ref="LAB59:LAU59"/>
    <mergeCell ref="LAV59:LBO59"/>
    <mergeCell ref="KSJ59:KTC59"/>
    <mergeCell ref="KTD59:KTW59"/>
    <mergeCell ref="KTX59:KUQ59"/>
    <mergeCell ref="KUR59:KVK59"/>
    <mergeCell ref="KVL59:KWE59"/>
    <mergeCell ref="KWF59:KWY59"/>
    <mergeCell ref="KNT59:KOM59"/>
    <mergeCell ref="KON59:KPG59"/>
    <mergeCell ref="KPH59:KQA59"/>
    <mergeCell ref="KQB59:KQU59"/>
    <mergeCell ref="KQV59:KRO59"/>
    <mergeCell ref="KRP59:KSI59"/>
    <mergeCell ref="KJD59:KJW59"/>
    <mergeCell ref="KJX59:KKQ59"/>
    <mergeCell ref="KKR59:KLK59"/>
    <mergeCell ref="KLL59:KME59"/>
    <mergeCell ref="KMF59:KMY59"/>
    <mergeCell ref="KMZ59:KNS59"/>
    <mergeCell ref="KEN59:KFG59"/>
    <mergeCell ref="KFH59:KGA59"/>
    <mergeCell ref="KGB59:KGU59"/>
    <mergeCell ref="KGV59:KHO59"/>
    <mergeCell ref="KHP59:KII59"/>
    <mergeCell ref="KIJ59:KJC59"/>
    <mergeCell ref="JZX59:KAQ59"/>
    <mergeCell ref="KAR59:KBK59"/>
    <mergeCell ref="KBL59:KCE59"/>
    <mergeCell ref="KCF59:KCY59"/>
    <mergeCell ref="KCZ59:KDS59"/>
    <mergeCell ref="KDT59:KEM59"/>
    <mergeCell ref="JVH59:JWA59"/>
    <mergeCell ref="JWB59:JWU59"/>
    <mergeCell ref="JWV59:JXO59"/>
    <mergeCell ref="JXP59:JYI59"/>
    <mergeCell ref="JYJ59:JZC59"/>
    <mergeCell ref="JZD59:JZW59"/>
    <mergeCell ref="JQR59:JRK59"/>
    <mergeCell ref="JRL59:JSE59"/>
    <mergeCell ref="JSF59:JSY59"/>
    <mergeCell ref="JSZ59:JTS59"/>
    <mergeCell ref="JTT59:JUM59"/>
    <mergeCell ref="JUN59:JVG59"/>
    <mergeCell ref="JMB59:JMU59"/>
    <mergeCell ref="JMV59:JNO59"/>
    <mergeCell ref="JNP59:JOI59"/>
    <mergeCell ref="JOJ59:JPC59"/>
    <mergeCell ref="JPD59:JPW59"/>
    <mergeCell ref="JPX59:JQQ59"/>
    <mergeCell ref="JHL59:JIE59"/>
    <mergeCell ref="JIF59:JIY59"/>
    <mergeCell ref="JIZ59:JJS59"/>
    <mergeCell ref="JJT59:JKM59"/>
    <mergeCell ref="JKN59:JLG59"/>
    <mergeCell ref="JLH59:JMA59"/>
    <mergeCell ref="JCV59:JDO59"/>
    <mergeCell ref="JDP59:JEI59"/>
    <mergeCell ref="JEJ59:JFC59"/>
    <mergeCell ref="JFD59:JFW59"/>
    <mergeCell ref="JFX59:JGQ59"/>
    <mergeCell ref="JGR59:JHK59"/>
    <mergeCell ref="IYF59:IYY59"/>
    <mergeCell ref="IYZ59:IZS59"/>
    <mergeCell ref="IZT59:JAM59"/>
    <mergeCell ref="JAN59:JBG59"/>
    <mergeCell ref="JBH59:JCA59"/>
    <mergeCell ref="JCB59:JCU59"/>
    <mergeCell ref="ITP59:IUI59"/>
    <mergeCell ref="IUJ59:IVC59"/>
    <mergeCell ref="IVD59:IVW59"/>
    <mergeCell ref="IVX59:IWQ59"/>
    <mergeCell ref="IWR59:IXK59"/>
    <mergeCell ref="IXL59:IYE59"/>
    <mergeCell ref="IOZ59:IPS59"/>
    <mergeCell ref="IPT59:IQM59"/>
    <mergeCell ref="IQN59:IRG59"/>
    <mergeCell ref="IRH59:ISA59"/>
    <mergeCell ref="ISB59:ISU59"/>
    <mergeCell ref="ISV59:ITO59"/>
    <mergeCell ref="IKJ59:ILC59"/>
    <mergeCell ref="ILD59:ILW59"/>
    <mergeCell ref="ILX59:IMQ59"/>
    <mergeCell ref="IMR59:INK59"/>
    <mergeCell ref="INL59:IOE59"/>
    <mergeCell ref="IOF59:IOY59"/>
    <mergeCell ref="IFT59:IGM59"/>
    <mergeCell ref="IGN59:IHG59"/>
    <mergeCell ref="IHH59:IIA59"/>
    <mergeCell ref="IIB59:IIU59"/>
    <mergeCell ref="IIV59:IJO59"/>
    <mergeCell ref="IJP59:IKI59"/>
    <mergeCell ref="IBD59:IBW59"/>
    <mergeCell ref="IBX59:ICQ59"/>
    <mergeCell ref="ICR59:IDK59"/>
    <mergeCell ref="IDL59:IEE59"/>
    <mergeCell ref="IEF59:IEY59"/>
    <mergeCell ref="IEZ59:IFS59"/>
    <mergeCell ref="HWN59:HXG59"/>
    <mergeCell ref="HXH59:HYA59"/>
    <mergeCell ref="HYB59:HYU59"/>
    <mergeCell ref="HYV59:HZO59"/>
    <mergeCell ref="HZP59:IAI59"/>
    <mergeCell ref="IAJ59:IBC59"/>
    <mergeCell ref="HRX59:HSQ59"/>
    <mergeCell ref="HSR59:HTK59"/>
    <mergeCell ref="HTL59:HUE59"/>
    <mergeCell ref="HUF59:HUY59"/>
    <mergeCell ref="HUZ59:HVS59"/>
    <mergeCell ref="HVT59:HWM59"/>
    <mergeCell ref="HNH59:HOA59"/>
    <mergeCell ref="HOB59:HOU59"/>
    <mergeCell ref="HOV59:HPO59"/>
    <mergeCell ref="HPP59:HQI59"/>
    <mergeCell ref="HQJ59:HRC59"/>
    <mergeCell ref="HRD59:HRW59"/>
    <mergeCell ref="HIR59:HJK59"/>
    <mergeCell ref="HJL59:HKE59"/>
    <mergeCell ref="HKF59:HKY59"/>
    <mergeCell ref="HKZ59:HLS59"/>
    <mergeCell ref="HLT59:HMM59"/>
    <mergeCell ref="HMN59:HNG59"/>
    <mergeCell ref="HEB59:HEU59"/>
    <mergeCell ref="HEV59:HFO59"/>
    <mergeCell ref="HFP59:HGI59"/>
    <mergeCell ref="HGJ59:HHC59"/>
    <mergeCell ref="HHD59:HHW59"/>
    <mergeCell ref="HHX59:HIQ59"/>
    <mergeCell ref="GZL59:HAE59"/>
    <mergeCell ref="HAF59:HAY59"/>
    <mergeCell ref="HAZ59:HBS59"/>
    <mergeCell ref="HBT59:HCM59"/>
    <mergeCell ref="HCN59:HDG59"/>
    <mergeCell ref="HDH59:HEA59"/>
    <mergeCell ref="GUV59:GVO59"/>
    <mergeCell ref="GVP59:GWI59"/>
    <mergeCell ref="GWJ59:GXC59"/>
    <mergeCell ref="GXD59:GXW59"/>
    <mergeCell ref="GXX59:GYQ59"/>
    <mergeCell ref="GYR59:GZK59"/>
    <mergeCell ref="GQF59:GQY59"/>
    <mergeCell ref="GQZ59:GRS59"/>
    <mergeCell ref="GRT59:GSM59"/>
    <mergeCell ref="GSN59:GTG59"/>
    <mergeCell ref="GTH59:GUA59"/>
    <mergeCell ref="GUB59:GUU59"/>
    <mergeCell ref="GLP59:GMI59"/>
    <mergeCell ref="GMJ59:GNC59"/>
    <mergeCell ref="GND59:GNW59"/>
    <mergeCell ref="GNX59:GOQ59"/>
    <mergeCell ref="GOR59:GPK59"/>
    <mergeCell ref="GPL59:GQE59"/>
    <mergeCell ref="GGZ59:GHS59"/>
    <mergeCell ref="GHT59:GIM59"/>
    <mergeCell ref="GIN59:GJG59"/>
    <mergeCell ref="GJH59:GKA59"/>
    <mergeCell ref="GKB59:GKU59"/>
    <mergeCell ref="GKV59:GLO59"/>
    <mergeCell ref="GCJ59:GDC59"/>
    <mergeCell ref="GDD59:GDW59"/>
    <mergeCell ref="GDX59:GEQ59"/>
    <mergeCell ref="GER59:GFK59"/>
    <mergeCell ref="GFL59:GGE59"/>
    <mergeCell ref="GGF59:GGY59"/>
    <mergeCell ref="FXT59:FYM59"/>
    <mergeCell ref="FYN59:FZG59"/>
    <mergeCell ref="FZH59:GAA59"/>
    <mergeCell ref="GAB59:GAU59"/>
    <mergeCell ref="GAV59:GBO59"/>
    <mergeCell ref="GBP59:GCI59"/>
    <mergeCell ref="FTD59:FTW59"/>
    <mergeCell ref="FTX59:FUQ59"/>
    <mergeCell ref="FUR59:FVK59"/>
    <mergeCell ref="FVL59:FWE59"/>
    <mergeCell ref="FWF59:FWY59"/>
    <mergeCell ref="FWZ59:FXS59"/>
    <mergeCell ref="FON59:FPG59"/>
    <mergeCell ref="FPH59:FQA59"/>
    <mergeCell ref="FQB59:FQU59"/>
    <mergeCell ref="FQV59:FRO59"/>
    <mergeCell ref="FRP59:FSI59"/>
    <mergeCell ref="FSJ59:FTC59"/>
    <mergeCell ref="FJX59:FKQ59"/>
    <mergeCell ref="FKR59:FLK59"/>
    <mergeCell ref="FLL59:FME59"/>
    <mergeCell ref="FMF59:FMY59"/>
    <mergeCell ref="FMZ59:FNS59"/>
    <mergeCell ref="FNT59:FOM59"/>
    <mergeCell ref="FFH59:FGA59"/>
    <mergeCell ref="FGB59:FGU59"/>
    <mergeCell ref="FGV59:FHO59"/>
    <mergeCell ref="FHP59:FII59"/>
    <mergeCell ref="FIJ59:FJC59"/>
    <mergeCell ref="FJD59:FJW59"/>
    <mergeCell ref="FAR59:FBK59"/>
    <mergeCell ref="FBL59:FCE59"/>
    <mergeCell ref="FCF59:FCY59"/>
    <mergeCell ref="FCZ59:FDS59"/>
    <mergeCell ref="FDT59:FEM59"/>
    <mergeCell ref="FEN59:FFG59"/>
    <mergeCell ref="EWB59:EWU59"/>
    <mergeCell ref="EWV59:EXO59"/>
    <mergeCell ref="EXP59:EYI59"/>
    <mergeCell ref="EYJ59:EZC59"/>
    <mergeCell ref="EZD59:EZW59"/>
    <mergeCell ref="EZX59:FAQ59"/>
    <mergeCell ref="ERL59:ESE59"/>
    <mergeCell ref="ESF59:ESY59"/>
    <mergeCell ref="ESZ59:ETS59"/>
    <mergeCell ref="ETT59:EUM59"/>
    <mergeCell ref="EUN59:EVG59"/>
    <mergeCell ref="EVH59:EWA59"/>
    <mergeCell ref="EMV59:ENO59"/>
    <mergeCell ref="ENP59:EOI59"/>
    <mergeCell ref="EOJ59:EPC59"/>
    <mergeCell ref="EPD59:EPW59"/>
    <mergeCell ref="EPX59:EQQ59"/>
    <mergeCell ref="EQR59:ERK59"/>
    <mergeCell ref="EIF59:EIY59"/>
    <mergeCell ref="EIZ59:EJS59"/>
    <mergeCell ref="EJT59:EKM59"/>
    <mergeCell ref="EKN59:ELG59"/>
    <mergeCell ref="ELH59:EMA59"/>
    <mergeCell ref="EMB59:EMU59"/>
    <mergeCell ref="EDP59:EEI59"/>
    <mergeCell ref="EEJ59:EFC59"/>
    <mergeCell ref="EFD59:EFW59"/>
    <mergeCell ref="EFX59:EGQ59"/>
    <mergeCell ref="EGR59:EHK59"/>
    <mergeCell ref="EHL59:EIE59"/>
    <mergeCell ref="DYZ59:DZS59"/>
    <mergeCell ref="DZT59:EAM59"/>
    <mergeCell ref="EAN59:EBG59"/>
    <mergeCell ref="EBH59:ECA59"/>
    <mergeCell ref="ECB59:ECU59"/>
    <mergeCell ref="ECV59:EDO59"/>
    <mergeCell ref="DUJ59:DVC59"/>
    <mergeCell ref="DVD59:DVW59"/>
    <mergeCell ref="DVX59:DWQ59"/>
    <mergeCell ref="DWR59:DXK59"/>
    <mergeCell ref="DXL59:DYE59"/>
    <mergeCell ref="DYF59:DYY59"/>
    <mergeCell ref="DPT59:DQM59"/>
    <mergeCell ref="DQN59:DRG59"/>
    <mergeCell ref="DRH59:DSA59"/>
    <mergeCell ref="DSB59:DSU59"/>
    <mergeCell ref="DSV59:DTO59"/>
    <mergeCell ref="DTP59:DUI59"/>
    <mergeCell ref="DLD59:DLW59"/>
    <mergeCell ref="DLX59:DMQ59"/>
    <mergeCell ref="DMR59:DNK59"/>
    <mergeCell ref="DNL59:DOE59"/>
    <mergeCell ref="DOF59:DOY59"/>
    <mergeCell ref="DOZ59:DPS59"/>
    <mergeCell ref="DGN59:DHG59"/>
    <mergeCell ref="DHH59:DIA59"/>
    <mergeCell ref="DIB59:DIU59"/>
    <mergeCell ref="DIV59:DJO59"/>
    <mergeCell ref="DJP59:DKI59"/>
    <mergeCell ref="DKJ59:DLC59"/>
    <mergeCell ref="DBX59:DCQ59"/>
    <mergeCell ref="DCR59:DDK59"/>
    <mergeCell ref="DDL59:DEE59"/>
    <mergeCell ref="DEF59:DEY59"/>
    <mergeCell ref="DEZ59:DFS59"/>
    <mergeCell ref="DFT59:DGM59"/>
    <mergeCell ref="CXH59:CYA59"/>
    <mergeCell ref="CYB59:CYU59"/>
    <mergeCell ref="CYV59:CZO59"/>
    <mergeCell ref="CZP59:DAI59"/>
    <mergeCell ref="DAJ59:DBC59"/>
    <mergeCell ref="DBD59:DBW59"/>
    <mergeCell ref="CSR59:CTK59"/>
    <mergeCell ref="CTL59:CUE59"/>
    <mergeCell ref="CUF59:CUY59"/>
    <mergeCell ref="CUZ59:CVS59"/>
    <mergeCell ref="CVT59:CWM59"/>
    <mergeCell ref="CWN59:CXG59"/>
    <mergeCell ref="COB59:COU59"/>
    <mergeCell ref="COV59:CPO59"/>
    <mergeCell ref="CPP59:CQI59"/>
    <mergeCell ref="CQJ59:CRC59"/>
    <mergeCell ref="CRD59:CRW59"/>
    <mergeCell ref="CRX59:CSQ59"/>
    <mergeCell ref="CJL59:CKE59"/>
    <mergeCell ref="CKF59:CKY59"/>
    <mergeCell ref="CKZ59:CLS59"/>
    <mergeCell ref="CLT59:CMM59"/>
    <mergeCell ref="CMN59:CNG59"/>
    <mergeCell ref="CNH59:COA59"/>
    <mergeCell ref="CEV59:CFO59"/>
    <mergeCell ref="CFP59:CGI59"/>
    <mergeCell ref="CGJ59:CHC59"/>
    <mergeCell ref="CHD59:CHW59"/>
    <mergeCell ref="CHX59:CIQ59"/>
    <mergeCell ref="CIR59:CJK59"/>
    <mergeCell ref="CAF59:CAY59"/>
    <mergeCell ref="CAZ59:CBS59"/>
    <mergeCell ref="CBT59:CCM59"/>
    <mergeCell ref="CCN59:CDG59"/>
    <mergeCell ref="CDH59:CEA59"/>
    <mergeCell ref="CEB59:CEU59"/>
    <mergeCell ref="BVP59:BWI59"/>
    <mergeCell ref="BWJ59:BXC59"/>
    <mergeCell ref="BXD59:BXW59"/>
    <mergeCell ref="BXX59:BYQ59"/>
    <mergeCell ref="BYR59:BZK59"/>
    <mergeCell ref="BZL59:CAE59"/>
    <mergeCell ref="BQZ59:BRS59"/>
    <mergeCell ref="BRT59:BSM59"/>
    <mergeCell ref="BSN59:BTG59"/>
    <mergeCell ref="BTH59:BUA59"/>
    <mergeCell ref="BUB59:BUU59"/>
    <mergeCell ref="BUV59:BVO59"/>
    <mergeCell ref="BMJ59:BNC59"/>
    <mergeCell ref="BND59:BNW59"/>
    <mergeCell ref="BNX59:BOQ59"/>
    <mergeCell ref="BOR59:BPK59"/>
    <mergeCell ref="BPL59:BQE59"/>
    <mergeCell ref="BQF59:BQY59"/>
    <mergeCell ref="BHT59:BIM59"/>
    <mergeCell ref="BIN59:BJG59"/>
    <mergeCell ref="BJH59:BKA59"/>
    <mergeCell ref="BKB59:BKU59"/>
    <mergeCell ref="BKV59:BLO59"/>
    <mergeCell ref="BLP59:BMI59"/>
    <mergeCell ref="BDD59:BDW59"/>
    <mergeCell ref="BDX59:BEQ59"/>
    <mergeCell ref="BER59:BFK59"/>
    <mergeCell ref="BFL59:BGE59"/>
    <mergeCell ref="BGF59:BGY59"/>
    <mergeCell ref="BGZ59:BHS59"/>
    <mergeCell ref="AYN59:AZG59"/>
    <mergeCell ref="AZH59:BAA59"/>
    <mergeCell ref="BAB59:BAU59"/>
    <mergeCell ref="BAV59:BBO59"/>
    <mergeCell ref="BBP59:BCI59"/>
    <mergeCell ref="BCJ59:BDC59"/>
    <mergeCell ref="ATX59:AUQ59"/>
    <mergeCell ref="AUR59:AVK59"/>
    <mergeCell ref="AVL59:AWE59"/>
    <mergeCell ref="AWF59:AWY59"/>
    <mergeCell ref="AWZ59:AXS59"/>
    <mergeCell ref="AXT59:AYM59"/>
    <mergeCell ref="APH59:AQA59"/>
    <mergeCell ref="AQB59:AQU59"/>
    <mergeCell ref="AQV59:ARO59"/>
    <mergeCell ref="ARP59:ASI59"/>
    <mergeCell ref="ASJ59:ATC59"/>
    <mergeCell ref="ATD59:ATW59"/>
    <mergeCell ref="AKR59:ALK59"/>
    <mergeCell ref="ALL59:AME59"/>
    <mergeCell ref="AMF59:AMY59"/>
    <mergeCell ref="AMZ59:ANS59"/>
    <mergeCell ref="ANT59:AOM59"/>
    <mergeCell ref="AON59:APG59"/>
    <mergeCell ref="AGB59:AGU59"/>
    <mergeCell ref="AGV59:AHO59"/>
    <mergeCell ref="AHP59:AII59"/>
    <mergeCell ref="AIJ59:AJC59"/>
    <mergeCell ref="AJD59:AJW59"/>
    <mergeCell ref="AJX59:AKQ59"/>
    <mergeCell ref="ABL59:ACE59"/>
    <mergeCell ref="ACF59:ACY59"/>
    <mergeCell ref="ACZ59:ADS59"/>
    <mergeCell ref="ADT59:AEM59"/>
    <mergeCell ref="AEN59:AFG59"/>
    <mergeCell ref="AFH59:AGA59"/>
    <mergeCell ref="WV59:XO59"/>
    <mergeCell ref="XP59:YI59"/>
    <mergeCell ref="YJ59:ZC59"/>
    <mergeCell ref="ZD59:ZW59"/>
    <mergeCell ref="ZX59:AAQ59"/>
    <mergeCell ref="AAR59:ABK59"/>
    <mergeCell ref="SF59:SY59"/>
    <mergeCell ref="SZ59:TS59"/>
    <mergeCell ref="TT59:UM59"/>
    <mergeCell ref="UN59:VG59"/>
    <mergeCell ref="VH59:WA59"/>
    <mergeCell ref="WB59:WU59"/>
    <mergeCell ref="NP59:OI59"/>
    <mergeCell ref="OJ59:PC59"/>
    <mergeCell ref="PD59:PW59"/>
    <mergeCell ref="PX59:QQ59"/>
    <mergeCell ref="QR59:RK59"/>
    <mergeCell ref="RL59:SE59"/>
    <mergeCell ref="IZ59:JS59"/>
    <mergeCell ref="JT59:KM59"/>
    <mergeCell ref="KN59:LG59"/>
    <mergeCell ref="LH59:MA59"/>
    <mergeCell ref="MB59:MU59"/>
    <mergeCell ref="MV59:NO59"/>
    <mergeCell ref="EJ59:FC59"/>
    <mergeCell ref="FD59:FW59"/>
    <mergeCell ref="FX59:GQ59"/>
    <mergeCell ref="GR59:HK59"/>
    <mergeCell ref="HL59:IE59"/>
    <mergeCell ref="IF59:IY59"/>
    <mergeCell ref="T59:AM59"/>
    <mergeCell ref="AN59:BG59"/>
    <mergeCell ref="BH59:CA59"/>
    <mergeCell ref="CB59:CU59"/>
    <mergeCell ref="CV59:DO59"/>
    <mergeCell ref="DP59:EI59"/>
    <mergeCell ref="O56:O57"/>
    <mergeCell ref="P56:P57"/>
    <mergeCell ref="R56:R57"/>
    <mergeCell ref="S56:S57"/>
    <mergeCell ref="B58:S58"/>
    <mergeCell ref="A59:S59"/>
    <mergeCell ref="A56:A58"/>
    <mergeCell ref="B56:B57"/>
    <mergeCell ref="C56:C57"/>
    <mergeCell ref="D56:D57"/>
    <mergeCell ref="E56:E57"/>
    <mergeCell ref="F56:F57"/>
    <mergeCell ref="XBD55:XBW55"/>
    <mergeCell ref="XBX55:XCQ55"/>
    <mergeCell ref="XCR55:XDK55"/>
    <mergeCell ref="XDL55:XEE55"/>
    <mergeCell ref="XEF55:XEY55"/>
    <mergeCell ref="XEZ55:XFC55"/>
    <mergeCell ref="WWN55:WXG55"/>
    <mergeCell ref="WXH55:WYA55"/>
    <mergeCell ref="WYB55:WYU55"/>
    <mergeCell ref="WYV55:WZO55"/>
    <mergeCell ref="WZP55:XAI55"/>
    <mergeCell ref="XAJ55:XBC55"/>
    <mergeCell ref="WRX55:WSQ55"/>
    <mergeCell ref="WSR55:WTK55"/>
    <mergeCell ref="WTL55:WUE55"/>
    <mergeCell ref="WUF55:WUY55"/>
    <mergeCell ref="WUZ55:WVS55"/>
    <mergeCell ref="WVT55:WWM55"/>
    <mergeCell ref="WNH55:WOA55"/>
    <mergeCell ref="WOB55:WOU55"/>
    <mergeCell ref="WOV55:WPO55"/>
    <mergeCell ref="WPP55:WQI55"/>
    <mergeCell ref="WQJ55:WRC55"/>
    <mergeCell ref="WRD55:WRW55"/>
    <mergeCell ref="WIR55:WJK55"/>
    <mergeCell ref="WJL55:WKE55"/>
    <mergeCell ref="WKF55:WKY55"/>
    <mergeCell ref="WKZ55:WLS55"/>
    <mergeCell ref="WLT55:WMM55"/>
    <mergeCell ref="WMN55:WNG55"/>
    <mergeCell ref="WEB55:WEU55"/>
    <mergeCell ref="WEV55:WFO55"/>
    <mergeCell ref="WFP55:WGI55"/>
    <mergeCell ref="WGJ55:WHC55"/>
    <mergeCell ref="WHD55:WHW55"/>
    <mergeCell ref="WHX55:WIQ55"/>
    <mergeCell ref="VZL55:WAE55"/>
    <mergeCell ref="WAF55:WAY55"/>
    <mergeCell ref="WAZ55:WBS55"/>
    <mergeCell ref="WBT55:WCM55"/>
    <mergeCell ref="WCN55:WDG55"/>
    <mergeCell ref="WDH55:WEA55"/>
    <mergeCell ref="VUV55:VVO55"/>
    <mergeCell ref="VVP55:VWI55"/>
    <mergeCell ref="VWJ55:VXC55"/>
    <mergeCell ref="VXD55:VXW55"/>
    <mergeCell ref="VXX55:VYQ55"/>
    <mergeCell ref="VYR55:VZK55"/>
    <mergeCell ref="VQF55:VQY55"/>
    <mergeCell ref="VQZ55:VRS55"/>
    <mergeCell ref="VRT55:VSM55"/>
    <mergeCell ref="VSN55:VTG55"/>
    <mergeCell ref="VTH55:VUA55"/>
    <mergeCell ref="VUB55:VUU55"/>
    <mergeCell ref="VLP55:VMI55"/>
    <mergeCell ref="VMJ55:VNC55"/>
    <mergeCell ref="VND55:VNW55"/>
    <mergeCell ref="VNX55:VOQ55"/>
    <mergeCell ref="VOR55:VPK55"/>
    <mergeCell ref="VPL55:VQE55"/>
    <mergeCell ref="VGZ55:VHS55"/>
    <mergeCell ref="VHT55:VIM55"/>
    <mergeCell ref="VIN55:VJG55"/>
    <mergeCell ref="VJH55:VKA55"/>
    <mergeCell ref="VKB55:VKU55"/>
    <mergeCell ref="VKV55:VLO55"/>
    <mergeCell ref="VCJ55:VDC55"/>
    <mergeCell ref="VDD55:VDW55"/>
    <mergeCell ref="VDX55:VEQ55"/>
    <mergeCell ref="VER55:VFK55"/>
    <mergeCell ref="VFL55:VGE55"/>
    <mergeCell ref="VGF55:VGY55"/>
    <mergeCell ref="UXT55:UYM55"/>
    <mergeCell ref="UYN55:UZG55"/>
    <mergeCell ref="UZH55:VAA55"/>
    <mergeCell ref="VAB55:VAU55"/>
    <mergeCell ref="VAV55:VBO55"/>
    <mergeCell ref="VBP55:VCI55"/>
    <mergeCell ref="UTD55:UTW55"/>
    <mergeCell ref="UTX55:UUQ55"/>
    <mergeCell ref="UUR55:UVK55"/>
    <mergeCell ref="UVL55:UWE55"/>
    <mergeCell ref="UWF55:UWY55"/>
    <mergeCell ref="UWZ55:UXS55"/>
    <mergeCell ref="UON55:UPG55"/>
    <mergeCell ref="UPH55:UQA55"/>
    <mergeCell ref="UQB55:UQU55"/>
    <mergeCell ref="UQV55:URO55"/>
    <mergeCell ref="URP55:USI55"/>
    <mergeCell ref="USJ55:UTC55"/>
    <mergeCell ref="UJX55:UKQ55"/>
    <mergeCell ref="UKR55:ULK55"/>
    <mergeCell ref="ULL55:UME55"/>
    <mergeCell ref="UMF55:UMY55"/>
    <mergeCell ref="UMZ55:UNS55"/>
    <mergeCell ref="UNT55:UOM55"/>
    <mergeCell ref="UFH55:UGA55"/>
    <mergeCell ref="UGB55:UGU55"/>
    <mergeCell ref="UGV55:UHO55"/>
    <mergeCell ref="UHP55:UII55"/>
    <mergeCell ref="UIJ55:UJC55"/>
    <mergeCell ref="UJD55:UJW55"/>
    <mergeCell ref="UAR55:UBK55"/>
    <mergeCell ref="UBL55:UCE55"/>
    <mergeCell ref="UCF55:UCY55"/>
    <mergeCell ref="UCZ55:UDS55"/>
    <mergeCell ref="UDT55:UEM55"/>
    <mergeCell ref="UEN55:UFG55"/>
    <mergeCell ref="TWB55:TWU55"/>
    <mergeCell ref="TWV55:TXO55"/>
    <mergeCell ref="TXP55:TYI55"/>
    <mergeCell ref="TYJ55:TZC55"/>
    <mergeCell ref="TZD55:TZW55"/>
    <mergeCell ref="TZX55:UAQ55"/>
    <mergeCell ref="TRL55:TSE55"/>
    <mergeCell ref="TSF55:TSY55"/>
    <mergeCell ref="TSZ55:TTS55"/>
    <mergeCell ref="TTT55:TUM55"/>
    <mergeCell ref="TUN55:TVG55"/>
    <mergeCell ref="TVH55:TWA55"/>
    <mergeCell ref="TMV55:TNO55"/>
    <mergeCell ref="TNP55:TOI55"/>
    <mergeCell ref="TOJ55:TPC55"/>
    <mergeCell ref="TPD55:TPW55"/>
    <mergeCell ref="TPX55:TQQ55"/>
    <mergeCell ref="TQR55:TRK55"/>
    <mergeCell ref="TIF55:TIY55"/>
    <mergeCell ref="TIZ55:TJS55"/>
    <mergeCell ref="TJT55:TKM55"/>
    <mergeCell ref="TKN55:TLG55"/>
    <mergeCell ref="TLH55:TMA55"/>
    <mergeCell ref="TMB55:TMU55"/>
    <mergeCell ref="TDP55:TEI55"/>
    <mergeCell ref="TEJ55:TFC55"/>
    <mergeCell ref="TFD55:TFW55"/>
    <mergeCell ref="TFX55:TGQ55"/>
    <mergeCell ref="TGR55:THK55"/>
    <mergeCell ref="THL55:TIE55"/>
    <mergeCell ref="SYZ55:SZS55"/>
    <mergeCell ref="SZT55:TAM55"/>
    <mergeCell ref="TAN55:TBG55"/>
    <mergeCell ref="TBH55:TCA55"/>
    <mergeCell ref="TCB55:TCU55"/>
    <mergeCell ref="TCV55:TDO55"/>
    <mergeCell ref="SUJ55:SVC55"/>
    <mergeCell ref="SVD55:SVW55"/>
    <mergeCell ref="SVX55:SWQ55"/>
    <mergeCell ref="SWR55:SXK55"/>
    <mergeCell ref="SXL55:SYE55"/>
    <mergeCell ref="SYF55:SYY55"/>
    <mergeCell ref="SPT55:SQM55"/>
    <mergeCell ref="SQN55:SRG55"/>
    <mergeCell ref="SRH55:SSA55"/>
    <mergeCell ref="SSB55:SSU55"/>
    <mergeCell ref="SSV55:STO55"/>
    <mergeCell ref="STP55:SUI55"/>
    <mergeCell ref="SLD55:SLW55"/>
    <mergeCell ref="SLX55:SMQ55"/>
    <mergeCell ref="SMR55:SNK55"/>
    <mergeCell ref="SNL55:SOE55"/>
    <mergeCell ref="SOF55:SOY55"/>
    <mergeCell ref="SOZ55:SPS55"/>
    <mergeCell ref="SGN55:SHG55"/>
    <mergeCell ref="SHH55:SIA55"/>
    <mergeCell ref="SIB55:SIU55"/>
    <mergeCell ref="SIV55:SJO55"/>
    <mergeCell ref="SJP55:SKI55"/>
    <mergeCell ref="SKJ55:SLC55"/>
    <mergeCell ref="SBX55:SCQ55"/>
    <mergeCell ref="SCR55:SDK55"/>
    <mergeCell ref="SDL55:SEE55"/>
    <mergeCell ref="SEF55:SEY55"/>
    <mergeCell ref="SEZ55:SFS55"/>
    <mergeCell ref="SFT55:SGM55"/>
    <mergeCell ref="RXH55:RYA55"/>
    <mergeCell ref="RYB55:RYU55"/>
    <mergeCell ref="RYV55:RZO55"/>
    <mergeCell ref="RZP55:SAI55"/>
    <mergeCell ref="SAJ55:SBC55"/>
    <mergeCell ref="SBD55:SBW55"/>
    <mergeCell ref="RSR55:RTK55"/>
    <mergeCell ref="RTL55:RUE55"/>
    <mergeCell ref="RUF55:RUY55"/>
    <mergeCell ref="RUZ55:RVS55"/>
    <mergeCell ref="RVT55:RWM55"/>
    <mergeCell ref="RWN55:RXG55"/>
    <mergeCell ref="ROB55:ROU55"/>
    <mergeCell ref="ROV55:RPO55"/>
    <mergeCell ref="RPP55:RQI55"/>
    <mergeCell ref="RQJ55:RRC55"/>
    <mergeCell ref="RRD55:RRW55"/>
    <mergeCell ref="RRX55:RSQ55"/>
    <mergeCell ref="RJL55:RKE55"/>
    <mergeCell ref="RKF55:RKY55"/>
    <mergeCell ref="RKZ55:RLS55"/>
    <mergeCell ref="RLT55:RMM55"/>
    <mergeCell ref="RMN55:RNG55"/>
    <mergeCell ref="RNH55:ROA55"/>
    <mergeCell ref="REV55:RFO55"/>
    <mergeCell ref="RFP55:RGI55"/>
    <mergeCell ref="RGJ55:RHC55"/>
    <mergeCell ref="RHD55:RHW55"/>
    <mergeCell ref="RHX55:RIQ55"/>
    <mergeCell ref="RIR55:RJK55"/>
    <mergeCell ref="RAF55:RAY55"/>
    <mergeCell ref="RAZ55:RBS55"/>
    <mergeCell ref="RBT55:RCM55"/>
    <mergeCell ref="RCN55:RDG55"/>
    <mergeCell ref="RDH55:REA55"/>
    <mergeCell ref="REB55:REU55"/>
    <mergeCell ref="QVP55:QWI55"/>
    <mergeCell ref="QWJ55:QXC55"/>
    <mergeCell ref="QXD55:QXW55"/>
    <mergeCell ref="QXX55:QYQ55"/>
    <mergeCell ref="QYR55:QZK55"/>
    <mergeCell ref="QZL55:RAE55"/>
    <mergeCell ref="QQZ55:QRS55"/>
    <mergeCell ref="QRT55:QSM55"/>
    <mergeCell ref="QSN55:QTG55"/>
    <mergeCell ref="QTH55:QUA55"/>
    <mergeCell ref="QUB55:QUU55"/>
    <mergeCell ref="QUV55:QVO55"/>
    <mergeCell ref="QMJ55:QNC55"/>
    <mergeCell ref="QND55:QNW55"/>
    <mergeCell ref="QNX55:QOQ55"/>
    <mergeCell ref="QOR55:QPK55"/>
    <mergeCell ref="QPL55:QQE55"/>
    <mergeCell ref="QQF55:QQY55"/>
    <mergeCell ref="QHT55:QIM55"/>
    <mergeCell ref="QIN55:QJG55"/>
    <mergeCell ref="QJH55:QKA55"/>
    <mergeCell ref="QKB55:QKU55"/>
    <mergeCell ref="QKV55:QLO55"/>
    <mergeCell ref="QLP55:QMI55"/>
    <mergeCell ref="QDD55:QDW55"/>
    <mergeCell ref="QDX55:QEQ55"/>
    <mergeCell ref="QER55:QFK55"/>
    <mergeCell ref="QFL55:QGE55"/>
    <mergeCell ref="QGF55:QGY55"/>
    <mergeCell ref="QGZ55:QHS55"/>
    <mergeCell ref="PYN55:PZG55"/>
    <mergeCell ref="PZH55:QAA55"/>
    <mergeCell ref="QAB55:QAU55"/>
    <mergeCell ref="QAV55:QBO55"/>
    <mergeCell ref="QBP55:QCI55"/>
    <mergeCell ref="QCJ55:QDC55"/>
    <mergeCell ref="PTX55:PUQ55"/>
    <mergeCell ref="PUR55:PVK55"/>
    <mergeCell ref="PVL55:PWE55"/>
    <mergeCell ref="PWF55:PWY55"/>
    <mergeCell ref="PWZ55:PXS55"/>
    <mergeCell ref="PXT55:PYM55"/>
    <mergeCell ref="PPH55:PQA55"/>
    <mergeCell ref="PQB55:PQU55"/>
    <mergeCell ref="PQV55:PRO55"/>
    <mergeCell ref="PRP55:PSI55"/>
    <mergeCell ref="PSJ55:PTC55"/>
    <mergeCell ref="PTD55:PTW55"/>
    <mergeCell ref="PKR55:PLK55"/>
    <mergeCell ref="PLL55:PME55"/>
    <mergeCell ref="PMF55:PMY55"/>
    <mergeCell ref="PMZ55:PNS55"/>
    <mergeCell ref="PNT55:POM55"/>
    <mergeCell ref="PON55:PPG55"/>
    <mergeCell ref="PGB55:PGU55"/>
    <mergeCell ref="PGV55:PHO55"/>
    <mergeCell ref="PHP55:PII55"/>
    <mergeCell ref="PIJ55:PJC55"/>
    <mergeCell ref="PJD55:PJW55"/>
    <mergeCell ref="PJX55:PKQ55"/>
    <mergeCell ref="PBL55:PCE55"/>
    <mergeCell ref="PCF55:PCY55"/>
    <mergeCell ref="PCZ55:PDS55"/>
    <mergeCell ref="PDT55:PEM55"/>
    <mergeCell ref="PEN55:PFG55"/>
    <mergeCell ref="PFH55:PGA55"/>
    <mergeCell ref="OWV55:OXO55"/>
    <mergeCell ref="OXP55:OYI55"/>
    <mergeCell ref="OYJ55:OZC55"/>
    <mergeCell ref="OZD55:OZW55"/>
    <mergeCell ref="OZX55:PAQ55"/>
    <mergeCell ref="PAR55:PBK55"/>
    <mergeCell ref="OSF55:OSY55"/>
    <mergeCell ref="OSZ55:OTS55"/>
    <mergeCell ref="OTT55:OUM55"/>
    <mergeCell ref="OUN55:OVG55"/>
    <mergeCell ref="OVH55:OWA55"/>
    <mergeCell ref="OWB55:OWU55"/>
    <mergeCell ref="ONP55:OOI55"/>
    <mergeCell ref="OOJ55:OPC55"/>
    <mergeCell ref="OPD55:OPW55"/>
    <mergeCell ref="OPX55:OQQ55"/>
    <mergeCell ref="OQR55:ORK55"/>
    <mergeCell ref="ORL55:OSE55"/>
    <mergeCell ref="OIZ55:OJS55"/>
    <mergeCell ref="OJT55:OKM55"/>
    <mergeCell ref="OKN55:OLG55"/>
    <mergeCell ref="OLH55:OMA55"/>
    <mergeCell ref="OMB55:OMU55"/>
    <mergeCell ref="OMV55:ONO55"/>
    <mergeCell ref="OEJ55:OFC55"/>
    <mergeCell ref="OFD55:OFW55"/>
    <mergeCell ref="OFX55:OGQ55"/>
    <mergeCell ref="OGR55:OHK55"/>
    <mergeCell ref="OHL55:OIE55"/>
    <mergeCell ref="OIF55:OIY55"/>
    <mergeCell ref="NZT55:OAM55"/>
    <mergeCell ref="OAN55:OBG55"/>
    <mergeCell ref="OBH55:OCA55"/>
    <mergeCell ref="OCB55:OCU55"/>
    <mergeCell ref="OCV55:ODO55"/>
    <mergeCell ref="ODP55:OEI55"/>
    <mergeCell ref="NVD55:NVW55"/>
    <mergeCell ref="NVX55:NWQ55"/>
    <mergeCell ref="NWR55:NXK55"/>
    <mergeCell ref="NXL55:NYE55"/>
    <mergeCell ref="NYF55:NYY55"/>
    <mergeCell ref="NYZ55:NZS55"/>
    <mergeCell ref="NQN55:NRG55"/>
    <mergeCell ref="NRH55:NSA55"/>
    <mergeCell ref="NSB55:NSU55"/>
    <mergeCell ref="NSV55:NTO55"/>
    <mergeCell ref="NTP55:NUI55"/>
    <mergeCell ref="NUJ55:NVC55"/>
    <mergeCell ref="NLX55:NMQ55"/>
    <mergeCell ref="NMR55:NNK55"/>
    <mergeCell ref="NNL55:NOE55"/>
    <mergeCell ref="NOF55:NOY55"/>
    <mergeCell ref="NOZ55:NPS55"/>
    <mergeCell ref="NPT55:NQM55"/>
    <mergeCell ref="NHH55:NIA55"/>
    <mergeCell ref="NIB55:NIU55"/>
    <mergeCell ref="NIV55:NJO55"/>
    <mergeCell ref="NJP55:NKI55"/>
    <mergeCell ref="NKJ55:NLC55"/>
    <mergeCell ref="NLD55:NLW55"/>
    <mergeCell ref="NCR55:NDK55"/>
    <mergeCell ref="NDL55:NEE55"/>
    <mergeCell ref="NEF55:NEY55"/>
    <mergeCell ref="NEZ55:NFS55"/>
    <mergeCell ref="NFT55:NGM55"/>
    <mergeCell ref="NGN55:NHG55"/>
    <mergeCell ref="MYB55:MYU55"/>
    <mergeCell ref="MYV55:MZO55"/>
    <mergeCell ref="MZP55:NAI55"/>
    <mergeCell ref="NAJ55:NBC55"/>
    <mergeCell ref="NBD55:NBW55"/>
    <mergeCell ref="NBX55:NCQ55"/>
    <mergeCell ref="MTL55:MUE55"/>
    <mergeCell ref="MUF55:MUY55"/>
    <mergeCell ref="MUZ55:MVS55"/>
    <mergeCell ref="MVT55:MWM55"/>
    <mergeCell ref="MWN55:MXG55"/>
    <mergeCell ref="MXH55:MYA55"/>
    <mergeCell ref="MOV55:MPO55"/>
    <mergeCell ref="MPP55:MQI55"/>
    <mergeCell ref="MQJ55:MRC55"/>
    <mergeCell ref="MRD55:MRW55"/>
    <mergeCell ref="MRX55:MSQ55"/>
    <mergeCell ref="MSR55:MTK55"/>
    <mergeCell ref="MKF55:MKY55"/>
    <mergeCell ref="MKZ55:MLS55"/>
    <mergeCell ref="MLT55:MMM55"/>
    <mergeCell ref="MMN55:MNG55"/>
    <mergeCell ref="MNH55:MOA55"/>
    <mergeCell ref="MOB55:MOU55"/>
    <mergeCell ref="MFP55:MGI55"/>
    <mergeCell ref="MGJ55:MHC55"/>
    <mergeCell ref="MHD55:MHW55"/>
    <mergeCell ref="MHX55:MIQ55"/>
    <mergeCell ref="MIR55:MJK55"/>
    <mergeCell ref="MJL55:MKE55"/>
    <mergeCell ref="MAZ55:MBS55"/>
    <mergeCell ref="MBT55:MCM55"/>
    <mergeCell ref="MCN55:MDG55"/>
    <mergeCell ref="MDH55:MEA55"/>
    <mergeCell ref="MEB55:MEU55"/>
    <mergeCell ref="MEV55:MFO55"/>
    <mergeCell ref="LWJ55:LXC55"/>
    <mergeCell ref="LXD55:LXW55"/>
    <mergeCell ref="LXX55:LYQ55"/>
    <mergeCell ref="LYR55:LZK55"/>
    <mergeCell ref="LZL55:MAE55"/>
    <mergeCell ref="MAF55:MAY55"/>
    <mergeCell ref="LRT55:LSM55"/>
    <mergeCell ref="LSN55:LTG55"/>
    <mergeCell ref="LTH55:LUA55"/>
    <mergeCell ref="LUB55:LUU55"/>
    <mergeCell ref="LUV55:LVO55"/>
    <mergeCell ref="LVP55:LWI55"/>
    <mergeCell ref="LND55:LNW55"/>
    <mergeCell ref="LNX55:LOQ55"/>
    <mergeCell ref="LOR55:LPK55"/>
    <mergeCell ref="LPL55:LQE55"/>
    <mergeCell ref="LQF55:LQY55"/>
    <mergeCell ref="LQZ55:LRS55"/>
    <mergeCell ref="LIN55:LJG55"/>
    <mergeCell ref="LJH55:LKA55"/>
    <mergeCell ref="LKB55:LKU55"/>
    <mergeCell ref="LKV55:LLO55"/>
    <mergeCell ref="LLP55:LMI55"/>
    <mergeCell ref="LMJ55:LNC55"/>
    <mergeCell ref="LDX55:LEQ55"/>
    <mergeCell ref="LER55:LFK55"/>
    <mergeCell ref="LFL55:LGE55"/>
    <mergeCell ref="LGF55:LGY55"/>
    <mergeCell ref="LGZ55:LHS55"/>
    <mergeCell ref="LHT55:LIM55"/>
    <mergeCell ref="KZH55:LAA55"/>
    <mergeCell ref="LAB55:LAU55"/>
    <mergeCell ref="LAV55:LBO55"/>
    <mergeCell ref="LBP55:LCI55"/>
    <mergeCell ref="LCJ55:LDC55"/>
    <mergeCell ref="LDD55:LDW55"/>
    <mergeCell ref="KUR55:KVK55"/>
    <mergeCell ref="KVL55:KWE55"/>
    <mergeCell ref="KWF55:KWY55"/>
    <mergeCell ref="KWZ55:KXS55"/>
    <mergeCell ref="KXT55:KYM55"/>
    <mergeCell ref="KYN55:KZG55"/>
    <mergeCell ref="KQB55:KQU55"/>
    <mergeCell ref="KQV55:KRO55"/>
    <mergeCell ref="KRP55:KSI55"/>
    <mergeCell ref="KSJ55:KTC55"/>
    <mergeCell ref="KTD55:KTW55"/>
    <mergeCell ref="KTX55:KUQ55"/>
    <mergeCell ref="KLL55:KME55"/>
    <mergeCell ref="KMF55:KMY55"/>
    <mergeCell ref="KMZ55:KNS55"/>
    <mergeCell ref="KNT55:KOM55"/>
    <mergeCell ref="KON55:KPG55"/>
    <mergeCell ref="KPH55:KQA55"/>
    <mergeCell ref="KGV55:KHO55"/>
    <mergeCell ref="KHP55:KII55"/>
    <mergeCell ref="KIJ55:KJC55"/>
    <mergeCell ref="KJD55:KJW55"/>
    <mergeCell ref="KJX55:KKQ55"/>
    <mergeCell ref="KKR55:KLK55"/>
    <mergeCell ref="KCF55:KCY55"/>
    <mergeCell ref="KCZ55:KDS55"/>
    <mergeCell ref="KDT55:KEM55"/>
    <mergeCell ref="KEN55:KFG55"/>
    <mergeCell ref="KFH55:KGA55"/>
    <mergeCell ref="KGB55:KGU55"/>
    <mergeCell ref="JXP55:JYI55"/>
    <mergeCell ref="JYJ55:JZC55"/>
    <mergeCell ref="JZD55:JZW55"/>
    <mergeCell ref="JZX55:KAQ55"/>
    <mergeCell ref="KAR55:KBK55"/>
    <mergeCell ref="KBL55:KCE55"/>
    <mergeCell ref="JSZ55:JTS55"/>
    <mergeCell ref="JTT55:JUM55"/>
    <mergeCell ref="JUN55:JVG55"/>
    <mergeCell ref="JVH55:JWA55"/>
    <mergeCell ref="JWB55:JWU55"/>
    <mergeCell ref="JWV55:JXO55"/>
    <mergeCell ref="JOJ55:JPC55"/>
    <mergeCell ref="JPD55:JPW55"/>
    <mergeCell ref="JPX55:JQQ55"/>
    <mergeCell ref="JQR55:JRK55"/>
    <mergeCell ref="JRL55:JSE55"/>
    <mergeCell ref="JSF55:JSY55"/>
    <mergeCell ref="JJT55:JKM55"/>
    <mergeCell ref="JKN55:JLG55"/>
    <mergeCell ref="JLH55:JMA55"/>
    <mergeCell ref="JMB55:JMU55"/>
    <mergeCell ref="JMV55:JNO55"/>
    <mergeCell ref="JNP55:JOI55"/>
    <mergeCell ref="JFD55:JFW55"/>
    <mergeCell ref="JFX55:JGQ55"/>
    <mergeCell ref="JGR55:JHK55"/>
    <mergeCell ref="JHL55:JIE55"/>
    <mergeCell ref="JIF55:JIY55"/>
    <mergeCell ref="JIZ55:JJS55"/>
    <mergeCell ref="JAN55:JBG55"/>
    <mergeCell ref="JBH55:JCA55"/>
    <mergeCell ref="JCB55:JCU55"/>
    <mergeCell ref="JCV55:JDO55"/>
    <mergeCell ref="JDP55:JEI55"/>
    <mergeCell ref="JEJ55:JFC55"/>
    <mergeCell ref="IVX55:IWQ55"/>
    <mergeCell ref="IWR55:IXK55"/>
    <mergeCell ref="IXL55:IYE55"/>
    <mergeCell ref="IYF55:IYY55"/>
    <mergeCell ref="IYZ55:IZS55"/>
    <mergeCell ref="IZT55:JAM55"/>
    <mergeCell ref="IRH55:ISA55"/>
    <mergeCell ref="ISB55:ISU55"/>
    <mergeCell ref="ISV55:ITO55"/>
    <mergeCell ref="ITP55:IUI55"/>
    <mergeCell ref="IUJ55:IVC55"/>
    <mergeCell ref="IVD55:IVW55"/>
    <mergeCell ref="IMR55:INK55"/>
    <mergeCell ref="INL55:IOE55"/>
    <mergeCell ref="IOF55:IOY55"/>
    <mergeCell ref="IOZ55:IPS55"/>
    <mergeCell ref="IPT55:IQM55"/>
    <mergeCell ref="IQN55:IRG55"/>
    <mergeCell ref="IIB55:IIU55"/>
    <mergeCell ref="IIV55:IJO55"/>
    <mergeCell ref="IJP55:IKI55"/>
    <mergeCell ref="IKJ55:ILC55"/>
    <mergeCell ref="ILD55:ILW55"/>
    <mergeCell ref="ILX55:IMQ55"/>
    <mergeCell ref="IDL55:IEE55"/>
    <mergeCell ref="IEF55:IEY55"/>
    <mergeCell ref="IEZ55:IFS55"/>
    <mergeCell ref="IFT55:IGM55"/>
    <mergeCell ref="IGN55:IHG55"/>
    <mergeCell ref="IHH55:IIA55"/>
    <mergeCell ref="HYV55:HZO55"/>
    <mergeCell ref="HZP55:IAI55"/>
    <mergeCell ref="IAJ55:IBC55"/>
    <mergeCell ref="IBD55:IBW55"/>
    <mergeCell ref="IBX55:ICQ55"/>
    <mergeCell ref="ICR55:IDK55"/>
    <mergeCell ref="HUF55:HUY55"/>
    <mergeCell ref="HUZ55:HVS55"/>
    <mergeCell ref="HVT55:HWM55"/>
    <mergeCell ref="HWN55:HXG55"/>
    <mergeCell ref="HXH55:HYA55"/>
    <mergeCell ref="HYB55:HYU55"/>
    <mergeCell ref="HPP55:HQI55"/>
    <mergeCell ref="HQJ55:HRC55"/>
    <mergeCell ref="HRD55:HRW55"/>
    <mergeCell ref="HRX55:HSQ55"/>
    <mergeCell ref="HSR55:HTK55"/>
    <mergeCell ref="HTL55:HUE55"/>
    <mergeCell ref="HKZ55:HLS55"/>
    <mergeCell ref="HLT55:HMM55"/>
    <mergeCell ref="HMN55:HNG55"/>
    <mergeCell ref="HNH55:HOA55"/>
    <mergeCell ref="HOB55:HOU55"/>
    <mergeCell ref="HOV55:HPO55"/>
    <mergeCell ref="HGJ55:HHC55"/>
    <mergeCell ref="HHD55:HHW55"/>
    <mergeCell ref="HHX55:HIQ55"/>
    <mergeCell ref="HIR55:HJK55"/>
    <mergeCell ref="HJL55:HKE55"/>
    <mergeCell ref="HKF55:HKY55"/>
    <mergeCell ref="HBT55:HCM55"/>
    <mergeCell ref="HCN55:HDG55"/>
    <mergeCell ref="HDH55:HEA55"/>
    <mergeCell ref="HEB55:HEU55"/>
    <mergeCell ref="HEV55:HFO55"/>
    <mergeCell ref="HFP55:HGI55"/>
    <mergeCell ref="GXD55:GXW55"/>
    <mergeCell ref="GXX55:GYQ55"/>
    <mergeCell ref="GYR55:GZK55"/>
    <mergeCell ref="GZL55:HAE55"/>
    <mergeCell ref="HAF55:HAY55"/>
    <mergeCell ref="HAZ55:HBS55"/>
    <mergeCell ref="GSN55:GTG55"/>
    <mergeCell ref="GTH55:GUA55"/>
    <mergeCell ref="GUB55:GUU55"/>
    <mergeCell ref="GUV55:GVO55"/>
    <mergeCell ref="GVP55:GWI55"/>
    <mergeCell ref="GWJ55:GXC55"/>
    <mergeCell ref="GNX55:GOQ55"/>
    <mergeCell ref="GOR55:GPK55"/>
    <mergeCell ref="GPL55:GQE55"/>
    <mergeCell ref="GQF55:GQY55"/>
    <mergeCell ref="GQZ55:GRS55"/>
    <mergeCell ref="GRT55:GSM55"/>
    <mergeCell ref="GJH55:GKA55"/>
    <mergeCell ref="GKB55:GKU55"/>
    <mergeCell ref="GKV55:GLO55"/>
    <mergeCell ref="GLP55:GMI55"/>
    <mergeCell ref="GMJ55:GNC55"/>
    <mergeCell ref="GND55:GNW55"/>
    <mergeCell ref="GER55:GFK55"/>
    <mergeCell ref="GFL55:GGE55"/>
    <mergeCell ref="GGF55:GGY55"/>
    <mergeCell ref="GGZ55:GHS55"/>
    <mergeCell ref="GHT55:GIM55"/>
    <mergeCell ref="GIN55:GJG55"/>
    <mergeCell ref="GAB55:GAU55"/>
    <mergeCell ref="GAV55:GBO55"/>
    <mergeCell ref="GBP55:GCI55"/>
    <mergeCell ref="GCJ55:GDC55"/>
    <mergeCell ref="GDD55:GDW55"/>
    <mergeCell ref="GDX55:GEQ55"/>
    <mergeCell ref="FVL55:FWE55"/>
    <mergeCell ref="FWF55:FWY55"/>
    <mergeCell ref="FWZ55:FXS55"/>
    <mergeCell ref="FXT55:FYM55"/>
    <mergeCell ref="FYN55:FZG55"/>
    <mergeCell ref="FZH55:GAA55"/>
    <mergeCell ref="FQV55:FRO55"/>
    <mergeCell ref="FRP55:FSI55"/>
    <mergeCell ref="FSJ55:FTC55"/>
    <mergeCell ref="FTD55:FTW55"/>
    <mergeCell ref="FTX55:FUQ55"/>
    <mergeCell ref="FUR55:FVK55"/>
    <mergeCell ref="FMF55:FMY55"/>
    <mergeCell ref="FMZ55:FNS55"/>
    <mergeCell ref="FNT55:FOM55"/>
    <mergeCell ref="FON55:FPG55"/>
    <mergeCell ref="FPH55:FQA55"/>
    <mergeCell ref="FQB55:FQU55"/>
    <mergeCell ref="FHP55:FII55"/>
    <mergeCell ref="FIJ55:FJC55"/>
    <mergeCell ref="FJD55:FJW55"/>
    <mergeCell ref="FJX55:FKQ55"/>
    <mergeCell ref="FKR55:FLK55"/>
    <mergeCell ref="FLL55:FME55"/>
    <mergeCell ref="FCZ55:FDS55"/>
    <mergeCell ref="FDT55:FEM55"/>
    <mergeCell ref="FEN55:FFG55"/>
    <mergeCell ref="FFH55:FGA55"/>
    <mergeCell ref="FGB55:FGU55"/>
    <mergeCell ref="FGV55:FHO55"/>
    <mergeCell ref="EYJ55:EZC55"/>
    <mergeCell ref="EZD55:EZW55"/>
    <mergeCell ref="EZX55:FAQ55"/>
    <mergeCell ref="FAR55:FBK55"/>
    <mergeCell ref="FBL55:FCE55"/>
    <mergeCell ref="FCF55:FCY55"/>
    <mergeCell ref="ETT55:EUM55"/>
    <mergeCell ref="EUN55:EVG55"/>
    <mergeCell ref="EVH55:EWA55"/>
    <mergeCell ref="EWB55:EWU55"/>
    <mergeCell ref="EWV55:EXO55"/>
    <mergeCell ref="EXP55:EYI55"/>
    <mergeCell ref="EPD55:EPW55"/>
    <mergeCell ref="EPX55:EQQ55"/>
    <mergeCell ref="EQR55:ERK55"/>
    <mergeCell ref="ERL55:ESE55"/>
    <mergeCell ref="ESF55:ESY55"/>
    <mergeCell ref="ESZ55:ETS55"/>
    <mergeCell ref="EKN55:ELG55"/>
    <mergeCell ref="ELH55:EMA55"/>
    <mergeCell ref="EMB55:EMU55"/>
    <mergeCell ref="EMV55:ENO55"/>
    <mergeCell ref="ENP55:EOI55"/>
    <mergeCell ref="EOJ55:EPC55"/>
    <mergeCell ref="EFX55:EGQ55"/>
    <mergeCell ref="EGR55:EHK55"/>
    <mergeCell ref="EHL55:EIE55"/>
    <mergeCell ref="EIF55:EIY55"/>
    <mergeCell ref="EIZ55:EJS55"/>
    <mergeCell ref="EJT55:EKM55"/>
    <mergeCell ref="EBH55:ECA55"/>
    <mergeCell ref="ECB55:ECU55"/>
    <mergeCell ref="ECV55:EDO55"/>
    <mergeCell ref="EDP55:EEI55"/>
    <mergeCell ref="EEJ55:EFC55"/>
    <mergeCell ref="EFD55:EFW55"/>
    <mergeCell ref="DWR55:DXK55"/>
    <mergeCell ref="DXL55:DYE55"/>
    <mergeCell ref="DYF55:DYY55"/>
    <mergeCell ref="DYZ55:DZS55"/>
    <mergeCell ref="DZT55:EAM55"/>
    <mergeCell ref="EAN55:EBG55"/>
    <mergeCell ref="DSB55:DSU55"/>
    <mergeCell ref="DSV55:DTO55"/>
    <mergeCell ref="DTP55:DUI55"/>
    <mergeCell ref="DUJ55:DVC55"/>
    <mergeCell ref="DVD55:DVW55"/>
    <mergeCell ref="DVX55:DWQ55"/>
    <mergeCell ref="DNL55:DOE55"/>
    <mergeCell ref="DOF55:DOY55"/>
    <mergeCell ref="DOZ55:DPS55"/>
    <mergeCell ref="DPT55:DQM55"/>
    <mergeCell ref="DQN55:DRG55"/>
    <mergeCell ref="DRH55:DSA55"/>
    <mergeCell ref="DIV55:DJO55"/>
    <mergeCell ref="DJP55:DKI55"/>
    <mergeCell ref="DKJ55:DLC55"/>
    <mergeCell ref="DLD55:DLW55"/>
    <mergeCell ref="DLX55:DMQ55"/>
    <mergeCell ref="DMR55:DNK55"/>
    <mergeCell ref="DEF55:DEY55"/>
    <mergeCell ref="DEZ55:DFS55"/>
    <mergeCell ref="DFT55:DGM55"/>
    <mergeCell ref="DGN55:DHG55"/>
    <mergeCell ref="DHH55:DIA55"/>
    <mergeCell ref="DIB55:DIU55"/>
    <mergeCell ref="CZP55:DAI55"/>
    <mergeCell ref="DAJ55:DBC55"/>
    <mergeCell ref="DBD55:DBW55"/>
    <mergeCell ref="DBX55:DCQ55"/>
    <mergeCell ref="DCR55:DDK55"/>
    <mergeCell ref="DDL55:DEE55"/>
    <mergeCell ref="CUZ55:CVS55"/>
    <mergeCell ref="CVT55:CWM55"/>
    <mergeCell ref="CWN55:CXG55"/>
    <mergeCell ref="CXH55:CYA55"/>
    <mergeCell ref="CYB55:CYU55"/>
    <mergeCell ref="CYV55:CZO55"/>
    <mergeCell ref="CQJ55:CRC55"/>
    <mergeCell ref="CRD55:CRW55"/>
    <mergeCell ref="CRX55:CSQ55"/>
    <mergeCell ref="CSR55:CTK55"/>
    <mergeCell ref="CTL55:CUE55"/>
    <mergeCell ref="CUF55:CUY55"/>
    <mergeCell ref="CLT55:CMM55"/>
    <mergeCell ref="CMN55:CNG55"/>
    <mergeCell ref="CNH55:COA55"/>
    <mergeCell ref="COB55:COU55"/>
    <mergeCell ref="COV55:CPO55"/>
    <mergeCell ref="CPP55:CQI55"/>
    <mergeCell ref="CHD55:CHW55"/>
    <mergeCell ref="CHX55:CIQ55"/>
    <mergeCell ref="CIR55:CJK55"/>
    <mergeCell ref="CJL55:CKE55"/>
    <mergeCell ref="CKF55:CKY55"/>
    <mergeCell ref="CKZ55:CLS55"/>
    <mergeCell ref="CCN55:CDG55"/>
    <mergeCell ref="CDH55:CEA55"/>
    <mergeCell ref="CEB55:CEU55"/>
    <mergeCell ref="CEV55:CFO55"/>
    <mergeCell ref="CFP55:CGI55"/>
    <mergeCell ref="CGJ55:CHC55"/>
    <mergeCell ref="BXX55:BYQ55"/>
    <mergeCell ref="BYR55:BZK55"/>
    <mergeCell ref="BZL55:CAE55"/>
    <mergeCell ref="CAF55:CAY55"/>
    <mergeCell ref="CAZ55:CBS55"/>
    <mergeCell ref="CBT55:CCM55"/>
    <mergeCell ref="BTH55:BUA55"/>
    <mergeCell ref="BUB55:BUU55"/>
    <mergeCell ref="BUV55:BVO55"/>
    <mergeCell ref="BVP55:BWI55"/>
    <mergeCell ref="BWJ55:BXC55"/>
    <mergeCell ref="BXD55:BXW55"/>
    <mergeCell ref="BOR55:BPK55"/>
    <mergeCell ref="BPL55:BQE55"/>
    <mergeCell ref="BQF55:BQY55"/>
    <mergeCell ref="BQZ55:BRS55"/>
    <mergeCell ref="BRT55:BSM55"/>
    <mergeCell ref="BSN55:BTG55"/>
    <mergeCell ref="BKB55:BKU55"/>
    <mergeCell ref="BKV55:BLO55"/>
    <mergeCell ref="BLP55:BMI55"/>
    <mergeCell ref="BMJ55:BNC55"/>
    <mergeCell ref="BND55:BNW55"/>
    <mergeCell ref="BNX55:BOQ55"/>
    <mergeCell ref="BFL55:BGE55"/>
    <mergeCell ref="BGF55:BGY55"/>
    <mergeCell ref="BGZ55:BHS55"/>
    <mergeCell ref="BHT55:BIM55"/>
    <mergeCell ref="BIN55:BJG55"/>
    <mergeCell ref="BJH55:BKA55"/>
    <mergeCell ref="BAV55:BBO55"/>
    <mergeCell ref="BBP55:BCI55"/>
    <mergeCell ref="BCJ55:BDC55"/>
    <mergeCell ref="BDD55:BDW55"/>
    <mergeCell ref="BDX55:BEQ55"/>
    <mergeCell ref="BER55:BFK55"/>
    <mergeCell ref="AWF55:AWY55"/>
    <mergeCell ref="AWZ55:AXS55"/>
    <mergeCell ref="AXT55:AYM55"/>
    <mergeCell ref="AYN55:AZG55"/>
    <mergeCell ref="AZH55:BAA55"/>
    <mergeCell ref="BAB55:BAU55"/>
    <mergeCell ref="ARP55:ASI55"/>
    <mergeCell ref="ASJ55:ATC55"/>
    <mergeCell ref="ATD55:ATW55"/>
    <mergeCell ref="ATX55:AUQ55"/>
    <mergeCell ref="AUR55:AVK55"/>
    <mergeCell ref="AVL55:AWE55"/>
    <mergeCell ref="AMZ55:ANS55"/>
    <mergeCell ref="ANT55:AOM55"/>
    <mergeCell ref="AON55:APG55"/>
    <mergeCell ref="APH55:AQA55"/>
    <mergeCell ref="AQB55:AQU55"/>
    <mergeCell ref="AQV55:ARO55"/>
    <mergeCell ref="AIJ55:AJC55"/>
    <mergeCell ref="AJD55:AJW55"/>
    <mergeCell ref="AJX55:AKQ55"/>
    <mergeCell ref="AKR55:ALK55"/>
    <mergeCell ref="ALL55:AME55"/>
    <mergeCell ref="AMF55:AMY55"/>
    <mergeCell ref="ADT55:AEM55"/>
    <mergeCell ref="AEN55:AFG55"/>
    <mergeCell ref="AFH55:AGA55"/>
    <mergeCell ref="AGB55:AGU55"/>
    <mergeCell ref="AGV55:AHO55"/>
    <mergeCell ref="AHP55:AII55"/>
    <mergeCell ref="ZD55:ZW55"/>
    <mergeCell ref="ZX55:AAQ55"/>
    <mergeCell ref="AAR55:ABK55"/>
    <mergeCell ref="ABL55:ACE55"/>
    <mergeCell ref="ACF55:ACY55"/>
    <mergeCell ref="ACZ55:ADS55"/>
    <mergeCell ref="UN55:VG55"/>
    <mergeCell ref="VH55:WA55"/>
    <mergeCell ref="WB55:WU55"/>
    <mergeCell ref="WV55:XO55"/>
    <mergeCell ref="XP55:YI55"/>
    <mergeCell ref="YJ55:ZC55"/>
    <mergeCell ref="PX55:QQ55"/>
    <mergeCell ref="QR55:RK55"/>
    <mergeCell ref="RL55:SE55"/>
    <mergeCell ref="SF55:SY55"/>
    <mergeCell ref="SZ55:TS55"/>
    <mergeCell ref="TT55:UM55"/>
    <mergeCell ref="LH55:MA55"/>
    <mergeCell ref="MB55:MU55"/>
    <mergeCell ref="MV55:NO55"/>
    <mergeCell ref="NP55:OI55"/>
    <mergeCell ref="OJ55:PC55"/>
    <mergeCell ref="PD55:PW55"/>
    <mergeCell ref="GR55:HK55"/>
    <mergeCell ref="HL55:IE55"/>
    <mergeCell ref="IF55:IY55"/>
    <mergeCell ref="IZ55:JS55"/>
    <mergeCell ref="JT55:KM55"/>
    <mergeCell ref="KN55:LG55"/>
    <mergeCell ref="CB55:CU55"/>
    <mergeCell ref="CV55:DO55"/>
    <mergeCell ref="DP55:EI55"/>
    <mergeCell ref="EJ55:FC55"/>
    <mergeCell ref="FD55:FW55"/>
    <mergeCell ref="FX55:GQ55"/>
    <mergeCell ref="S49:S53"/>
    <mergeCell ref="B54:S54"/>
    <mergeCell ref="A55:S55"/>
    <mergeCell ref="T55:AM55"/>
    <mergeCell ref="AN55:BG55"/>
    <mergeCell ref="BH55:CA55"/>
    <mergeCell ref="A48:S48"/>
    <mergeCell ref="A49:A54"/>
    <mergeCell ref="B49:B53"/>
    <mergeCell ref="C49:C53"/>
    <mergeCell ref="D49:D53"/>
    <mergeCell ref="E49:E53"/>
    <mergeCell ref="F49:F53"/>
    <mergeCell ref="O49:O53"/>
    <mergeCell ref="P49:P53"/>
    <mergeCell ref="R49:R53"/>
    <mergeCell ref="F42:F46"/>
    <mergeCell ref="O42:O46"/>
    <mergeCell ref="P42:P46"/>
    <mergeCell ref="R42:R46"/>
    <mergeCell ref="S42:S46"/>
    <mergeCell ref="B47:S47"/>
    <mergeCell ref="P35:P39"/>
    <mergeCell ref="R35:R39"/>
    <mergeCell ref="S35:S39"/>
    <mergeCell ref="B40:S40"/>
    <mergeCell ref="A41:S41"/>
    <mergeCell ref="A42:A47"/>
    <mergeCell ref="B42:B46"/>
    <mergeCell ref="C42:C46"/>
    <mergeCell ref="D42:D46"/>
    <mergeCell ref="E42:E46"/>
    <mergeCell ref="XDL34:XEE34"/>
    <mergeCell ref="WOV34:WPO34"/>
    <mergeCell ref="WGJ34:WHC34"/>
    <mergeCell ref="WHD34:WHW34"/>
    <mergeCell ref="WHX34:WIQ34"/>
    <mergeCell ref="WIR34:WJK34"/>
    <mergeCell ref="WJL34:WKE34"/>
    <mergeCell ref="WKF34:WKY34"/>
    <mergeCell ref="WBT34:WCM34"/>
    <mergeCell ref="WCN34:WDG34"/>
    <mergeCell ref="WDH34:WEA34"/>
    <mergeCell ref="WEB34:WEU34"/>
    <mergeCell ref="WEV34:WFO34"/>
    <mergeCell ref="WFP34:WGI34"/>
    <mergeCell ref="VXD34:VXW34"/>
    <mergeCell ref="VXX34:VYQ34"/>
    <mergeCell ref="XEF34:XEY34"/>
    <mergeCell ref="XEZ34:XFC34"/>
    <mergeCell ref="A35:A40"/>
    <mergeCell ref="B35:B39"/>
    <mergeCell ref="C35:C39"/>
    <mergeCell ref="D35:D39"/>
    <mergeCell ref="E35:E39"/>
    <mergeCell ref="F35:F39"/>
    <mergeCell ref="O35:O39"/>
    <mergeCell ref="WYV34:WZO34"/>
    <mergeCell ref="WZP34:XAI34"/>
    <mergeCell ref="XAJ34:XBC34"/>
    <mergeCell ref="XBD34:XBW34"/>
    <mergeCell ref="XBX34:XCQ34"/>
    <mergeCell ref="XCR34:XDK34"/>
    <mergeCell ref="WUF34:WUY34"/>
    <mergeCell ref="WUZ34:WVS34"/>
    <mergeCell ref="WVT34:WWM34"/>
    <mergeCell ref="WWN34:WXG34"/>
    <mergeCell ref="WXH34:WYA34"/>
    <mergeCell ref="WYB34:WYU34"/>
    <mergeCell ref="WPP34:WQI34"/>
    <mergeCell ref="WQJ34:WRC34"/>
    <mergeCell ref="WRD34:WRW34"/>
    <mergeCell ref="WRX34:WSQ34"/>
    <mergeCell ref="WSR34:WTK34"/>
    <mergeCell ref="WTL34:WUE34"/>
    <mergeCell ref="WKZ34:WLS34"/>
    <mergeCell ref="WLT34:WMM34"/>
    <mergeCell ref="WMN34:WNG34"/>
    <mergeCell ref="WNH34:WOA34"/>
    <mergeCell ref="WOB34:WOU34"/>
    <mergeCell ref="VYR34:VZK34"/>
    <mergeCell ref="VZL34:WAE34"/>
    <mergeCell ref="WAF34:WAY34"/>
    <mergeCell ref="WAZ34:WBS34"/>
    <mergeCell ref="VSN34:VTG34"/>
    <mergeCell ref="VTH34:VUA34"/>
    <mergeCell ref="VUB34:VUU34"/>
    <mergeCell ref="VUV34:VVO34"/>
    <mergeCell ref="VVP34:VWI34"/>
    <mergeCell ref="VWJ34:VXC34"/>
    <mergeCell ref="VNX34:VOQ34"/>
    <mergeCell ref="VOR34:VPK34"/>
    <mergeCell ref="VPL34:VQE34"/>
    <mergeCell ref="VQF34:VQY34"/>
    <mergeCell ref="VQZ34:VRS34"/>
    <mergeCell ref="VRT34:VSM34"/>
    <mergeCell ref="VJH34:VKA34"/>
    <mergeCell ref="VKB34:VKU34"/>
    <mergeCell ref="VKV34:VLO34"/>
    <mergeCell ref="VLP34:VMI34"/>
    <mergeCell ref="VMJ34:VNC34"/>
    <mergeCell ref="VND34:VNW34"/>
    <mergeCell ref="VER34:VFK34"/>
    <mergeCell ref="VFL34:VGE34"/>
    <mergeCell ref="VGF34:VGY34"/>
    <mergeCell ref="VGZ34:VHS34"/>
    <mergeCell ref="VHT34:VIM34"/>
    <mergeCell ref="VIN34:VJG34"/>
    <mergeCell ref="VAB34:VAU34"/>
    <mergeCell ref="VAV34:VBO34"/>
    <mergeCell ref="VBP34:VCI34"/>
    <mergeCell ref="VCJ34:VDC34"/>
    <mergeCell ref="VDD34:VDW34"/>
    <mergeCell ref="VDX34:VEQ34"/>
    <mergeCell ref="UVL34:UWE34"/>
    <mergeCell ref="UWF34:UWY34"/>
    <mergeCell ref="UWZ34:UXS34"/>
    <mergeCell ref="UXT34:UYM34"/>
    <mergeCell ref="UYN34:UZG34"/>
    <mergeCell ref="UZH34:VAA34"/>
    <mergeCell ref="UQV34:URO34"/>
    <mergeCell ref="URP34:USI34"/>
    <mergeCell ref="USJ34:UTC34"/>
    <mergeCell ref="UTD34:UTW34"/>
    <mergeCell ref="UTX34:UUQ34"/>
    <mergeCell ref="UUR34:UVK34"/>
    <mergeCell ref="UMF34:UMY34"/>
    <mergeCell ref="UMZ34:UNS34"/>
    <mergeCell ref="UNT34:UOM34"/>
    <mergeCell ref="UON34:UPG34"/>
    <mergeCell ref="UPH34:UQA34"/>
    <mergeCell ref="UQB34:UQU34"/>
    <mergeCell ref="UHP34:UII34"/>
    <mergeCell ref="UIJ34:UJC34"/>
    <mergeCell ref="UJD34:UJW34"/>
    <mergeCell ref="UJX34:UKQ34"/>
    <mergeCell ref="UKR34:ULK34"/>
    <mergeCell ref="ULL34:UME34"/>
    <mergeCell ref="UCZ34:UDS34"/>
    <mergeCell ref="UDT34:UEM34"/>
    <mergeCell ref="UEN34:UFG34"/>
    <mergeCell ref="UFH34:UGA34"/>
    <mergeCell ref="UGB34:UGU34"/>
    <mergeCell ref="UGV34:UHO34"/>
    <mergeCell ref="TYJ34:TZC34"/>
    <mergeCell ref="TZD34:TZW34"/>
    <mergeCell ref="TZX34:UAQ34"/>
    <mergeCell ref="UAR34:UBK34"/>
    <mergeCell ref="UBL34:UCE34"/>
    <mergeCell ref="UCF34:UCY34"/>
    <mergeCell ref="TTT34:TUM34"/>
    <mergeCell ref="TUN34:TVG34"/>
    <mergeCell ref="TVH34:TWA34"/>
    <mergeCell ref="TWB34:TWU34"/>
    <mergeCell ref="TWV34:TXO34"/>
    <mergeCell ref="TXP34:TYI34"/>
    <mergeCell ref="TPD34:TPW34"/>
    <mergeCell ref="TPX34:TQQ34"/>
    <mergeCell ref="TQR34:TRK34"/>
    <mergeCell ref="TRL34:TSE34"/>
    <mergeCell ref="TSF34:TSY34"/>
    <mergeCell ref="TSZ34:TTS34"/>
    <mergeCell ref="TKN34:TLG34"/>
    <mergeCell ref="TLH34:TMA34"/>
    <mergeCell ref="TMB34:TMU34"/>
    <mergeCell ref="TMV34:TNO34"/>
    <mergeCell ref="TNP34:TOI34"/>
    <mergeCell ref="TOJ34:TPC34"/>
    <mergeCell ref="TFX34:TGQ34"/>
    <mergeCell ref="TGR34:THK34"/>
    <mergeCell ref="THL34:TIE34"/>
    <mergeCell ref="TIF34:TIY34"/>
    <mergeCell ref="TIZ34:TJS34"/>
    <mergeCell ref="TJT34:TKM34"/>
    <mergeCell ref="TBH34:TCA34"/>
    <mergeCell ref="TCB34:TCU34"/>
    <mergeCell ref="TCV34:TDO34"/>
    <mergeCell ref="TDP34:TEI34"/>
    <mergeCell ref="TEJ34:TFC34"/>
    <mergeCell ref="TFD34:TFW34"/>
    <mergeCell ref="SWR34:SXK34"/>
    <mergeCell ref="SXL34:SYE34"/>
    <mergeCell ref="SYF34:SYY34"/>
    <mergeCell ref="SYZ34:SZS34"/>
    <mergeCell ref="SZT34:TAM34"/>
    <mergeCell ref="TAN34:TBG34"/>
    <mergeCell ref="SSB34:SSU34"/>
    <mergeCell ref="SSV34:STO34"/>
    <mergeCell ref="STP34:SUI34"/>
    <mergeCell ref="SUJ34:SVC34"/>
    <mergeCell ref="SVD34:SVW34"/>
    <mergeCell ref="SVX34:SWQ34"/>
    <mergeCell ref="SNL34:SOE34"/>
    <mergeCell ref="SOF34:SOY34"/>
    <mergeCell ref="SOZ34:SPS34"/>
    <mergeCell ref="SPT34:SQM34"/>
    <mergeCell ref="SQN34:SRG34"/>
    <mergeCell ref="SRH34:SSA34"/>
    <mergeCell ref="SIV34:SJO34"/>
    <mergeCell ref="SJP34:SKI34"/>
    <mergeCell ref="SKJ34:SLC34"/>
    <mergeCell ref="SLD34:SLW34"/>
    <mergeCell ref="SLX34:SMQ34"/>
    <mergeCell ref="SMR34:SNK34"/>
    <mergeCell ref="SEF34:SEY34"/>
    <mergeCell ref="SEZ34:SFS34"/>
    <mergeCell ref="SFT34:SGM34"/>
    <mergeCell ref="SGN34:SHG34"/>
    <mergeCell ref="SHH34:SIA34"/>
    <mergeCell ref="SIB34:SIU34"/>
    <mergeCell ref="RZP34:SAI34"/>
    <mergeCell ref="SAJ34:SBC34"/>
    <mergeCell ref="SBD34:SBW34"/>
    <mergeCell ref="SBX34:SCQ34"/>
    <mergeCell ref="SCR34:SDK34"/>
    <mergeCell ref="SDL34:SEE34"/>
    <mergeCell ref="RUZ34:RVS34"/>
    <mergeCell ref="RVT34:RWM34"/>
    <mergeCell ref="RWN34:RXG34"/>
    <mergeCell ref="RXH34:RYA34"/>
    <mergeCell ref="RYB34:RYU34"/>
    <mergeCell ref="RYV34:RZO34"/>
    <mergeCell ref="RQJ34:RRC34"/>
    <mergeCell ref="RRD34:RRW34"/>
    <mergeCell ref="RRX34:RSQ34"/>
    <mergeCell ref="RSR34:RTK34"/>
    <mergeCell ref="RTL34:RUE34"/>
    <mergeCell ref="RUF34:RUY34"/>
    <mergeCell ref="RLT34:RMM34"/>
    <mergeCell ref="RMN34:RNG34"/>
    <mergeCell ref="RNH34:ROA34"/>
    <mergeCell ref="ROB34:ROU34"/>
    <mergeCell ref="ROV34:RPO34"/>
    <mergeCell ref="RPP34:RQI34"/>
    <mergeCell ref="RHD34:RHW34"/>
    <mergeCell ref="RHX34:RIQ34"/>
    <mergeCell ref="RIR34:RJK34"/>
    <mergeCell ref="RJL34:RKE34"/>
    <mergeCell ref="RKF34:RKY34"/>
    <mergeCell ref="RKZ34:RLS34"/>
    <mergeCell ref="RCN34:RDG34"/>
    <mergeCell ref="RDH34:REA34"/>
    <mergeCell ref="REB34:REU34"/>
    <mergeCell ref="REV34:RFO34"/>
    <mergeCell ref="RFP34:RGI34"/>
    <mergeCell ref="RGJ34:RHC34"/>
    <mergeCell ref="QXX34:QYQ34"/>
    <mergeCell ref="QYR34:QZK34"/>
    <mergeCell ref="QZL34:RAE34"/>
    <mergeCell ref="RAF34:RAY34"/>
    <mergeCell ref="RAZ34:RBS34"/>
    <mergeCell ref="RBT34:RCM34"/>
    <mergeCell ref="QTH34:QUA34"/>
    <mergeCell ref="QUB34:QUU34"/>
    <mergeCell ref="QUV34:QVO34"/>
    <mergeCell ref="QVP34:QWI34"/>
    <mergeCell ref="QWJ34:QXC34"/>
    <mergeCell ref="QXD34:QXW34"/>
    <mergeCell ref="QOR34:QPK34"/>
    <mergeCell ref="QPL34:QQE34"/>
    <mergeCell ref="QQF34:QQY34"/>
    <mergeCell ref="QQZ34:QRS34"/>
    <mergeCell ref="QRT34:QSM34"/>
    <mergeCell ref="QSN34:QTG34"/>
    <mergeCell ref="QKB34:QKU34"/>
    <mergeCell ref="QKV34:QLO34"/>
    <mergeCell ref="QLP34:QMI34"/>
    <mergeCell ref="QMJ34:QNC34"/>
    <mergeCell ref="QND34:QNW34"/>
    <mergeCell ref="QNX34:QOQ34"/>
    <mergeCell ref="QFL34:QGE34"/>
    <mergeCell ref="QGF34:QGY34"/>
    <mergeCell ref="QGZ34:QHS34"/>
    <mergeCell ref="QHT34:QIM34"/>
    <mergeCell ref="QIN34:QJG34"/>
    <mergeCell ref="QJH34:QKA34"/>
    <mergeCell ref="QAV34:QBO34"/>
    <mergeCell ref="QBP34:QCI34"/>
    <mergeCell ref="QCJ34:QDC34"/>
    <mergeCell ref="QDD34:QDW34"/>
    <mergeCell ref="QDX34:QEQ34"/>
    <mergeCell ref="QER34:QFK34"/>
    <mergeCell ref="PWF34:PWY34"/>
    <mergeCell ref="PWZ34:PXS34"/>
    <mergeCell ref="PXT34:PYM34"/>
    <mergeCell ref="PYN34:PZG34"/>
    <mergeCell ref="PZH34:QAA34"/>
    <mergeCell ref="QAB34:QAU34"/>
    <mergeCell ref="PRP34:PSI34"/>
    <mergeCell ref="PSJ34:PTC34"/>
    <mergeCell ref="PTD34:PTW34"/>
    <mergeCell ref="PTX34:PUQ34"/>
    <mergeCell ref="PUR34:PVK34"/>
    <mergeCell ref="PVL34:PWE34"/>
    <mergeCell ref="PMZ34:PNS34"/>
    <mergeCell ref="PNT34:POM34"/>
    <mergeCell ref="PON34:PPG34"/>
    <mergeCell ref="PPH34:PQA34"/>
    <mergeCell ref="PQB34:PQU34"/>
    <mergeCell ref="PQV34:PRO34"/>
    <mergeCell ref="PIJ34:PJC34"/>
    <mergeCell ref="PJD34:PJW34"/>
    <mergeCell ref="PJX34:PKQ34"/>
    <mergeCell ref="PKR34:PLK34"/>
    <mergeCell ref="PLL34:PME34"/>
    <mergeCell ref="PMF34:PMY34"/>
    <mergeCell ref="PDT34:PEM34"/>
    <mergeCell ref="PEN34:PFG34"/>
    <mergeCell ref="PFH34:PGA34"/>
    <mergeCell ref="PGB34:PGU34"/>
    <mergeCell ref="PGV34:PHO34"/>
    <mergeCell ref="PHP34:PII34"/>
    <mergeCell ref="OZD34:OZW34"/>
    <mergeCell ref="OZX34:PAQ34"/>
    <mergeCell ref="PAR34:PBK34"/>
    <mergeCell ref="PBL34:PCE34"/>
    <mergeCell ref="PCF34:PCY34"/>
    <mergeCell ref="PCZ34:PDS34"/>
    <mergeCell ref="OUN34:OVG34"/>
    <mergeCell ref="OVH34:OWA34"/>
    <mergeCell ref="OWB34:OWU34"/>
    <mergeCell ref="OWV34:OXO34"/>
    <mergeCell ref="OXP34:OYI34"/>
    <mergeCell ref="OYJ34:OZC34"/>
    <mergeCell ref="OPX34:OQQ34"/>
    <mergeCell ref="OQR34:ORK34"/>
    <mergeCell ref="ORL34:OSE34"/>
    <mergeCell ref="OSF34:OSY34"/>
    <mergeCell ref="OSZ34:OTS34"/>
    <mergeCell ref="OTT34:OUM34"/>
    <mergeCell ref="OLH34:OMA34"/>
    <mergeCell ref="OMB34:OMU34"/>
    <mergeCell ref="OMV34:ONO34"/>
    <mergeCell ref="ONP34:OOI34"/>
    <mergeCell ref="OOJ34:OPC34"/>
    <mergeCell ref="OPD34:OPW34"/>
    <mergeCell ref="OGR34:OHK34"/>
    <mergeCell ref="OHL34:OIE34"/>
    <mergeCell ref="OIF34:OIY34"/>
    <mergeCell ref="OIZ34:OJS34"/>
    <mergeCell ref="OJT34:OKM34"/>
    <mergeCell ref="OKN34:OLG34"/>
    <mergeCell ref="OCB34:OCU34"/>
    <mergeCell ref="OCV34:ODO34"/>
    <mergeCell ref="ODP34:OEI34"/>
    <mergeCell ref="OEJ34:OFC34"/>
    <mergeCell ref="OFD34:OFW34"/>
    <mergeCell ref="OFX34:OGQ34"/>
    <mergeCell ref="NXL34:NYE34"/>
    <mergeCell ref="NYF34:NYY34"/>
    <mergeCell ref="NYZ34:NZS34"/>
    <mergeCell ref="NZT34:OAM34"/>
    <mergeCell ref="OAN34:OBG34"/>
    <mergeCell ref="OBH34:OCA34"/>
    <mergeCell ref="NSV34:NTO34"/>
    <mergeCell ref="NTP34:NUI34"/>
    <mergeCell ref="NUJ34:NVC34"/>
    <mergeCell ref="NVD34:NVW34"/>
    <mergeCell ref="NVX34:NWQ34"/>
    <mergeCell ref="NWR34:NXK34"/>
    <mergeCell ref="NOF34:NOY34"/>
    <mergeCell ref="NOZ34:NPS34"/>
    <mergeCell ref="NPT34:NQM34"/>
    <mergeCell ref="NQN34:NRG34"/>
    <mergeCell ref="NRH34:NSA34"/>
    <mergeCell ref="NSB34:NSU34"/>
    <mergeCell ref="NJP34:NKI34"/>
    <mergeCell ref="NKJ34:NLC34"/>
    <mergeCell ref="NLD34:NLW34"/>
    <mergeCell ref="NLX34:NMQ34"/>
    <mergeCell ref="NMR34:NNK34"/>
    <mergeCell ref="NNL34:NOE34"/>
    <mergeCell ref="NEZ34:NFS34"/>
    <mergeCell ref="NFT34:NGM34"/>
    <mergeCell ref="NGN34:NHG34"/>
    <mergeCell ref="NHH34:NIA34"/>
    <mergeCell ref="NIB34:NIU34"/>
    <mergeCell ref="NIV34:NJO34"/>
    <mergeCell ref="NAJ34:NBC34"/>
    <mergeCell ref="NBD34:NBW34"/>
    <mergeCell ref="NBX34:NCQ34"/>
    <mergeCell ref="NCR34:NDK34"/>
    <mergeCell ref="NDL34:NEE34"/>
    <mergeCell ref="NEF34:NEY34"/>
    <mergeCell ref="MVT34:MWM34"/>
    <mergeCell ref="MWN34:MXG34"/>
    <mergeCell ref="MXH34:MYA34"/>
    <mergeCell ref="MYB34:MYU34"/>
    <mergeCell ref="MYV34:MZO34"/>
    <mergeCell ref="MZP34:NAI34"/>
    <mergeCell ref="MRD34:MRW34"/>
    <mergeCell ref="MRX34:MSQ34"/>
    <mergeCell ref="MSR34:MTK34"/>
    <mergeCell ref="MTL34:MUE34"/>
    <mergeCell ref="MUF34:MUY34"/>
    <mergeCell ref="MUZ34:MVS34"/>
    <mergeCell ref="MMN34:MNG34"/>
    <mergeCell ref="MNH34:MOA34"/>
    <mergeCell ref="MOB34:MOU34"/>
    <mergeCell ref="MOV34:MPO34"/>
    <mergeCell ref="MPP34:MQI34"/>
    <mergeCell ref="MQJ34:MRC34"/>
    <mergeCell ref="MHX34:MIQ34"/>
    <mergeCell ref="MIR34:MJK34"/>
    <mergeCell ref="MJL34:MKE34"/>
    <mergeCell ref="MKF34:MKY34"/>
    <mergeCell ref="MKZ34:MLS34"/>
    <mergeCell ref="MLT34:MMM34"/>
    <mergeCell ref="MDH34:MEA34"/>
    <mergeCell ref="MEB34:MEU34"/>
    <mergeCell ref="MEV34:MFO34"/>
    <mergeCell ref="MFP34:MGI34"/>
    <mergeCell ref="MGJ34:MHC34"/>
    <mergeCell ref="MHD34:MHW34"/>
    <mergeCell ref="LYR34:LZK34"/>
    <mergeCell ref="LZL34:MAE34"/>
    <mergeCell ref="MAF34:MAY34"/>
    <mergeCell ref="MAZ34:MBS34"/>
    <mergeCell ref="MBT34:MCM34"/>
    <mergeCell ref="MCN34:MDG34"/>
    <mergeCell ref="LUB34:LUU34"/>
    <mergeCell ref="LUV34:LVO34"/>
    <mergeCell ref="LVP34:LWI34"/>
    <mergeCell ref="LWJ34:LXC34"/>
    <mergeCell ref="LXD34:LXW34"/>
    <mergeCell ref="LXX34:LYQ34"/>
    <mergeCell ref="LPL34:LQE34"/>
    <mergeCell ref="LQF34:LQY34"/>
    <mergeCell ref="LQZ34:LRS34"/>
    <mergeCell ref="LRT34:LSM34"/>
    <mergeCell ref="LSN34:LTG34"/>
    <mergeCell ref="LTH34:LUA34"/>
    <mergeCell ref="LKV34:LLO34"/>
    <mergeCell ref="LLP34:LMI34"/>
    <mergeCell ref="LMJ34:LNC34"/>
    <mergeCell ref="LND34:LNW34"/>
    <mergeCell ref="LNX34:LOQ34"/>
    <mergeCell ref="LOR34:LPK34"/>
    <mergeCell ref="LGF34:LGY34"/>
    <mergeCell ref="LGZ34:LHS34"/>
    <mergeCell ref="LHT34:LIM34"/>
    <mergeCell ref="LIN34:LJG34"/>
    <mergeCell ref="LJH34:LKA34"/>
    <mergeCell ref="LKB34:LKU34"/>
    <mergeCell ref="LBP34:LCI34"/>
    <mergeCell ref="LCJ34:LDC34"/>
    <mergeCell ref="LDD34:LDW34"/>
    <mergeCell ref="LDX34:LEQ34"/>
    <mergeCell ref="LER34:LFK34"/>
    <mergeCell ref="LFL34:LGE34"/>
    <mergeCell ref="KWZ34:KXS34"/>
    <mergeCell ref="KXT34:KYM34"/>
    <mergeCell ref="KYN34:KZG34"/>
    <mergeCell ref="KZH34:LAA34"/>
    <mergeCell ref="LAB34:LAU34"/>
    <mergeCell ref="LAV34:LBO34"/>
    <mergeCell ref="KSJ34:KTC34"/>
    <mergeCell ref="KTD34:KTW34"/>
    <mergeCell ref="KTX34:KUQ34"/>
    <mergeCell ref="KUR34:KVK34"/>
    <mergeCell ref="KVL34:KWE34"/>
    <mergeCell ref="KWF34:KWY34"/>
    <mergeCell ref="KNT34:KOM34"/>
    <mergeCell ref="KON34:KPG34"/>
    <mergeCell ref="KPH34:KQA34"/>
    <mergeCell ref="KQB34:KQU34"/>
    <mergeCell ref="KQV34:KRO34"/>
    <mergeCell ref="KRP34:KSI34"/>
    <mergeCell ref="KJD34:KJW34"/>
    <mergeCell ref="KJX34:KKQ34"/>
    <mergeCell ref="KKR34:KLK34"/>
    <mergeCell ref="KLL34:KME34"/>
    <mergeCell ref="KMF34:KMY34"/>
    <mergeCell ref="KMZ34:KNS34"/>
    <mergeCell ref="KEN34:KFG34"/>
    <mergeCell ref="KFH34:KGA34"/>
    <mergeCell ref="KGB34:KGU34"/>
    <mergeCell ref="KGV34:KHO34"/>
    <mergeCell ref="KHP34:KII34"/>
    <mergeCell ref="KIJ34:KJC34"/>
    <mergeCell ref="JZX34:KAQ34"/>
    <mergeCell ref="KAR34:KBK34"/>
    <mergeCell ref="KBL34:KCE34"/>
    <mergeCell ref="KCF34:KCY34"/>
    <mergeCell ref="KCZ34:KDS34"/>
    <mergeCell ref="KDT34:KEM34"/>
    <mergeCell ref="JVH34:JWA34"/>
    <mergeCell ref="JWB34:JWU34"/>
    <mergeCell ref="JWV34:JXO34"/>
    <mergeCell ref="JXP34:JYI34"/>
    <mergeCell ref="JYJ34:JZC34"/>
    <mergeCell ref="JZD34:JZW34"/>
    <mergeCell ref="JQR34:JRK34"/>
    <mergeCell ref="JRL34:JSE34"/>
    <mergeCell ref="JSF34:JSY34"/>
    <mergeCell ref="JSZ34:JTS34"/>
    <mergeCell ref="JTT34:JUM34"/>
    <mergeCell ref="JUN34:JVG34"/>
    <mergeCell ref="JMB34:JMU34"/>
    <mergeCell ref="JMV34:JNO34"/>
    <mergeCell ref="JNP34:JOI34"/>
    <mergeCell ref="JOJ34:JPC34"/>
    <mergeCell ref="JPD34:JPW34"/>
    <mergeCell ref="JPX34:JQQ34"/>
    <mergeCell ref="JHL34:JIE34"/>
    <mergeCell ref="JIF34:JIY34"/>
    <mergeCell ref="JIZ34:JJS34"/>
    <mergeCell ref="JJT34:JKM34"/>
    <mergeCell ref="JKN34:JLG34"/>
    <mergeCell ref="JLH34:JMA34"/>
    <mergeCell ref="JCV34:JDO34"/>
    <mergeCell ref="JDP34:JEI34"/>
    <mergeCell ref="JEJ34:JFC34"/>
    <mergeCell ref="JFD34:JFW34"/>
    <mergeCell ref="JFX34:JGQ34"/>
    <mergeCell ref="JGR34:JHK34"/>
    <mergeCell ref="IYF34:IYY34"/>
    <mergeCell ref="IYZ34:IZS34"/>
    <mergeCell ref="IZT34:JAM34"/>
    <mergeCell ref="JAN34:JBG34"/>
    <mergeCell ref="JBH34:JCA34"/>
    <mergeCell ref="JCB34:JCU34"/>
    <mergeCell ref="ITP34:IUI34"/>
    <mergeCell ref="IUJ34:IVC34"/>
    <mergeCell ref="IVD34:IVW34"/>
    <mergeCell ref="IVX34:IWQ34"/>
    <mergeCell ref="IWR34:IXK34"/>
    <mergeCell ref="IXL34:IYE34"/>
    <mergeCell ref="IOZ34:IPS34"/>
    <mergeCell ref="IPT34:IQM34"/>
    <mergeCell ref="IQN34:IRG34"/>
    <mergeCell ref="IRH34:ISA34"/>
    <mergeCell ref="ISB34:ISU34"/>
    <mergeCell ref="ISV34:ITO34"/>
    <mergeCell ref="IKJ34:ILC34"/>
    <mergeCell ref="ILD34:ILW34"/>
    <mergeCell ref="ILX34:IMQ34"/>
    <mergeCell ref="IMR34:INK34"/>
    <mergeCell ref="INL34:IOE34"/>
    <mergeCell ref="IOF34:IOY34"/>
    <mergeCell ref="IFT34:IGM34"/>
    <mergeCell ref="IGN34:IHG34"/>
    <mergeCell ref="IHH34:IIA34"/>
    <mergeCell ref="IIB34:IIU34"/>
    <mergeCell ref="IIV34:IJO34"/>
    <mergeCell ref="IJP34:IKI34"/>
    <mergeCell ref="IBD34:IBW34"/>
    <mergeCell ref="IBX34:ICQ34"/>
    <mergeCell ref="ICR34:IDK34"/>
    <mergeCell ref="IDL34:IEE34"/>
    <mergeCell ref="IEF34:IEY34"/>
    <mergeCell ref="IEZ34:IFS34"/>
    <mergeCell ref="HWN34:HXG34"/>
    <mergeCell ref="HXH34:HYA34"/>
    <mergeCell ref="HYB34:HYU34"/>
    <mergeCell ref="HYV34:HZO34"/>
    <mergeCell ref="HZP34:IAI34"/>
    <mergeCell ref="IAJ34:IBC34"/>
    <mergeCell ref="HRX34:HSQ34"/>
    <mergeCell ref="HSR34:HTK34"/>
    <mergeCell ref="HTL34:HUE34"/>
    <mergeCell ref="HUF34:HUY34"/>
    <mergeCell ref="HUZ34:HVS34"/>
    <mergeCell ref="HVT34:HWM34"/>
    <mergeCell ref="HNH34:HOA34"/>
    <mergeCell ref="HOB34:HOU34"/>
    <mergeCell ref="HOV34:HPO34"/>
    <mergeCell ref="HPP34:HQI34"/>
    <mergeCell ref="HQJ34:HRC34"/>
    <mergeCell ref="HRD34:HRW34"/>
    <mergeCell ref="HIR34:HJK34"/>
    <mergeCell ref="HJL34:HKE34"/>
    <mergeCell ref="HKF34:HKY34"/>
    <mergeCell ref="HKZ34:HLS34"/>
    <mergeCell ref="HLT34:HMM34"/>
    <mergeCell ref="HMN34:HNG34"/>
    <mergeCell ref="HEB34:HEU34"/>
    <mergeCell ref="HEV34:HFO34"/>
    <mergeCell ref="HFP34:HGI34"/>
    <mergeCell ref="HGJ34:HHC34"/>
    <mergeCell ref="HHD34:HHW34"/>
    <mergeCell ref="HHX34:HIQ34"/>
    <mergeCell ref="GZL34:HAE34"/>
    <mergeCell ref="HAF34:HAY34"/>
    <mergeCell ref="HAZ34:HBS34"/>
    <mergeCell ref="HBT34:HCM34"/>
    <mergeCell ref="HCN34:HDG34"/>
    <mergeCell ref="HDH34:HEA34"/>
    <mergeCell ref="GUV34:GVO34"/>
    <mergeCell ref="GVP34:GWI34"/>
    <mergeCell ref="GWJ34:GXC34"/>
    <mergeCell ref="GXD34:GXW34"/>
    <mergeCell ref="GXX34:GYQ34"/>
    <mergeCell ref="GYR34:GZK34"/>
    <mergeCell ref="GQF34:GQY34"/>
    <mergeCell ref="GQZ34:GRS34"/>
    <mergeCell ref="GRT34:GSM34"/>
    <mergeCell ref="GSN34:GTG34"/>
    <mergeCell ref="GTH34:GUA34"/>
    <mergeCell ref="GUB34:GUU34"/>
    <mergeCell ref="GLP34:GMI34"/>
    <mergeCell ref="GMJ34:GNC34"/>
    <mergeCell ref="GND34:GNW34"/>
    <mergeCell ref="GNX34:GOQ34"/>
    <mergeCell ref="GOR34:GPK34"/>
    <mergeCell ref="GPL34:GQE34"/>
    <mergeCell ref="GGZ34:GHS34"/>
    <mergeCell ref="GHT34:GIM34"/>
    <mergeCell ref="GIN34:GJG34"/>
    <mergeCell ref="GJH34:GKA34"/>
    <mergeCell ref="GKB34:GKU34"/>
    <mergeCell ref="GKV34:GLO34"/>
    <mergeCell ref="GCJ34:GDC34"/>
    <mergeCell ref="GDD34:GDW34"/>
    <mergeCell ref="GDX34:GEQ34"/>
    <mergeCell ref="GER34:GFK34"/>
    <mergeCell ref="GFL34:GGE34"/>
    <mergeCell ref="GGF34:GGY34"/>
    <mergeCell ref="FXT34:FYM34"/>
    <mergeCell ref="FYN34:FZG34"/>
    <mergeCell ref="FZH34:GAA34"/>
    <mergeCell ref="GAB34:GAU34"/>
    <mergeCell ref="GAV34:GBO34"/>
    <mergeCell ref="GBP34:GCI34"/>
    <mergeCell ref="FTD34:FTW34"/>
    <mergeCell ref="FTX34:FUQ34"/>
    <mergeCell ref="FUR34:FVK34"/>
    <mergeCell ref="FVL34:FWE34"/>
    <mergeCell ref="FWF34:FWY34"/>
    <mergeCell ref="FWZ34:FXS34"/>
    <mergeCell ref="FON34:FPG34"/>
    <mergeCell ref="FPH34:FQA34"/>
    <mergeCell ref="FQB34:FQU34"/>
    <mergeCell ref="FQV34:FRO34"/>
    <mergeCell ref="FRP34:FSI34"/>
    <mergeCell ref="FSJ34:FTC34"/>
    <mergeCell ref="FJX34:FKQ34"/>
    <mergeCell ref="FKR34:FLK34"/>
    <mergeCell ref="FLL34:FME34"/>
    <mergeCell ref="FMF34:FMY34"/>
    <mergeCell ref="FMZ34:FNS34"/>
    <mergeCell ref="FNT34:FOM34"/>
    <mergeCell ref="FFH34:FGA34"/>
    <mergeCell ref="FGB34:FGU34"/>
    <mergeCell ref="FGV34:FHO34"/>
    <mergeCell ref="FHP34:FII34"/>
    <mergeCell ref="FIJ34:FJC34"/>
    <mergeCell ref="FJD34:FJW34"/>
    <mergeCell ref="FAR34:FBK34"/>
    <mergeCell ref="FBL34:FCE34"/>
    <mergeCell ref="FCF34:FCY34"/>
    <mergeCell ref="FCZ34:FDS34"/>
    <mergeCell ref="FDT34:FEM34"/>
    <mergeCell ref="FEN34:FFG34"/>
    <mergeCell ref="EWB34:EWU34"/>
    <mergeCell ref="EWV34:EXO34"/>
    <mergeCell ref="EXP34:EYI34"/>
    <mergeCell ref="EYJ34:EZC34"/>
    <mergeCell ref="EZD34:EZW34"/>
    <mergeCell ref="EZX34:FAQ34"/>
    <mergeCell ref="ERL34:ESE34"/>
    <mergeCell ref="ESF34:ESY34"/>
    <mergeCell ref="ESZ34:ETS34"/>
    <mergeCell ref="ETT34:EUM34"/>
    <mergeCell ref="EUN34:EVG34"/>
    <mergeCell ref="EVH34:EWA34"/>
    <mergeCell ref="EMV34:ENO34"/>
    <mergeCell ref="ENP34:EOI34"/>
    <mergeCell ref="EOJ34:EPC34"/>
    <mergeCell ref="EPD34:EPW34"/>
    <mergeCell ref="EPX34:EQQ34"/>
    <mergeCell ref="EQR34:ERK34"/>
    <mergeCell ref="EIF34:EIY34"/>
    <mergeCell ref="EIZ34:EJS34"/>
    <mergeCell ref="EJT34:EKM34"/>
    <mergeCell ref="EKN34:ELG34"/>
    <mergeCell ref="ELH34:EMA34"/>
    <mergeCell ref="EMB34:EMU34"/>
    <mergeCell ref="EDP34:EEI34"/>
    <mergeCell ref="EEJ34:EFC34"/>
    <mergeCell ref="EFD34:EFW34"/>
    <mergeCell ref="EFX34:EGQ34"/>
    <mergeCell ref="EGR34:EHK34"/>
    <mergeCell ref="EHL34:EIE34"/>
    <mergeCell ref="DYZ34:DZS34"/>
    <mergeCell ref="DZT34:EAM34"/>
    <mergeCell ref="EAN34:EBG34"/>
    <mergeCell ref="EBH34:ECA34"/>
    <mergeCell ref="ECB34:ECU34"/>
    <mergeCell ref="ECV34:EDO34"/>
    <mergeCell ref="DUJ34:DVC34"/>
    <mergeCell ref="DVD34:DVW34"/>
    <mergeCell ref="DVX34:DWQ34"/>
    <mergeCell ref="DWR34:DXK34"/>
    <mergeCell ref="DXL34:DYE34"/>
    <mergeCell ref="DYF34:DYY34"/>
    <mergeCell ref="DPT34:DQM34"/>
    <mergeCell ref="DQN34:DRG34"/>
    <mergeCell ref="DRH34:DSA34"/>
    <mergeCell ref="DSB34:DSU34"/>
    <mergeCell ref="DSV34:DTO34"/>
    <mergeCell ref="DTP34:DUI34"/>
    <mergeCell ref="DLD34:DLW34"/>
    <mergeCell ref="DLX34:DMQ34"/>
    <mergeCell ref="DMR34:DNK34"/>
    <mergeCell ref="DNL34:DOE34"/>
    <mergeCell ref="DOF34:DOY34"/>
    <mergeCell ref="DOZ34:DPS34"/>
    <mergeCell ref="DGN34:DHG34"/>
    <mergeCell ref="DHH34:DIA34"/>
    <mergeCell ref="DIB34:DIU34"/>
    <mergeCell ref="DIV34:DJO34"/>
    <mergeCell ref="DJP34:DKI34"/>
    <mergeCell ref="DKJ34:DLC34"/>
    <mergeCell ref="DBX34:DCQ34"/>
    <mergeCell ref="DCR34:DDK34"/>
    <mergeCell ref="DDL34:DEE34"/>
    <mergeCell ref="DEF34:DEY34"/>
    <mergeCell ref="DEZ34:DFS34"/>
    <mergeCell ref="DFT34:DGM34"/>
    <mergeCell ref="CXH34:CYA34"/>
    <mergeCell ref="CYB34:CYU34"/>
    <mergeCell ref="CYV34:CZO34"/>
    <mergeCell ref="CZP34:DAI34"/>
    <mergeCell ref="DAJ34:DBC34"/>
    <mergeCell ref="DBD34:DBW34"/>
    <mergeCell ref="CSR34:CTK34"/>
    <mergeCell ref="CTL34:CUE34"/>
    <mergeCell ref="CUF34:CUY34"/>
    <mergeCell ref="CUZ34:CVS34"/>
    <mergeCell ref="CVT34:CWM34"/>
    <mergeCell ref="CWN34:CXG34"/>
    <mergeCell ref="COB34:COU34"/>
    <mergeCell ref="COV34:CPO34"/>
    <mergeCell ref="CPP34:CQI34"/>
    <mergeCell ref="CQJ34:CRC34"/>
    <mergeCell ref="CRD34:CRW34"/>
    <mergeCell ref="CRX34:CSQ34"/>
    <mergeCell ref="CJL34:CKE34"/>
    <mergeCell ref="CKF34:CKY34"/>
    <mergeCell ref="CKZ34:CLS34"/>
    <mergeCell ref="CLT34:CMM34"/>
    <mergeCell ref="CMN34:CNG34"/>
    <mergeCell ref="CNH34:COA34"/>
    <mergeCell ref="CEV34:CFO34"/>
    <mergeCell ref="CFP34:CGI34"/>
    <mergeCell ref="CGJ34:CHC34"/>
    <mergeCell ref="CHD34:CHW34"/>
    <mergeCell ref="CHX34:CIQ34"/>
    <mergeCell ref="CIR34:CJK34"/>
    <mergeCell ref="CAF34:CAY34"/>
    <mergeCell ref="CAZ34:CBS34"/>
    <mergeCell ref="CBT34:CCM34"/>
    <mergeCell ref="CCN34:CDG34"/>
    <mergeCell ref="CDH34:CEA34"/>
    <mergeCell ref="CEB34:CEU34"/>
    <mergeCell ref="BVP34:BWI34"/>
    <mergeCell ref="BWJ34:BXC34"/>
    <mergeCell ref="BXD34:BXW34"/>
    <mergeCell ref="BXX34:BYQ34"/>
    <mergeCell ref="BYR34:BZK34"/>
    <mergeCell ref="BZL34:CAE34"/>
    <mergeCell ref="BQZ34:BRS34"/>
    <mergeCell ref="BRT34:BSM34"/>
    <mergeCell ref="BSN34:BTG34"/>
    <mergeCell ref="BTH34:BUA34"/>
    <mergeCell ref="BUB34:BUU34"/>
    <mergeCell ref="BUV34:BVO34"/>
    <mergeCell ref="BMJ34:BNC34"/>
    <mergeCell ref="BND34:BNW34"/>
    <mergeCell ref="BNX34:BOQ34"/>
    <mergeCell ref="BOR34:BPK34"/>
    <mergeCell ref="BPL34:BQE34"/>
    <mergeCell ref="BQF34:BQY34"/>
    <mergeCell ref="BHT34:BIM34"/>
    <mergeCell ref="BIN34:BJG34"/>
    <mergeCell ref="BJH34:BKA34"/>
    <mergeCell ref="BKB34:BKU34"/>
    <mergeCell ref="BKV34:BLO34"/>
    <mergeCell ref="BLP34:BMI34"/>
    <mergeCell ref="BDD34:BDW34"/>
    <mergeCell ref="BDX34:BEQ34"/>
    <mergeCell ref="BER34:BFK34"/>
    <mergeCell ref="BFL34:BGE34"/>
    <mergeCell ref="BGF34:BGY34"/>
    <mergeCell ref="BGZ34:BHS34"/>
    <mergeCell ref="AYN34:AZG34"/>
    <mergeCell ref="AZH34:BAA34"/>
    <mergeCell ref="BAB34:BAU34"/>
    <mergeCell ref="BAV34:BBO34"/>
    <mergeCell ref="BBP34:BCI34"/>
    <mergeCell ref="BCJ34:BDC34"/>
    <mergeCell ref="ATX34:AUQ34"/>
    <mergeCell ref="AUR34:AVK34"/>
    <mergeCell ref="AVL34:AWE34"/>
    <mergeCell ref="AWF34:AWY34"/>
    <mergeCell ref="AWZ34:AXS34"/>
    <mergeCell ref="AXT34:AYM34"/>
    <mergeCell ref="APH34:AQA34"/>
    <mergeCell ref="AQB34:AQU34"/>
    <mergeCell ref="AQV34:ARO34"/>
    <mergeCell ref="ARP34:ASI34"/>
    <mergeCell ref="ASJ34:ATC34"/>
    <mergeCell ref="ATD34:ATW34"/>
    <mergeCell ref="AKR34:ALK34"/>
    <mergeCell ref="ALL34:AME34"/>
    <mergeCell ref="AMF34:AMY34"/>
    <mergeCell ref="AMZ34:ANS34"/>
    <mergeCell ref="ANT34:AOM34"/>
    <mergeCell ref="AON34:APG34"/>
    <mergeCell ref="AGB34:AGU34"/>
    <mergeCell ref="AGV34:AHO34"/>
    <mergeCell ref="AHP34:AII34"/>
    <mergeCell ref="AIJ34:AJC34"/>
    <mergeCell ref="AJD34:AJW34"/>
    <mergeCell ref="AJX34:AKQ34"/>
    <mergeCell ref="ABL34:ACE34"/>
    <mergeCell ref="ACF34:ACY34"/>
    <mergeCell ref="ACZ34:ADS34"/>
    <mergeCell ref="ADT34:AEM34"/>
    <mergeCell ref="AEN34:AFG34"/>
    <mergeCell ref="AFH34:AGA34"/>
    <mergeCell ref="WV34:XO34"/>
    <mergeCell ref="XP34:YI34"/>
    <mergeCell ref="YJ34:ZC34"/>
    <mergeCell ref="ZD34:ZW34"/>
    <mergeCell ref="ZX34:AAQ34"/>
    <mergeCell ref="AAR34:ABK34"/>
    <mergeCell ref="SF34:SY34"/>
    <mergeCell ref="SZ34:TS34"/>
    <mergeCell ref="TT34:UM34"/>
    <mergeCell ref="UN34:VG34"/>
    <mergeCell ref="VH34:WA34"/>
    <mergeCell ref="WB34:WU34"/>
    <mergeCell ref="NP34:OI34"/>
    <mergeCell ref="OJ34:PC34"/>
    <mergeCell ref="PD34:PW34"/>
    <mergeCell ref="PX34:QQ34"/>
    <mergeCell ref="QR34:RK34"/>
    <mergeCell ref="RL34:SE34"/>
    <mergeCell ref="IZ34:JS34"/>
    <mergeCell ref="JT34:KM34"/>
    <mergeCell ref="KN34:LG34"/>
    <mergeCell ref="LH34:MA34"/>
    <mergeCell ref="MB34:MU34"/>
    <mergeCell ref="MV34:NO34"/>
    <mergeCell ref="EJ34:FC34"/>
    <mergeCell ref="FD34:FW34"/>
    <mergeCell ref="FX34:GQ34"/>
    <mergeCell ref="GR34:HK34"/>
    <mergeCell ref="HL34:IE34"/>
    <mergeCell ref="IF34:IY34"/>
    <mergeCell ref="T34:AM34"/>
    <mergeCell ref="AN34:BG34"/>
    <mergeCell ref="BH34:CA34"/>
    <mergeCell ref="CB34:CU34"/>
    <mergeCell ref="CV34:DO34"/>
    <mergeCell ref="DP34:EI34"/>
    <mergeCell ref="O28:O32"/>
    <mergeCell ref="P28:P32"/>
    <mergeCell ref="R28:R32"/>
    <mergeCell ref="S28:S32"/>
    <mergeCell ref="B33:S33"/>
    <mergeCell ref="A34:S34"/>
    <mergeCell ref="A28:A33"/>
    <mergeCell ref="B28:B32"/>
    <mergeCell ref="C28:C32"/>
    <mergeCell ref="D28:D32"/>
    <mergeCell ref="E28:E32"/>
    <mergeCell ref="F28:F32"/>
    <mergeCell ref="O21:O25"/>
    <mergeCell ref="P21:P25"/>
    <mergeCell ref="R21:R25"/>
    <mergeCell ref="S21:S25"/>
    <mergeCell ref="B26:S26"/>
    <mergeCell ref="A27:S27"/>
    <mergeCell ref="A21:A26"/>
    <mergeCell ref="B21:B25"/>
    <mergeCell ref="C21:C25"/>
    <mergeCell ref="D21:D25"/>
    <mergeCell ref="E21:E25"/>
    <mergeCell ref="F21:F25"/>
    <mergeCell ref="XBD20:XBW20"/>
    <mergeCell ref="XBX20:XCQ20"/>
    <mergeCell ref="XCR20:XDK20"/>
    <mergeCell ref="XDL20:XEE20"/>
    <mergeCell ref="XEF20:XEY20"/>
    <mergeCell ref="XEZ20:XFC20"/>
    <mergeCell ref="WWN20:WXG20"/>
    <mergeCell ref="WXH20:WYA20"/>
    <mergeCell ref="WYB20:WYU20"/>
    <mergeCell ref="WYV20:WZO20"/>
    <mergeCell ref="WZP20:XAI20"/>
    <mergeCell ref="XAJ20:XBC20"/>
    <mergeCell ref="WRX20:WSQ20"/>
    <mergeCell ref="WSR20:WTK20"/>
    <mergeCell ref="WTL20:WUE20"/>
    <mergeCell ref="WUF20:WUY20"/>
    <mergeCell ref="WUZ20:WVS20"/>
    <mergeCell ref="WVT20:WWM20"/>
    <mergeCell ref="WNH20:WOA20"/>
    <mergeCell ref="WOB20:WOU20"/>
    <mergeCell ref="WOV20:WPO20"/>
    <mergeCell ref="WPP20:WQI20"/>
    <mergeCell ref="WQJ20:WRC20"/>
    <mergeCell ref="WRD20:WRW20"/>
    <mergeCell ref="WIR20:WJK20"/>
    <mergeCell ref="WJL20:WKE20"/>
    <mergeCell ref="WKF20:WKY20"/>
    <mergeCell ref="WKZ20:WLS20"/>
    <mergeCell ref="WLT20:WMM20"/>
    <mergeCell ref="WMN20:WNG20"/>
    <mergeCell ref="WEB20:WEU20"/>
    <mergeCell ref="WEV20:WFO20"/>
    <mergeCell ref="WFP20:WGI20"/>
    <mergeCell ref="WGJ20:WHC20"/>
    <mergeCell ref="WHD20:WHW20"/>
    <mergeCell ref="WHX20:WIQ20"/>
    <mergeCell ref="VZL20:WAE20"/>
    <mergeCell ref="WAF20:WAY20"/>
    <mergeCell ref="WAZ20:WBS20"/>
    <mergeCell ref="WBT20:WCM20"/>
    <mergeCell ref="WCN20:WDG20"/>
    <mergeCell ref="WDH20:WEA20"/>
    <mergeCell ref="VUV20:VVO20"/>
    <mergeCell ref="VVP20:VWI20"/>
    <mergeCell ref="VWJ20:VXC20"/>
    <mergeCell ref="VXD20:VXW20"/>
    <mergeCell ref="VXX20:VYQ20"/>
    <mergeCell ref="VYR20:VZK20"/>
    <mergeCell ref="VQF20:VQY20"/>
    <mergeCell ref="VQZ20:VRS20"/>
    <mergeCell ref="VRT20:VSM20"/>
    <mergeCell ref="VSN20:VTG20"/>
    <mergeCell ref="VTH20:VUA20"/>
    <mergeCell ref="VUB20:VUU20"/>
    <mergeCell ref="VLP20:VMI20"/>
    <mergeCell ref="VMJ20:VNC20"/>
    <mergeCell ref="VND20:VNW20"/>
    <mergeCell ref="VNX20:VOQ20"/>
    <mergeCell ref="VOR20:VPK20"/>
    <mergeCell ref="VPL20:VQE20"/>
    <mergeCell ref="VGZ20:VHS20"/>
    <mergeCell ref="VHT20:VIM20"/>
    <mergeCell ref="VIN20:VJG20"/>
    <mergeCell ref="VJH20:VKA20"/>
    <mergeCell ref="VKB20:VKU20"/>
    <mergeCell ref="VKV20:VLO20"/>
    <mergeCell ref="VCJ20:VDC20"/>
    <mergeCell ref="VDD20:VDW20"/>
    <mergeCell ref="VDX20:VEQ20"/>
    <mergeCell ref="VER20:VFK20"/>
    <mergeCell ref="VFL20:VGE20"/>
    <mergeCell ref="VGF20:VGY20"/>
    <mergeCell ref="UXT20:UYM20"/>
    <mergeCell ref="UYN20:UZG20"/>
    <mergeCell ref="UZH20:VAA20"/>
    <mergeCell ref="VAB20:VAU20"/>
    <mergeCell ref="VAV20:VBO20"/>
    <mergeCell ref="VBP20:VCI20"/>
    <mergeCell ref="UTD20:UTW20"/>
    <mergeCell ref="UTX20:UUQ20"/>
    <mergeCell ref="UUR20:UVK20"/>
    <mergeCell ref="UVL20:UWE20"/>
    <mergeCell ref="UWF20:UWY20"/>
    <mergeCell ref="UWZ20:UXS20"/>
    <mergeCell ref="UON20:UPG20"/>
    <mergeCell ref="UPH20:UQA20"/>
    <mergeCell ref="UQB20:UQU20"/>
    <mergeCell ref="UQV20:URO20"/>
    <mergeCell ref="URP20:USI20"/>
    <mergeCell ref="USJ20:UTC20"/>
    <mergeCell ref="UJX20:UKQ20"/>
    <mergeCell ref="UKR20:ULK20"/>
    <mergeCell ref="ULL20:UME20"/>
    <mergeCell ref="UMF20:UMY20"/>
    <mergeCell ref="UMZ20:UNS20"/>
    <mergeCell ref="UNT20:UOM20"/>
    <mergeCell ref="UFH20:UGA20"/>
    <mergeCell ref="UGB20:UGU20"/>
    <mergeCell ref="UGV20:UHO20"/>
    <mergeCell ref="UHP20:UII20"/>
    <mergeCell ref="UIJ20:UJC20"/>
    <mergeCell ref="UJD20:UJW20"/>
    <mergeCell ref="UAR20:UBK20"/>
    <mergeCell ref="UBL20:UCE20"/>
    <mergeCell ref="UCF20:UCY20"/>
    <mergeCell ref="UCZ20:UDS20"/>
    <mergeCell ref="UDT20:UEM20"/>
    <mergeCell ref="UEN20:UFG20"/>
    <mergeCell ref="TWB20:TWU20"/>
    <mergeCell ref="TWV20:TXO20"/>
    <mergeCell ref="TXP20:TYI20"/>
    <mergeCell ref="TYJ20:TZC20"/>
    <mergeCell ref="TZD20:TZW20"/>
    <mergeCell ref="TZX20:UAQ20"/>
    <mergeCell ref="TRL20:TSE20"/>
    <mergeCell ref="TSF20:TSY20"/>
    <mergeCell ref="TSZ20:TTS20"/>
    <mergeCell ref="TTT20:TUM20"/>
    <mergeCell ref="TUN20:TVG20"/>
    <mergeCell ref="TVH20:TWA20"/>
    <mergeCell ref="TMV20:TNO20"/>
    <mergeCell ref="TNP20:TOI20"/>
    <mergeCell ref="TOJ20:TPC20"/>
    <mergeCell ref="TPD20:TPW20"/>
    <mergeCell ref="TPX20:TQQ20"/>
    <mergeCell ref="TQR20:TRK20"/>
    <mergeCell ref="TIF20:TIY20"/>
    <mergeCell ref="TIZ20:TJS20"/>
    <mergeCell ref="TJT20:TKM20"/>
    <mergeCell ref="TKN20:TLG20"/>
    <mergeCell ref="TLH20:TMA20"/>
    <mergeCell ref="TMB20:TMU20"/>
    <mergeCell ref="TDP20:TEI20"/>
    <mergeCell ref="TEJ20:TFC20"/>
    <mergeCell ref="TFD20:TFW20"/>
    <mergeCell ref="TFX20:TGQ20"/>
    <mergeCell ref="TGR20:THK20"/>
    <mergeCell ref="THL20:TIE20"/>
    <mergeCell ref="SYZ20:SZS20"/>
    <mergeCell ref="SZT20:TAM20"/>
    <mergeCell ref="TAN20:TBG20"/>
    <mergeCell ref="TBH20:TCA20"/>
    <mergeCell ref="TCB20:TCU20"/>
    <mergeCell ref="TCV20:TDO20"/>
    <mergeCell ref="SUJ20:SVC20"/>
    <mergeCell ref="SVD20:SVW20"/>
    <mergeCell ref="SVX20:SWQ20"/>
    <mergeCell ref="SWR20:SXK20"/>
    <mergeCell ref="SXL20:SYE20"/>
    <mergeCell ref="SYF20:SYY20"/>
    <mergeCell ref="SPT20:SQM20"/>
    <mergeCell ref="SQN20:SRG20"/>
    <mergeCell ref="SRH20:SSA20"/>
    <mergeCell ref="SSB20:SSU20"/>
    <mergeCell ref="SSV20:STO20"/>
    <mergeCell ref="STP20:SUI20"/>
    <mergeCell ref="SLD20:SLW20"/>
    <mergeCell ref="SLX20:SMQ20"/>
    <mergeCell ref="SMR20:SNK20"/>
    <mergeCell ref="SNL20:SOE20"/>
    <mergeCell ref="SOF20:SOY20"/>
    <mergeCell ref="SOZ20:SPS20"/>
    <mergeCell ref="SGN20:SHG20"/>
    <mergeCell ref="SHH20:SIA20"/>
    <mergeCell ref="SIB20:SIU20"/>
    <mergeCell ref="SIV20:SJO20"/>
    <mergeCell ref="SJP20:SKI20"/>
    <mergeCell ref="SKJ20:SLC20"/>
    <mergeCell ref="SBX20:SCQ20"/>
    <mergeCell ref="SCR20:SDK20"/>
    <mergeCell ref="SDL20:SEE20"/>
    <mergeCell ref="SEF20:SEY20"/>
    <mergeCell ref="SEZ20:SFS20"/>
    <mergeCell ref="SFT20:SGM20"/>
    <mergeCell ref="RXH20:RYA20"/>
    <mergeCell ref="RYB20:RYU20"/>
    <mergeCell ref="RYV20:RZO20"/>
    <mergeCell ref="RZP20:SAI20"/>
    <mergeCell ref="SAJ20:SBC20"/>
    <mergeCell ref="SBD20:SBW20"/>
    <mergeCell ref="RSR20:RTK20"/>
    <mergeCell ref="RTL20:RUE20"/>
    <mergeCell ref="RUF20:RUY20"/>
    <mergeCell ref="RUZ20:RVS20"/>
    <mergeCell ref="RVT20:RWM20"/>
    <mergeCell ref="RWN20:RXG20"/>
    <mergeCell ref="ROB20:ROU20"/>
    <mergeCell ref="ROV20:RPO20"/>
    <mergeCell ref="RPP20:RQI20"/>
    <mergeCell ref="RQJ20:RRC20"/>
    <mergeCell ref="RRD20:RRW20"/>
    <mergeCell ref="RRX20:RSQ20"/>
    <mergeCell ref="RJL20:RKE20"/>
    <mergeCell ref="RKF20:RKY20"/>
    <mergeCell ref="RKZ20:RLS20"/>
    <mergeCell ref="RLT20:RMM20"/>
    <mergeCell ref="RMN20:RNG20"/>
    <mergeCell ref="RNH20:ROA20"/>
    <mergeCell ref="REV20:RFO20"/>
    <mergeCell ref="RFP20:RGI20"/>
    <mergeCell ref="RGJ20:RHC20"/>
    <mergeCell ref="RHD20:RHW20"/>
    <mergeCell ref="RHX20:RIQ20"/>
    <mergeCell ref="RIR20:RJK20"/>
    <mergeCell ref="RAF20:RAY20"/>
    <mergeCell ref="RAZ20:RBS20"/>
    <mergeCell ref="RBT20:RCM20"/>
    <mergeCell ref="RCN20:RDG20"/>
    <mergeCell ref="RDH20:REA20"/>
    <mergeCell ref="REB20:REU20"/>
    <mergeCell ref="QVP20:QWI20"/>
    <mergeCell ref="QWJ20:QXC20"/>
    <mergeCell ref="QXD20:QXW20"/>
    <mergeCell ref="QXX20:QYQ20"/>
    <mergeCell ref="QYR20:QZK20"/>
    <mergeCell ref="QZL20:RAE20"/>
    <mergeCell ref="QQZ20:QRS20"/>
    <mergeCell ref="QRT20:QSM20"/>
    <mergeCell ref="QSN20:QTG20"/>
    <mergeCell ref="QTH20:QUA20"/>
    <mergeCell ref="QUB20:QUU20"/>
    <mergeCell ref="QUV20:QVO20"/>
    <mergeCell ref="QMJ20:QNC20"/>
    <mergeCell ref="QND20:QNW20"/>
    <mergeCell ref="QNX20:QOQ20"/>
    <mergeCell ref="QOR20:QPK20"/>
    <mergeCell ref="QPL20:QQE20"/>
    <mergeCell ref="QQF20:QQY20"/>
    <mergeCell ref="QHT20:QIM20"/>
    <mergeCell ref="QIN20:QJG20"/>
    <mergeCell ref="QJH20:QKA20"/>
    <mergeCell ref="QKB20:QKU20"/>
    <mergeCell ref="QKV20:QLO20"/>
    <mergeCell ref="QLP20:QMI20"/>
    <mergeCell ref="QDD20:QDW20"/>
    <mergeCell ref="QDX20:QEQ20"/>
    <mergeCell ref="QER20:QFK20"/>
    <mergeCell ref="QFL20:QGE20"/>
    <mergeCell ref="QGF20:QGY20"/>
    <mergeCell ref="QGZ20:QHS20"/>
    <mergeCell ref="PYN20:PZG20"/>
    <mergeCell ref="PZH20:QAA20"/>
    <mergeCell ref="QAB20:QAU20"/>
    <mergeCell ref="QAV20:QBO20"/>
    <mergeCell ref="QBP20:QCI20"/>
    <mergeCell ref="QCJ20:QDC20"/>
    <mergeCell ref="PTX20:PUQ20"/>
    <mergeCell ref="PUR20:PVK20"/>
    <mergeCell ref="PVL20:PWE20"/>
    <mergeCell ref="PWF20:PWY20"/>
    <mergeCell ref="PWZ20:PXS20"/>
    <mergeCell ref="PXT20:PYM20"/>
    <mergeCell ref="PPH20:PQA20"/>
    <mergeCell ref="PQB20:PQU20"/>
    <mergeCell ref="PQV20:PRO20"/>
    <mergeCell ref="PRP20:PSI20"/>
    <mergeCell ref="PSJ20:PTC20"/>
    <mergeCell ref="PTD20:PTW20"/>
    <mergeCell ref="PKR20:PLK20"/>
    <mergeCell ref="PLL20:PME20"/>
    <mergeCell ref="PMF20:PMY20"/>
    <mergeCell ref="PMZ20:PNS20"/>
    <mergeCell ref="PNT20:POM20"/>
    <mergeCell ref="PON20:PPG20"/>
    <mergeCell ref="PGB20:PGU20"/>
    <mergeCell ref="PGV20:PHO20"/>
    <mergeCell ref="PHP20:PII20"/>
    <mergeCell ref="PIJ20:PJC20"/>
    <mergeCell ref="PJD20:PJW20"/>
    <mergeCell ref="PJX20:PKQ20"/>
    <mergeCell ref="PBL20:PCE20"/>
    <mergeCell ref="PCF20:PCY20"/>
    <mergeCell ref="PCZ20:PDS20"/>
    <mergeCell ref="PDT20:PEM20"/>
    <mergeCell ref="PEN20:PFG20"/>
    <mergeCell ref="PFH20:PGA20"/>
    <mergeCell ref="OWV20:OXO20"/>
    <mergeCell ref="OXP20:OYI20"/>
    <mergeCell ref="OYJ20:OZC20"/>
    <mergeCell ref="OZD20:OZW20"/>
    <mergeCell ref="OZX20:PAQ20"/>
    <mergeCell ref="PAR20:PBK20"/>
    <mergeCell ref="OSF20:OSY20"/>
    <mergeCell ref="OSZ20:OTS20"/>
    <mergeCell ref="OTT20:OUM20"/>
    <mergeCell ref="OUN20:OVG20"/>
    <mergeCell ref="OVH20:OWA20"/>
    <mergeCell ref="OWB20:OWU20"/>
    <mergeCell ref="ONP20:OOI20"/>
    <mergeCell ref="OOJ20:OPC20"/>
    <mergeCell ref="OPD20:OPW20"/>
    <mergeCell ref="OPX20:OQQ20"/>
    <mergeCell ref="OQR20:ORK20"/>
    <mergeCell ref="ORL20:OSE20"/>
    <mergeCell ref="OIZ20:OJS20"/>
    <mergeCell ref="OJT20:OKM20"/>
    <mergeCell ref="OKN20:OLG20"/>
    <mergeCell ref="OLH20:OMA20"/>
    <mergeCell ref="OMB20:OMU20"/>
    <mergeCell ref="OMV20:ONO20"/>
    <mergeCell ref="OEJ20:OFC20"/>
    <mergeCell ref="OFD20:OFW20"/>
    <mergeCell ref="OFX20:OGQ20"/>
    <mergeCell ref="OGR20:OHK20"/>
    <mergeCell ref="OHL20:OIE20"/>
    <mergeCell ref="OIF20:OIY20"/>
    <mergeCell ref="NZT20:OAM20"/>
    <mergeCell ref="OAN20:OBG20"/>
    <mergeCell ref="OBH20:OCA20"/>
    <mergeCell ref="OCB20:OCU20"/>
    <mergeCell ref="OCV20:ODO20"/>
    <mergeCell ref="ODP20:OEI20"/>
    <mergeCell ref="NVD20:NVW20"/>
    <mergeCell ref="NVX20:NWQ20"/>
    <mergeCell ref="NWR20:NXK20"/>
    <mergeCell ref="NXL20:NYE20"/>
    <mergeCell ref="NYF20:NYY20"/>
    <mergeCell ref="NYZ20:NZS20"/>
    <mergeCell ref="NQN20:NRG20"/>
    <mergeCell ref="NRH20:NSA20"/>
    <mergeCell ref="NSB20:NSU20"/>
    <mergeCell ref="NSV20:NTO20"/>
    <mergeCell ref="NTP20:NUI20"/>
    <mergeCell ref="NUJ20:NVC20"/>
    <mergeCell ref="NLX20:NMQ20"/>
    <mergeCell ref="NMR20:NNK20"/>
    <mergeCell ref="NNL20:NOE20"/>
    <mergeCell ref="NOF20:NOY20"/>
    <mergeCell ref="NOZ20:NPS20"/>
    <mergeCell ref="NPT20:NQM20"/>
    <mergeCell ref="NHH20:NIA20"/>
    <mergeCell ref="NIB20:NIU20"/>
    <mergeCell ref="NIV20:NJO20"/>
    <mergeCell ref="NJP20:NKI20"/>
    <mergeCell ref="NKJ20:NLC20"/>
    <mergeCell ref="NLD20:NLW20"/>
    <mergeCell ref="NCR20:NDK20"/>
    <mergeCell ref="NDL20:NEE20"/>
    <mergeCell ref="NEF20:NEY20"/>
    <mergeCell ref="NEZ20:NFS20"/>
    <mergeCell ref="NFT20:NGM20"/>
    <mergeCell ref="NGN20:NHG20"/>
    <mergeCell ref="MYB20:MYU20"/>
    <mergeCell ref="MYV20:MZO20"/>
    <mergeCell ref="MZP20:NAI20"/>
    <mergeCell ref="NAJ20:NBC20"/>
    <mergeCell ref="NBD20:NBW20"/>
    <mergeCell ref="NBX20:NCQ20"/>
    <mergeCell ref="MTL20:MUE20"/>
    <mergeCell ref="MUF20:MUY20"/>
    <mergeCell ref="MUZ20:MVS20"/>
    <mergeCell ref="MVT20:MWM20"/>
    <mergeCell ref="MWN20:MXG20"/>
    <mergeCell ref="MXH20:MYA20"/>
    <mergeCell ref="MOV20:MPO20"/>
    <mergeCell ref="MPP20:MQI20"/>
    <mergeCell ref="MQJ20:MRC20"/>
    <mergeCell ref="MRD20:MRW20"/>
    <mergeCell ref="MRX20:MSQ20"/>
    <mergeCell ref="MSR20:MTK20"/>
    <mergeCell ref="MKF20:MKY20"/>
    <mergeCell ref="MKZ20:MLS20"/>
    <mergeCell ref="MLT20:MMM20"/>
    <mergeCell ref="MMN20:MNG20"/>
    <mergeCell ref="MNH20:MOA20"/>
    <mergeCell ref="MOB20:MOU20"/>
    <mergeCell ref="MFP20:MGI20"/>
    <mergeCell ref="MGJ20:MHC20"/>
    <mergeCell ref="MHD20:MHW20"/>
    <mergeCell ref="MHX20:MIQ20"/>
    <mergeCell ref="MIR20:MJK20"/>
    <mergeCell ref="MJL20:MKE20"/>
    <mergeCell ref="MAZ20:MBS20"/>
    <mergeCell ref="MBT20:MCM20"/>
    <mergeCell ref="MCN20:MDG20"/>
    <mergeCell ref="MDH20:MEA20"/>
    <mergeCell ref="MEB20:MEU20"/>
    <mergeCell ref="MEV20:MFO20"/>
    <mergeCell ref="LWJ20:LXC20"/>
    <mergeCell ref="LXD20:LXW20"/>
    <mergeCell ref="LXX20:LYQ20"/>
    <mergeCell ref="LYR20:LZK20"/>
    <mergeCell ref="LZL20:MAE20"/>
    <mergeCell ref="MAF20:MAY20"/>
    <mergeCell ref="LRT20:LSM20"/>
    <mergeCell ref="LSN20:LTG20"/>
    <mergeCell ref="LTH20:LUA20"/>
    <mergeCell ref="LUB20:LUU20"/>
    <mergeCell ref="LUV20:LVO20"/>
    <mergeCell ref="LVP20:LWI20"/>
    <mergeCell ref="LND20:LNW20"/>
    <mergeCell ref="LNX20:LOQ20"/>
    <mergeCell ref="LOR20:LPK20"/>
    <mergeCell ref="LPL20:LQE20"/>
    <mergeCell ref="LQF20:LQY20"/>
    <mergeCell ref="LQZ20:LRS20"/>
    <mergeCell ref="LIN20:LJG20"/>
    <mergeCell ref="LJH20:LKA20"/>
    <mergeCell ref="LKB20:LKU20"/>
    <mergeCell ref="LKV20:LLO20"/>
    <mergeCell ref="LLP20:LMI20"/>
    <mergeCell ref="LMJ20:LNC20"/>
    <mergeCell ref="LDX20:LEQ20"/>
    <mergeCell ref="LER20:LFK20"/>
    <mergeCell ref="LFL20:LGE20"/>
    <mergeCell ref="LGF20:LGY20"/>
    <mergeCell ref="LGZ20:LHS20"/>
    <mergeCell ref="LHT20:LIM20"/>
    <mergeCell ref="KZH20:LAA20"/>
    <mergeCell ref="LAB20:LAU20"/>
    <mergeCell ref="LAV20:LBO20"/>
    <mergeCell ref="LBP20:LCI20"/>
    <mergeCell ref="LCJ20:LDC20"/>
    <mergeCell ref="LDD20:LDW20"/>
    <mergeCell ref="KUR20:KVK20"/>
    <mergeCell ref="KVL20:KWE20"/>
    <mergeCell ref="KWF20:KWY20"/>
    <mergeCell ref="KWZ20:KXS20"/>
    <mergeCell ref="KXT20:KYM20"/>
    <mergeCell ref="KYN20:KZG20"/>
    <mergeCell ref="KQB20:KQU20"/>
    <mergeCell ref="KQV20:KRO20"/>
    <mergeCell ref="KRP20:KSI20"/>
    <mergeCell ref="KSJ20:KTC20"/>
    <mergeCell ref="KTD20:KTW20"/>
    <mergeCell ref="KTX20:KUQ20"/>
    <mergeCell ref="KLL20:KME20"/>
    <mergeCell ref="KMF20:KMY20"/>
    <mergeCell ref="KMZ20:KNS20"/>
    <mergeCell ref="KNT20:KOM20"/>
    <mergeCell ref="KON20:KPG20"/>
    <mergeCell ref="KPH20:KQA20"/>
    <mergeCell ref="KGV20:KHO20"/>
    <mergeCell ref="KHP20:KII20"/>
    <mergeCell ref="KIJ20:KJC20"/>
    <mergeCell ref="KJD20:KJW20"/>
    <mergeCell ref="KJX20:KKQ20"/>
    <mergeCell ref="KKR20:KLK20"/>
    <mergeCell ref="KCF20:KCY20"/>
    <mergeCell ref="KCZ20:KDS20"/>
    <mergeCell ref="KDT20:KEM20"/>
    <mergeCell ref="KEN20:KFG20"/>
    <mergeCell ref="KFH20:KGA20"/>
    <mergeCell ref="KGB20:KGU20"/>
    <mergeCell ref="JXP20:JYI20"/>
    <mergeCell ref="JYJ20:JZC20"/>
    <mergeCell ref="JZD20:JZW20"/>
    <mergeCell ref="JZX20:KAQ20"/>
    <mergeCell ref="KAR20:KBK20"/>
    <mergeCell ref="KBL20:KCE20"/>
    <mergeCell ref="JSZ20:JTS20"/>
    <mergeCell ref="JTT20:JUM20"/>
    <mergeCell ref="JUN20:JVG20"/>
    <mergeCell ref="JVH20:JWA20"/>
    <mergeCell ref="JWB20:JWU20"/>
    <mergeCell ref="JWV20:JXO20"/>
    <mergeCell ref="JOJ20:JPC20"/>
    <mergeCell ref="JPD20:JPW20"/>
    <mergeCell ref="JPX20:JQQ20"/>
    <mergeCell ref="JQR20:JRK20"/>
    <mergeCell ref="JRL20:JSE20"/>
    <mergeCell ref="JSF20:JSY20"/>
    <mergeCell ref="JJT20:JKM20"/>
    <mergeCell ref="JKN20:JLG20"/>
    <mergeCell ref="JLH20:JMA20"/>
    <mergeCell ref="JMB20:JMU20"/>
    <mergeCell ref="JMV20:JNO20"/>
    <mergeCell ref="JNP20:JOI20"/>
    <mergeCell ref="JFD20:JFW20"/>
    <mergeCell ref="JFX20:JGQ20"/>
    <mergeCell ref="JGR20:JHK20"/>
    <mergeCell ref="JHL20:JIE20"/>
    <mergeCell ref="JIF20:JIY20"/>
    <mergeCell ref="JIZ20:JJS20"/>
    <mergeCell ref="JAN20:JBG20"/>
    <mergeCell ref="JBH20:JCA20"/>
    <mergeCell ref="JCB20:JCU20"/>
    <mergeCell ref="JCV20:JDO20"/>
    <mergeCell ref="JDP20:JEI20"/>
    <mergeCell ref="JEJ20:JFC20"/>
    <mergeCell ref="IVX20:IWQ20"/>
    <mergeCell ref="IWR20:IXK20"/>
    <mergeCell ref="IXL20:IYE20"/>
    <mergeCell ref="IYF20:IYY20"/>
    <mergeCell ref="IYZ20:IZS20"/>
    <mergeCell ref="IZT20:JAM20"/>
    <mergeCell ref="IRH20:ISA20"/>
    <mergeCell ref="ISB20:ISU20"/>
    <mergeCell ref="ISV20:ITO20"/>
    <mergeCell ref="ITP20:IUI20"/>
    <mergeCell ref="IUJ20:IVC20"/>
    <mergeCell ref="IVD20:IVW20"/>
    <mergeCell ref="IMR20:INK20"/>
    <mergeCell ref="INL20:IOE20"/>
    <mergeCell ref="IOF20:IOY20"/>
    <mergeCell ref="IOZ20:IPS20"/>
    <mergeCell ref="IPT20:IQM20"/>
    <mergeCell ref="IQN20:IRG20"/>
    <mergeCell ref="IIB20:IIU20"/>
    <mergeCell ref="IIV20:IJO20"/>
    <mergeCell ref="IJP20:IKI20"/>
    <mergeCell ref="IKJ20:ILC20"/>
    <mergeCell ref="ILD20:ILW20"/>
    <mergeCell ref="ILX20:IMQ20"/>
    <mergeCell ref="IDL20:IEE20"/>
    <mergeCell ref="IEF20:IEY20"/>
    <mergeCell ref="IEZ20:IFS20"/>
    <mergeCell ref="IFT20:IGM20"/>
    <mergeCell ref="IGN20:IHG20"/>
    <mergeCell ref="IHH20:IIA20"/>
    <mergeCell ref="HYV20:HZO20"/>
    <mergeCell ref="HZP20:IAI20"/>
    <mergeCell ref="IAJ20:IBC20"/>
    <mergeCell ref="IBD20:IBW20"/>
    <mergeCell ref="IBX20:ICQ20"/>
    <mergeCell ref="ICR20:IDK20"/>
    <mergeCell ref="HUF20:HUY20"/>
    <mergeCell ref="HUZ20:HVS20"/>
    <mergeCell ref="HVT20:HWM20"/>
    <mergeCell ref="HWN20:HXG20"/>
    <mergeCell ref="HXH20:HYA20"/>
    <mergeCell ref="HYB20:HYU20"/>
    <mergeCell ref="HPP20:HQI20"/>
    <mergeCell ref="HQJ20:HRC20"/>
    <mergeCell ref="HRD20:HRW20"/>
    <mergeCell ref="HRX20:HSQ20"/>
    <mergeCell ref="HSR20:HTK20"/>
    <mergeCell ref="HTL20:HUE20"/>
    <mergeCell ref="HKZ20:HLS20"/>
    <mergeCell ref="HLT20:HMM20"/>
    <mergeCell ref="HMN20:HNG20"/>
    <mergeCell ref="HNH20:HOA20"/>
    <mergeCell ref="HOB20:HOU20"/>
    <mergeCell ref="HOV20:HPO20"/>
    <mergeCell ref="HGJ20:HHC20"/>
    <mergeCell ref="HHD20:HHW20"/>
    <mergeCell ref="HHX20:HIQ20"/>
    <mergeCell ref="HIR20:HJK20"/>
    <mergeCell ref="HJL20:HKE20"/>
    <mergeCell ref="HKF20:HKY20"/>
    <mergeCell ref="HBT20:HCM20"/>
    <mergeCell ref="HCN20:HDG20"/>
    <mergeCell ref="HDH20:HEA20"/>
    <mergeCell ref="HEB20:HEU20"/>
    <mergeCell ref="HEV20:HFO20"/>
    <mergeCell ref="HFP20:HGI20"/>
    <mergeCell ref="GXD20:GXW20"/>
    <mergeCell ref="GXX20:GYQ20"/>
    <mergeCell ref="GYR20:GZK20"/>
    <mergeCell ref="GZL20:HAE20"/>
    <mergeCell ref="HAF20:HAY20"/>
    <mergeCell ref="HAZ20:HBS20"/>
    <mergeCell ref="GSN20:GTG20"/>
    <mergeCell ref="GTH20:GUA20"/>
    <mergeCell ref="GUB20:GUU20"/>
    <mergeCell ref="GUV20:GVO20"/>
    <mergeCell ref="GVP20:GWI20"/>
    <mergeCell ref="GWJ20:GXC20"/>
    <mergeCell ref="GNX20:GOQ20"/>
    <mergeCell ref="GOR20:GPK20"/>
    <mergeCell ref="GPL20:GQE20"/>
    <mergeCell ref="GQF20:GQY20"/>
    <mergeCell ref="GQZ20:GRS20"/>
    <mergeCell ref="GRT20:GSM20"/>
    <mergeCell ref="GJH20:GKA20"/>
    <mergeCell ref="GKB20:GKU20"/>
    <mergeCell ref="GKV20:GLO20"/>
    <mergeCell ref="GLP20:GMI20"/>
    <mergeCell ref="GMJ20:GNC20"/>
    <mergeCell ref="GND20:GNW20"/>
    <mergeCell ref="GER20:GFK20"/>
    <mergeCell ref="GFL20:GGE20"/>
    <mergeCell ref="GGF20:GGY20"/>
    <mergeCell ref="GGZ20:GHS20"/>
    <mergeCell ref="GHT20:GIM20"/>
    <mergeCell ref="GIN20:GJG20"/>
    <mergeCell ref="GAB20:GAU20"/>
    <mergeCell ref="GAV20:GBO20"/>
    <mergeCell ref="GBP20:GCI20"/>
    <mergeCell ref="GCJ20:GDC20"/>
    <mergeCell ref="GDD20:GDW20"/>
    <mergeCell ref="GDX20:GEQ20"/>
    <mergeCell ref="FVL20:FWE20"/>
    <mergeCell ref="FWF20:FWY20"/>
    <mergeCell ref="FWZ20:FXS20"/>
    <mergeCell ref="FXT20:FYM20"/>
    <mergeCell ref="FYN20:FZG20"/>
    <mergeCell ref="FZH20:GAA20"/>
    <mergeCell ref="FQV20:FRO20"/>
    <mergeCell ref="FRP20:FSI20"/>
    <mergeCell ref="FSJ20:FTC20"/>
    <mergeCell ref="FTD20:FTW20"/>
    <mergeCell ref="FTX20:FUQ20"/>
    <mergeCell ref="FUR20:FVK20"/>
    <mergeCell ref="FMF20:FMY20"/>
    <mergeCell ref="FMZ20:FNS20"/>
    <mergeCell ref="FNT20:FOM20"/>
    <mergeCell ref="FON20:FPG20"/>
    <mergeCell ref="FPH20:FQA20"/>
    <mergeCell ref="FQB20:FQU20"/>
    <mergeCell ref="FHP20:FII20"/>
    <mergeCell ref="FIJ20:FJC20"/>
    <mergeCell ref="FJD20:FJW20"/>
    <mergeCell ref="FJX20:FKQ20"/>
    <mergeCell ref="FKR20:FLK20"/>
    <mergeCell ref="FLL20:FME20"/>
    <mergeCell ref="FCZ20:FDS20"/>
    <mergeCell ref="FDT20:FEM20"/>
    <mergeCell ref="FEN20:FFG20"/>
    <mergeCell ref="FFH20:FGA20"/>
    <mergeCell ref="FGB20:FGU20"/>
    <mergeCell ref="FGV20:FHO20"/>
    <mergeCell ref="EYJ20:EZC20"/>
    <mergeCell ref="EZD20:EZW20"/>
    <mergeCell ref="EZX20:FAQ20"/>
    <mergeCell ref="FAR20:FBK20"/>
    <mergeCell ref="FBL20:FCE20"/>
    <mergeCell ref="FCF20:FCY20"/>
    <mergeCell ref="ETT20:EUM20"/>
    <mergeCell ref="EUN20:EVG20"/>
    <mergeCell ref="EVH20:EWA20"/>
    <mergeCell ref="EWB20:EWU20"/>
    <mergeCell ref="EWV20:EXO20"/>
    <mergeCell ref="EXP20:EYI20"/>
    <mergeCell ref="EPD20:EPW20"/>
    <mergeCell ref="EPX20:EQQ20"/>
    <mergeCell ref="EQR20:ERK20"/>
    <mergeCell ref="ERL20:ESE20"/>
    <mergeCell ref="ESF20:ESY20"/>
    <mergeCell ref="ESZ20:ETS20"/>
    <mergeCell ref="EKN20:ELG20"/>
    <mergeCell ref="ELH20:EMA20"/>
    <mergeCell ref="EMB20:EMU20"/>
    <mergeCell ref="EMV20:ENO20"/>
    <mergeCell ref="ENP20:EOI20"/>
    <mergeCell ref="EOJ20:EPC20"/>
    <mergeCell ref="EFX20:EGQ20"/>
    <mergeCell ref="EGR20:EHK20"/>
    <mergeCell ref="EHL20:EIE20"/>
    <mergeCell ref="EIF20:EIY20"/>
    <mergeCell ref="EIZ20:EJS20"/>
    <mergeCell ref="EJT20:EKM20"/>
    <mergeCell ref="EBH20:ECA20"/>
    <mergeCell ref="ECB20:ECU20"/>
    <mergeCell ref="ECV20:EDO20"/>
    <mergeCell ref="EDP20:EEI20"/>
    <mergeCell ref="EEJ20:EFC20"/>
    <mergeCell ref="EFD20:EFW20"/>
    <mergeCell ref="DWR20:DXK20"/>
    <mergeCell ref="DXL20:DYE20"/>
    <mergeCell ref="DYF20:DYY20"/>
    <mergeCell ref="DYZ20:DZS20"/>
    <mergeCell ref="DZT20:EAM20"/>
    <mergeCell ref="EAN20:EBG20"/>
    <mergeCell ref="DSB20:DSU20"/>
    <mergeCell ref="DSV20:DTO20"/>
    <mergeCell ref="DTP20:DUI20"/>
    <mergeCell ref="DUJ20:DVC20"/>
    <mergeCell ref="DVD20:DVW20"/>
    <mergeCell ref="DVX20:DWQ20"/>
    <mergeCell ref="DNL20:DOE20"/>
    <mergeCell ref="DOF20:DOY20"/>
    <mergeCell ref="DOZ20:DPS20"/>
    <mergeCell ref="DPT20:DQM20"/>
    <mergeCell ref="DQN20:DRG20"/>
    <mergeCell ref="DRH20:DSA20"/>
    <mergeCell ref="DIV20:DJO20"/>
    <mergeCell ref="DJP20:DKI20"/>
    <mergeCell ref="DKJ20:DLC20"/>
    <mergeCell ref="DLD20:DLW20"/>
    <mergeCell ref="DLX20:DMQ20"/>
    <mergeCell ref="DMR20:DNK20"/>
    <mergeCell ref="DEF20:DEY20"/>
    <mergeCell ref="DEZ20:DFS20"/>
    <mergeCell ref="DFT20:DGM20"/>
    <mergeCell ref="DGN20:DHG20"/>
    <mergeCell ref="DHH20:DIA20"/>
    <mergeCell ref="DIB20:DIU20"/>
    <mergeCell ref="CZP20:DAI20"/>
    <mergeCell ref="DAJ20:DBC20"/>
    <mergeCell ref="DBD20:DBW20"/>
    <mergeCell ref="DBX20:DCQ20"/>
    <mergeCell ref="DCR20:DDK20"/>
    <mergeCell ref="DDL20:DEE20"/>
    <mergeCell ref="CUZ20:CVS20"/>
    <mergeCell ref="CVT20:CWM20"/>
    <mergeCell ref="CWN20:CXG20"/>
    <mergeCell ref="CXH20:CYA20"/>
    <mergeCell ref="CYB20:CYU20"/>
    <mergeCell ref="CYV20:CZO20"/>
    <mergeCell ref="CQJ20:CRC20"/>
    <mergeCell ref="CRD20:CRW20"/>
    <mergeCell ref="CRX20:CSQ20"/>
    <mergeCell ref="CSR20:CTK20"/>
    <mergeCell ref="CTL20:CUE20"/>
    <mergeCell ref="CUF20:CUY20"/>
    <mergeCell ref="CLT20:CMM20"/>
    <mergeCell ref="CMN20:CNG20"/>
    <mergeCell ref="CNH20:COA20"/>
    <mergeCell ref="COB20:COU20"/>
    <mergeCell ref="COV20:CPO20"/>
    <mergeCell ref="CPP20:CQI20"/>
    <mergeCell ref="CHD20:CHW20"/>
    <mergeCell ref="CHX20:CIQ20"/>
    <mergeCell ref="CIR20:CJK20"/>
    <mergeCell ref="CJL20:CKE20"/>
    <mergeCell ref="CKF20:CKY20"/>
    <mergeCell ref="CKZ20:CLS20"/>
    <mergeCell ref="CCN20:CDG20"/>
    <mergeCell ref="CDH20:CEA20"/>
    <mergeCell ref="CEB20:CEU20"/>
    <mergeCell ref="CEV20:CFO20"/>
    <mergeCell ref="CFP20:CGI20"/>
    <mergeCell ref="CGJ20:CHC20"/>
    <mergeCell ref="BXX20:BYQ20"/>
    <mergeCell ref="BYR20:BZK20"/>
    <mergeCell ref="BZL20:CAE20"/>
    <mergeCell ref="CAF20:CAY20"/>
    <mergeCell ref="CAZ20:CBS20"/>
    <mergeCell ref="CBT20:CCM20"/>
    <mergeCell ref="BTH20:BUA20"/>
    <mergeCell ref="BUB20:BUU20"/>
    <mergeCell ref="BUV20:BVO20"/>
    <mergeCell ref="BVP20:BWI20"/>
    <mergeCell ref="BWJ20:BXC20"/>
    <mergeCell ref="BXD20:BXW20"/>
    <mergeCell ref="BOR20:BPK20"/>
    <mergeCell ref="BPL20:BQE20"/>
    <mergeCell ref="BQF20:BQY20"/>
    <mergeCell ref="BQZ20:BRS20"/>
    <mergeCell ref="BRT20:BSM20"/>
    <mergeCell ref="BSN20:BTG20"/>
    <mergeCell ref="BKB20:BKU20"/>
    <mergeCell ref="BKV20:BLO20"/>
    <mergeCell ref="BLP20:BMI20"/>
    <mergeCell ref="BMJ20:BNC20"/>
    <mergeCell ref="BND20:BNW20"/>
    <mergeCell ref="BNX20:BOQ20"/>
    <mergeCell ref="BFL20:BGE20"/>
    <mergeCell ref="BGF20:BGY20"/>
    <mergeCell ref="BGZ20:BHS20"/>
    <mergeCell ref="BHT20:BIM20"/>
    <mergeCell ref="BIN20:BJG20"/>
    <mergeCell ref="BJH20:BKA20"/>
    <mergeCell ref="BAV20:BBO20"/>
    <mergeCell ref="BBP20:BCI20"/>
    <mergeCell ref="BCJ20:BDC20"/>
    <mergeCell ref="BDD20:BDW20"/>
    <mergeCell ref="BDX20:BEQ20"/>
    <mergeCell ref="BER20:BFK20"/>
    <mergeCell ref="AWF20:AWY20"/>
    <mergeCell ref="AWZ20:AXS20"/>
    <mergeCell ref="AXT20:AYM20"/>
    <mergeCell ref="AYN20:AZG20"/>
    <mergeCell ref="AZH20:BAA20"/>
    <mergeCell ref="BAB20:BAU20"/>
    <mergeCell ref="ARP20:ASI20"/>
    <mergeCell ref="ASJ20:ATC20"/>
    <mergeCell ref="ATD20:ATW20"/>
    <mergeCell ref="ATX20:AUQ20"/>
    <mergeCell ref="AUR20:AVK20"/>
    <mergeCell ref="AVL20:AWE20"/>
    <mergeCell ref="AMZ20:ANS20"/>
    <mergeCell ref="ANT20:AOM20"/>
    <mergeCell ref="AON20:APG20"/>
    <mergeCell ref="APH20:AQA20"/>
    <mergeCell ref="AQB20:AQU20"/>
    <mergeCell ref="AQV20:ARO20"/>
    <mergeCell ref="AIJ20:AJC20"/>
    <mergeCell ref="AJD20:AJW20"/>
    <mergeCell ref="AJX20:AKQ20"/>
    <mergeCell ref="AKR20:ALK20"/>
    <mergeCell ref="ALL20:AME20"/>
    <mergeCell ref="AMF20:AMY20"/>
    <mergeCell ref="ADT20:AEM20"/>
    <mergeCell ref="AEN20:AFG20"/>
    <mergeCell ref="AFH20:AGA20"/>
    <mergeCell ref="AGB20:AGU20"/>
    <mergeCell ref="AGV20:AHO20"/>
    <mergeCell ref="AHP20:AII20"/>
    <mergeCell ref="ZD20:ZW20"/>
    <mergeCell ref="ZX20:AAQ20"/>
    <mergeCell ref="AAR20:ABK20"/>
    <mergeCell ref="ABL20:ACE20"/>
    <mergeCell ref="ACF20:ACY20"/>
    <mergeCell ref="ACZ20:ADS20"/>
    <mergeCell ref="UN20:VG20"/>
    <mergeCell ref="VH20:WA20"/>
    <mergeCell ref="WB20:WU20"/>
    <mergeCell ref="WV20:XO20"/>
    <mergeCell ref="XP20:YI20"/>
    <mergeCell ref="YJ20:ZC20"/>
    <mergeCell ref="PX20:QQ20"/>
    <mergeCell ref="QR20:RK20"/>
    <mergeCell ref="RL20:SE20"/>
    <mergeCell ref="SF20:SY20"/>
    <mergeCell ref="SZ20:TS20"/>
    <mergeCell ref="TT20:UM20"/>
    <mergeCell ref="LH20:MA20"/>
    <mergeCell ref="MB20:MU20"/>
    <mergeCell ref="MV20:NO20"/>
    <mergeCell ref="NP20:OI20"/>
    <mergeCell ref="OJ20:PC20"/>
    <mergeCell ref="PD20:PW20"/>
    <mergeCell ref="GR20:HK20"/>
    <mergeCell ref="HL20:IE20"/>
    <mergeCell ref="IF20:IY20"/>
    <mergeCell ref="IZ20:JS20"/>
    <mergeCell ref="JT20:KM20"/>
    <mergeCell ref="KN20:LG20"/>
    <mergeCell ref="CB20:CU20"/>
    <mergeCell ref="CV20:DO20"/>
    <mergeCell ref="DP20:EI20"/>
    <mergeCell ref="EJ20:FC20"/>
    <mergeCell ref="FD20:FW20"/>
    <mergeCell ref="FX20:GQ20"/>
    <mergeCell ref="S14:S18"/>
    <mergeCell ref="B19:S19"/>
    <mergeCell ref="A20:S20"/>
    <mergeCell ref="T20:AM20"/>
    <mergeCell ref="AN20:BG20"/>
    <mergeCell ref="BH20:CA20"/>
    <mergeCell ref="A13:S13"/>
    <mergeCell ref="A14:A19"/>
    <mergeCell ref="B14:B18"/>
    <mergeCell ref="C14:C18"/>
    <mergeCell ref="D14:D18"/>
    <mergeCell ref="E14:E18"/>
    <mergeCell ref="F14:F18"/>
    <mergeCell ref="O14:O18"/>
    <mergeCell ref="P14:P18"/>
    <mergeCell ref="R14:R18"/>
    <mergeCell ref="O7:O11"/>
    <mergeCell ref="P7:P11"/>
    <mergeCell ref="Q7:Q11"/>
    <mergeCell ref="R7:R11"/>
    <mergeCell ref="S7:S11"/>
    <mergeCell ref="B12:S12"/>
    <mergeCell ref="A7:A12"/>
    <mergeCell ref="B7:B11"/>
    <mergeCell ref="C7:C11"/>
    <mergeCell ref="D7:D11"/>
    <mergeCell ref="E7:E11"/>
    <mergeCell ref="F7:F11"/>
    <mergeCell ref="A1:A5"/>
    <mergeCell ref="B1:S1"/>
    <mergeCell ref="B2:S2"/>
    <mergeCell ref="B3:S3"/>
    <mergeCell ref="B4:S4"/>
    <mergeCell ref="A6:S6"/>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37B39-2431-41B5-BA08-62F37D897D9F}">
  <sheetPr>
    <pageSetUpPr fitToPage="1"/>
  </sheetPr>
  <dimension ref="A1:O41"/>
  <sheetViews>
    <sheetView rightToLeft="1" zoomScale="112" zoomScaleNormal="112" zoomScaleSheetLayoutView="80" workbookViewId="0">
      <pane ySplit="6" topLeftCell="A34" activePane="bottomLeft" state="frozen"/>
      <selection pane="bottomLeft" activeCell="A41" sqref="A41:XFD41"/>
    </sheetView>
  </sheetViews>
  <sheetFormatPr defaultColWidth="8.75" defaultRowHeight="15" x14ac:dyDescent="0.2"/>
  <cols>
    <col min="1" max="1" width="4.25" customWidth="1"/>
    <col min="2" max="2" width="21.125" bestFit="1" customWidth="1"/>
    <col min="4" max="4" width="7.25" customWidth="1"/>
    <col min="5" max="5" width="7.75" customWidth="1"/>
    <col min="6" max="6" width="10.25" bestFit="1" customWidth="1"/>
    <col min="7" max="7" width="12.125" style="7" bestFit="1" customWidth="1"/>
    <col min="8" max="8" width="13.625" style="8" bestFit="1" customWidth="1"/>
    <col min="9" max="9" width="16" style="8" bestFit="1" customWidth="1"/>
    <col min="10" max="10" width="9" customWidth="1"/>
    <col min="11" max="11" width="12.875" style="9" customWidth="1"/>
    <col min="12" max="12" width="19.375" style="9" customWidth="1"/>
    <col min="13" max="13" width="15" style="9" customWidth="1"/>
    <col min="14" max="14" width="10.875" style="247" customWidth="1"/>
    <col min="15" max="15" width="13" style="11" customWidth="1"/>
  </cols>
  <sheetData>
    <row r="1" spans="1:15" ht="20.25" x14ac:dyDescent="0.2">
      <c r="A1" s="571"/>
      <c r="B1" s="572" t="s">
        <v>812</v>
      </c>
      <c r="C1" s="572"/>
      <c r="D1" s="572"/>
      <c r="E1" s="572"/>
      <c r="F1" s="572"/>
      <c r="G1" s="572"/>
      <c r="H1" s="572"/>
      <c r="I1" s="572"/>
      <c r="J1" s="572"/>
      <c r="K1" s="572"/>
      <c r="L1" s="572"/>
      <c r="M1" s="572"/>
      <c r="N1" s="572"/>
      <c r="O1" s="572"/>
    </row>
    <row r="2" spans="1:15" ht="14.25" x14ac:dyDescent="0.2">
      <c r="A2" s="571"/>
      <c r="B2" s="573" t="s">
        <v>792</v>
      </c>
      <c r="C2" s="573"/>
      <c r="D2" s="573"/>
      <c r="E2" s="573"/>
      <c r="F2" s="573"/>
      <c r="G2" s="573"/>
      <c r="H2" s="573"/>
      <c r="I2" s="573"/>
      <c r="J2" s="573"/>
      <c r="K2" s="573"/>
      <c r="L2" s="573"/>
      <c r="M2" s="573"/>
      <c r="N2" s="573"/>
      <c r="O2" s="573"/>
    </row>
    <row r="3" spans="1:15" ht="15.75" x14ac:dyDescent="0.2">
      <c r="A3" s="571"/>
      <c r="B3" s="574" t="s">
        <v>795</v>
      </c>
      <c r="C3" s="574"/>
      <c r="D3" s="574"/>
      <c r="E3" s="574"/>
      <c r="F3" s="574"/>
      <c r="G3" s="574"/>
      <c r="H3" s="574"/>
      <c r="I3" s="574"/>
      <c r="J3" s="574"/>
      <c r="K3" s="574"/>
      <c r="L3" s="574"/>
      <c r="M3" s="574"/>
      <c r="N3" s="574"/>
      <c r="O3" s="574"/>
    </row>
    <row r="4" spans="1:15" ht="14.25" x14ac:dyDescent="0.2">
      <c r="A4" s="571"/>
      <c r="B4" s="575" t="s">
        <v>52</v>
      </c>
      <c r="C4" s="575"/>
      <c r="D4" s="575"/>
      <c r="E4" s="575"/>
      <c r="F4" s="575"/>
      <c r="G4" s="575"/>
      <c r="H4" s="575"/>
      <c r="I4" s="575"/>
      <c r="J4" s="575"/>
      <c r="K4" s="575"/>
      <c r="L4" s="575"/>
      <c r="M4" s="575"/>
      <c r="N4" s="575"/>
      <c r="O4" s="575"/>
    </row>
    <row r="5" spans="1:15" ht="14.25" x14ac:dyDescent="0.2">
      <c r="A5" s="571"/>
      <c r="B5" s="575" t="s">
        <v>51</v>
      </c>
      <c r="C5" s="575"/>
      <c r="D5" s="575"/>
      <c r="E5" s="575"/>
      <c r="F5" s="575"/>
      <c r="G5" s="575"/>
      <c r="H5" s="575"/>
      <c r="I5" s="575"/>
      <c r="J5" s="575"/>
      <c r="K5" s="575"/>
      <c r="L5" s="575"/>
      <c r="M5" s="575"/>
      <c r="N5" s="575"/>
      <c r="O5" s="575"/>
    </row>
    <row r="6" spans="1:15" ht="46.5" customHeight="1" x14ac:dyDescent="0.2">
      <c r="A6" s="571"/>
      <c r="B6" s="220" t="s">
        <v>0</v>
      </c>
      <c r="C6" s="220" t="s">
        <v>1</v>
      </c>
      <c r="D6" s="222" t="s">
        <v>2</v>
      </c>
      <c r="E6" s="222" t="s">
        <v>3</v>
      </c>
      <c r="F6" s="222" t="s">
        <v>4</v>
      </c>
      <c r="G6" s="222" t="s">
        <v>5</v>
      </c>
      <c r="H6" s="2" t="s">
        <v>6</v>
      </c>
      <c r="I6" s="3" t="s">
        <v>7</v>
      </c>
      <c r="J6" s="222" t="s">
        <v>8</v>
      </c>
      <c r="K6" s="222" t="s">
        <v>9</v>
      </c>
      <c r="L6" s="222" t="s">
        <v>95</v>
      </c>
      <c r="M6" s="223" t="s">
        <v>729</v>
      </c>
      <c r="N6" s="222" t="s">
        <v>10</v>
      </c>
      <c r="O6" s="222" t="s">
        <v>11</v>
      </c>
    </row>
    <row r="7" spans="1:15" ht="15.75" x14ac:dyDescent="0.2">
      <c r="A7" s="665" t="s">
        <v>814</v>
      </c>
      <c r="B7" s="665"/>
      <c r="C7" s="665"/>
      <c r="D7" s="665"/>
      <c r="E7" s="665"/>
      <c r="F7" s="665"/>
      <c r="G7" s="665"/>
      <c r="H7" s="665"/>
      <c r="I7" s="665"/>
      <c r="J7" s="665"/>
      <c r="K7" s="665"/>
      <c r="L7" s="665"/>
      <c r="M7" s="665"/>
      <c r="N7" s="665"/>
      <c r="O7" s="665"/>
    </row>
    <row r="8" spans="1:15" ht="25.5" customHeight="1" x14ac:dyDescent="0.2">
      <c r="A8" s="558">
        <v>1</v>
      </c>
      <c r="B8" s="559" t="s">
        <v>110</v>
      </c>
      <c r="C8" s="559" t="s">
        <v>813</v>
      </c>
      <c r="D8" s="286" t="s">
        <v>839</v>
      </c>
      <c r="E8" s="287">
        <v>100</v>
      </c>
      <c r="F8" s="288" t="s">
        <v>12</v>
      </c>
      <c r="G8" s="289" t="s">
        <v>111</v>
      </c>
      <c r="H8" s="290">
        <f>150</f>
        <v>150</v>
      </c>
      <c r="I8" s="290">
        <f>H8*12*4*10</f>
        <v>72000</v>
      </c>
      <c r="J8" s="286" t="s">
        <v>13</v>
      </c>
      <c r="K8" s="560" t="s">
        <v>86</v>
      </c>
      <c r="L8" s="560" t="s">
        <v>838</v>
      </c>
      <c r="M8" s="684">
        <f>I8</f>
        <v>72000</v>
      </c>
      <c r="N8" s="685"/>
      <c r="O8" s="663">
        <v>1812200750</v>
      </c>
    </row>
    <row r="9" spans="1:15" ht="25.5" customHeight="1" x14ac:dyDescent="0.2">
      <c r="A9" s="558"/>
      <c r="B9" s="559"/>
      <c r="C9" s="559"/>
      <c r="D9" s="78" t="s">
        <v>810</v>
      </c>
      <c r="E9" s="79">
        <v>96</v>
      </c>
      <c r="F9" s="34" t="s">
        <v>12</v>
      </c>
      <c r="G9" s="77" t="s">
        <v>111</v>
      </c>
      <c r="H9" s="12">
        <f>160</f>
        <v>160</v>
      </c>
      <c r="I9" s="12">
        <f>H9*12*4*10</f>
        <v>76800</v>
      </c>
      <c r="J9" s="281" t="s">
        <v>13</v>
      </c>
      <c r="K9" s="561"/>
      <c r="L9" s="561"/>
      <c r="M9" s="684"/>
      <c r="N9" s="685"/>
      <c r="O9" s="663"/>
    </row>
    <row r="10" spans="1:15" ht="25.5" x14ac:dyDescent="0.2">
      <c r="A10" s="558"/>
      <c r="B10" s="559"/>
      <c r="C10" s="559"/>
      <c r="D10" s="78" t="s">
        <v>164</v>
      </c>
      <c r="E10" s="79">
        <v>91</v>
      </c>
      <c r="F10" s="34" t="s">
        <v>12</v>
      </c>
      <c r="G10" s="77" t="s">
        <v>111</v>
      </c>
      <c r="H10" s="12">
        <f>170</f>
        <v>170</v>
      </c>
      <c r="I10" s="12">
        <f>H10*12*4*10</f>
        <v>81600</v>
      </c>
      <c r="J10" s="281" t="s">
        <v>13</v>
      </c>
      <c r="K10" s="561"/>
      <c r="L10" s="561"/>
      <c r="M10" s="563"/>
      <c r="N10" s="685"/>
      <c r="O10" s="663"/>
    </row>
    <row r="11" spans="1:15" ht="24" x14ac:dyDescent="0.2">
      <c r="A11" s="558"/>
      <c r="B11" s="559"/>
      <c r="C11" s="559"/>
      <c r="D11" s="19" t="s">
        <v>163</v>
      </c>
      <c r="E11" s="24">
        <v>83</v>
      </c>
      <c r="F11" s="12" t="s">
        <v>12</v>
      </c>
      <c r="G11" s="77" t="s">
        <v>111</v>
      </c>
      <c r="H11" s="12">
        <f>200</f>
        <v>200</v>
      </c>
      <c r="I11" s="12">
        <f>H11*12*4*10</f>
        <v>96000</v>
      </c>
      <c r="J11" s="19" t="s">
        <v>13</v>
      </c>
      <c r="K11" s="561"/>
      <c r="L11" s="561"/>
      <c r="M11" s="563"/>
      <c r="N11" s="685"/>
      <c r="O11" s="663"/>
    </row>
    <row r="12" spans="1:15" ht="14.25" customHeight="1" x14ac:dyDescent="0.2">
      <c r="A12" s="558"/>
      <c r="B12" s="563"/>
      <c r="C12" s="563"/>
      <c r="D12" s="563"/>
      <c r="E12" s="563"/>
      <c r="F12" s="563"/>
      <c r="G12" s="563"/>
      <c r="H12" s="563"/>
      <c r="I12" s="563"/>
      <c r="J12" s="563"/>
      <c r="K12" s="563"/>
      <c r="L12" s="563"/>
      <c r="M12" s="563"/>
      <c r="N12" s="563"/>
      <c r="O12" s="563"/>
    </row>
    <row r="13" spans="1:15" ht="15.75" x14ac:dyDescent="0.2">
      <c r="A13" s="665" t="s">
        <v>815</v>
      </c>
      <c r="B13" s="665"/>
      <c r="C13" s="665"/>
      <c r="D13" s="665"/>
      <c r="E13" s="665"/>
      <c r="F13" s="665"/>
      <c r="G13" s="665"/>
      <c r="H13" s="665"/>
      <c r="I13" s="665"/>
      <c r="J13" s="665"/>
      <c r="K13" s="665"/>
      <c r="L13" s="665"/>
      <c r="M13" s="665"/>
      <c r="N13" s="665"/>
      <c r="O13" s="665"/>
    </row>
    <row r="14" spans="1:15" ht="25.5" customHeight="1" x14ac:dyDescent="0.2">
      <c r="A14" s="558">
        <v>2</v>
      </c>
      <c r="B14" s="559" t="s">
        <v>110</v>
      </c>
      <c r="C14" s="559" t="s">
        <v>813</v>
      </c>
      <c r="D14" s="286" t="s">
        <v>167</v>
      </c>
      <c r="E14" s="287">
        <v>100</v>
      </c>
      <c r="F14" s="288" t="s">
        <v>12</v>
      </c>
      <c r="G14" s="289" t="s">
        <v>111</v>
      </c>
      <c r="H14" s="290">
        <f>150</f>
        <v>150</v>
      </c>
      <c r="I14" s="290">
        <f>H14*12*4*10</f>
        <v>72000</v>
      </c>
      <c r="J14" s="286" t="s">
        <v>13</v>
      </c>
      <c r="K14" s="560" t="s">
        <v>86</v>
      </c>
      <c r="L14" s="560" t="s">
        <v>838</v>
      </c>
      <c r="M14" s="684">
        <f>I14</f>
        <v>72000</v>
      </c>
      <c r="N14" s="685"/>
      <c r="O14" s="663">
        <v>1812200750</v>
      </c>
    </row>
    <row r="15" spans="1:15" ht="24" x14ac:dyDescent="0.2">
      <c r="A15" s="558"/>
      <c r="B15" s="559"/>
      <c r="C15" s="559"/>
      <c r="D15" s="78" t="s">
        <v>810</v>
      </c>
      <c r="E15" s="79">
        <v>96</v>
      </c>
      <c r="F15" s="34" t="s">
        <v>12</v>
      </c>
      <c r="G15" s="77" t="s">
        <v>111</v>
      </c>
      <c r="H15" s="12">
        <f>160</f>
        <v>160</v>
      </c>
      <c r="I15" s="12">
        <f>H15*12*4*10</f>
        <v>76800</v>
      </c>
      <c r="J15" s="281" t="s">
        <v>13</v>
      </c>
      <c r="K15" s="561"/>
      <c r="L15" s="561"/>
      <c r="M15" s="563"/>
      <c r="N15" s="685"/>
      <c r="O15" s="663"/>
    </row>
    <row r="16" spans="1:15" ht="25.5" x14ac:dyDescent="0.2">
      <c r="A16" s="558"/>
      <c r="B16" s="559"/>
      <c r="C16" s="559"/>
      <c r="D16" s="78" t="s">
        <v>164</v>
      </c>
      <c r="E16" s="79">
        <v>91</v>
      </c>
      <c r="F16" s="34" t="s">
        <v>12</v>
      </c>
      <c r="G16" s="77" t="s">
        <v>111</v>
      </c>
      <c r="H16" s="12">
        <f>170</f>
        <v>170</v>
      </c>
      <c r="I16" s="12">
        <f>H16*12*4*10</f>
        <v>81600</v>
      </c>
      <c r="J16" s="281" t="s">
        <v>13</v>
      </c>
      <c r="K16" s="561"/>
      <c r="L16" s="561"/>
      <c r="M16" s="563"/>
      <c r="N16" s="685"/>
      <c r="O16" s="663"/>
    </row>
    <row r="17" spans="1:15" ht="24" x14ac:dyDescent="0.2">
      <c r="A17" s="558"/>
      <c r="B17" s="559"/>
      <c r="C17" s="559"/>
      <c r="D17" s="19" t="s">
        <v>163</v>
      </c>
      <c r="E17" s="24">
        <v>83</v>
      </c>
      <c r="F17" s="12" t="s">
        <v>12</v>
      </c>
      <c r="G17" s="77" t="s">
        <v>111</v>
      </c>
      <c r="H17" s="12">
        <f>200</f>
        <v>200</v>
      </c>
      <c r="I17" s="12">
        <f>H17*12*4*10</f>
        <v>96000</v>
      </c>
      <c r="J17" s="19" t="s">
        <v>13</v>
      </c>
      <c r="K17" s="561"/>
      <c r="L17" s="561"/>
      <c r="M17" s="563"/>
      <c r="N17" s="685"/>
      <c r="O17" s="663"/>
    </row>
    <row r="18" spans="1:15" ht="14.25" customHeight="1" x14ac:dyDescent="0.2">
      <c r="A18" s="558"/>
      <c r="B18" s="563"/>
      <c r="C18" s="563"/>
      <c r="D18" s="563"/>
      <c r="E18" s="563"/>
      <c r="F18" s="563"/>
      <c r="G18" s="563"/>
      <c r="H18" s="563"/>
      <c r="I18" s="563"/>
      <c r="J18" s="563"/>
      <c r="K18" s="563"/>
      <c r="L18" s="563"/>
      <c r="M18" s="563"/>
      <c r="N18" s="563"/>
      <c r="O18" s="563"/>
    </row>
    <row r="19" spans="1:15" ht="15.75" x14ac:dyDescent="0.2">
      <c r="A19" s="665" t="s">
        <v>816</v>
      </c>
      <c r="B19" s="665"/>
      <c r="C19" s="665"/>
      <c r="D19" s="665"/>
      <c r="E19" s="665"/>
      <c r="F19" s="665"/>
      <c r="G19" s="665"/>
      <c r="H19" s="665"/>
      <c r="I19" s="665"/>
      <c r="J19" s="665"/>
      <c r="K19" s="665"/>
      <c r="L19" s="665"/>
      <c r="M19" s="665"/>
      <c r="N19" s="665"/>
      <c r="O19" s="665"/>
    </row>
    <row r="20" spans="1:15" ht="25.5" customHeight="1" x14ac:dyDescent="0.2">
      <c r="A20" s="558">
        <v>3</v>
      </c>
      <c r="B20" s="559" t="s">
        <v>112</v>
      </c>
      <c r="C20" s="559" t="s">
        <v>813</v>
      </c>
      <c r="D20" s="286" t="s">
        <v>113</v>
      </c>
      <c r="E20" s="287">
        <v>100</v>
      </c>
      <c r="F20" s="288" t="s">
        <v>12</v>
      </c>
      <c r="G20" s="289" t="s">
        <v>111</v>
      </c>
      <c r="H20" s="290">
        <f>150</f>
        <v>150</v>
      </c>
      <c r="I20" s="290">
        <f>H20*12*4*10</f>
        <v>72000</v>
      </c>
      <c r="J20" s="286" t="s">
        <v>13</v>
      </c>
      <c r="K20" s="560" t="s">
        <v>86</v>
      </c>
      <c r="L20" s="560" t="s">
        <v>838</v>
      </c>
      <c r="M20" s="684">
        <f>I20</f>
        <v>72000</v>
      </c>
      <c r="N20" s="685"/>
      <c r="O20" s="663">
        <v>1812200750</v>
      </c>
    </row>
    <row r="21" spans="1:15" ht="25.5" x14ac:dyDescent="0.2">
      <c r="A21" s="558"/>
      <c r="B21" s="559"/>
      <c r="C21" s="559"/>
      <c r="D21" s="19" t="s">
        <v>818</v>
      </c>
      <c r="E21" s="24">
        <v>91</v>
      </c>
      <c r="F21" s="12" t="s">
        <v>12</v>
      </c>
      <c r="G21" s="77" t="s">
        <v>111</v>
      </c>
      <c r="H21" s="12">
        <f>170</f>
        <v>170</v>
      </c>
      <c r="I21" s="12">
        <f t="shared" ref="I21:I23" si="0">H21*12*4*10</f>
        <v>81600</v>
      </c>
      <c r="J21" s="19" t="s">
        <v>13</v>
      </c>
      <c r="K21" s="561"/>
      <c r="L21" s="561"/>
      <c r="M21" s="563"/>
      <c r="N21" s="685"/>
      <c r="O21" s="663"/>
    </row>
    <row r="22" spans="1:15" ht="25.5" x14ac:dyDescent="0.2">
      <c r="A22" s="558"/>
      <c r="B22" s="559"/>
      <c r="C22" s="559"/>
      <c r="D22" s="78" t="s">
        <v>168</v>
      </c>
      <c r="E22" s="79">
        <v>83</v>
      </c>
      <c r="F22" s="34" t="s">
        <v>12</v>
      </c>
      <c r="G22" s="77" t="s">
        <v>111</v>
      </c>
      <c r="H22" s="12">
        <f>200</f>
        <v>200</v>
      </c>
      <c r="I22" s="12">
        <f t="shared" si="0"/>
        <v>96000</v>
      </c>
      <c r="J22" s="281" t="s">
        <v>13</v>
      </c>
      <c r="K22" s="561"/>
      <c r="L22" s="561"/>
      <c r="M22" s="563"/>
      <c r="N22" s="685"/>
      <c r="O22" s="663"/>
    </row>
    <row r="23" spans="1:15" ht="25.5" x14ac:dyDescent="0.2">
      <c r="A23" s="558"/>
      <c r="B23" s="559"/>
      <c r="C23" s="559"/>
      <c r="D23" s="78" t="s">
        <v>811</v>
      </c>
      <c r="E23" s="79">
        <v>83</v>
      </c>
      <c r="F23" s="34" t="s">
        <v>12</v>
      </c>
      <c r="G23" s="77" t="s">
        <v>111</v>
      </c>
      <c r="H23" s="12">
        <f>200</f>
        <v>200</v>
      </c>
      <c r="I23" s="12">
        <f t="shared" si="0"/>
        <v>96000</v>
      </c>
      <c r="J23" s="281" t="s">
        <v>13</v>
      </c>
      <c r="K23" s="561"/>
      <c r="L23" s="561"/>
      <c r="M23" s="563"/>
      <c r="N23" s="685"/>
      <c r="O23" s="663"/>
    </row>
    <row r="24" spans="1:15" ht="14.25" customHeight="1" x14ac:dyDescent="0.2">
      <c r="A24" s="558"/>
      <c r="B24" s="563"/>
      <c r="C24" s="563"/>
      <c r="D24" s="563"/>
      <c r="E24" s="563"/>
      <c r="F24" s="563"/>
      <c r="G24" s="563"/>
      <c r="H24" s="563"/>
      <c r="I24" s="563"/>
      <c r="J24" s="563"/>
      <c r="K24" s="563"/>
      <c r="L24" s="563"/>
      <c r="M24" s="563"/>
      <c r="N24" s="563"/>
      <c r="O24" s="563"/>
    </row>
    <row r="25" spans="1:15" ht="15.75" x14ac:dyDescent="0.2">
      <c r="A25" s="665" t="s">
        <v>817</v>
      </c>
      <c r="B25" s="665"/>
      <c r="C25" s="665"/>
      <c r="D25" s="665"/>
      <c r="E25" s="665"/>
      <c r="F25" s="665"/>
      <c r="G25" s="665"/>
      <c r="H25" s="665"/>
      <c r="I25" s="665"/>
      <c r="J25" s="665"/>
      <c r="K25" s="665"/>
      <c r="L25" s="665"/>
      <c r="M25" s="665"/>
      <c r="N25" s="665"/>
      <c r="O25" s="665"/>
    </row>
    <row r="26" spans="1:15" ht="25.5" customHeight="1" x14ac:dyDescent="0.2">
      <c r="A26" s="558">
        <v>4</v>
      </c>
      <c r="B26" s="559" t="s">
        <v>112</v>
      </c>
      <c r="C26" s="559" t="s">
        <v>813</v>
      </c>
      <c r="D26" s="286" t="s">
        <v>114</v>
      </c>
      <c r="E26" s="287">
        <v>100</v>
      </c>
      <c r="F26" s="288" t="s">
        <v>12</v>
      </c>
      <c r="G26" s="289" t="s">
        <v>111</v>
      </c>
      <c r="H26" s="290">
        <f>150</f>
        <v>150</v>
      </c>
      <c r="I26" s="290">
        <f>H26*12*4*10</f>
        <v>72000</v>
      </c>
      <c r="J26" s="286" t="s">
        <v>13</v>
      </c>
      <c r="K26" s="560" t="s">
        <v>86</v>
      </c>
      <c r="L26" s="560" t="s">
        <v>838</v>
      </c>
      <c r="M26" s="684">
        <f>I26</f>
        <v>72000</v>
      </c>
      <c r="N26" s="685"/>
      <c r="O26" s="663">
        <v>1812200750</v>
      </c>
    </row>
    <row r="27" spans="1:15" ht="25.5" x14ac:dyDescent="0.2">
      <c r="A27" s="558"/>
      <c r="B27" s="559"/>
      <c r="C27" s="559"/>
      <c r="D27" s="19" t="s">
        <v>818</v>
      </c>
      <c r="E27" s="24">
        <v>91</v>
      </c>
      <c r="F27" s="12" t="s">
        <v>12</v>
      </c>
      <c r="G27" s="77" t="s">
        <v>111</v>
      </c>
      <c r="H27" s="12">
        <f>170</f>
        <v>170</v>
      </c>
      <c r="I27" s="12">
        <f t="shared" ref="I27" si="1">H27*12*4*10</f>
        <v>81600</v>
      </c>
      <c r="J27" s="19" t="s">
        <v>13</v>
      </c>
      <c r="K27" s="561"/>
      <c r="L27" s="561"/>
      <c r="M27" s="563"/>
      <c r="N27" s="685"/>
      <c r="O27" s="663"/>
    </row>
    <row r="28" spans="1:15" ht="25.5" x14ac:dyDescent="0.2">
      <c r="A28" s="558"/>
      <c r="B28" s="559"/>
      <c r="C28" s="559"/>
      <c r="D28" s="78" t="s">
        <v>168</v>
      </c>
      <c r="E28" s="79">
        <v>83</v>
      </c>
      <c r="F28" s="34" t="s">
        <v>12</v>
      </c>
      <c r="G28" s="77" t="s">
        <v>111</v>
      </c>
      <c r="H28" s="12">
        <f>200</f>
        <v>200</v>
      </c>
      <c r="I28" s="12">
        <f t="shared" ref="I28:I29" si="2">H28*12*4*10</f>
        <v>96000</v>
      </c>
      <c r="J28" s="281" t="s">
        <v>13</v>
      </c>
      <c r="K28" s="561"/>
      <c r="L28" s="561"/>
      <c r="M28" s="563"/>
      <c r="N28" s="685"/>
      <c r="O28" s="663"/>
    </row>
    <row r="29" spans="1:15" ht="25.5" x14ac:dyDescent="0.2">
      <c r="A29" s="558"/>
      <c r="B29" s="559"/>
      <c r="C29" s="559"/>
      <c r="D29" s="78" t="s">
        <v>811</v>
      </c>
      <c r="E29" s="79">
        <v>83</v>
      </c>
      <c r="F29" s="34" t="s">
        <v>12</v>
      </c>
      <c r="G29" s="77" t="s">
        <v>111</v>
      </c>
      <c r="H29" s="12">
        <f>200</f>
        <v>200</v>
      </c>
      <c r="I29" s="12">
        <f t="shared" si="2"/>
        <v>96000</v>
      </c>
      <c r="J29" s="281" t="s">
        <v>13</v>
      </c>
      <c r="K29" s="561"/>
      <c r="L29" s="561"/>
      <c r="M29" s="563"/>
      <c r="N29" s="685"/>
      <c r="O29" s="663"/>
    </row>
    <row r="30" spans="1:15" ht="14.25" customHeight="1" x14ac:dyDescent="0.2">
      <c r="A30" s="558"/>
      <c r="B30" s="686"/>
      <c r="C30" s="687"/>
      <c r="D30" s="687"/>
      <c r="E30" s="687"/>
      <c r="F30" s="687"/>
      <c r="G30" s="687"/>
      <c r="H30" s="687"/>
      <c r="I30" s="687"/>
      <c r="J30" s="687"/>
      <c r="K30" s="687"/>
      <c r="L30" s="687"/>
      <c r="M30" s="687"/>
      <c r="N30" s="687"/>
      <c r="O30" s="688"/>
    </row>
    <row r="31" spans="1:15" ht="15.75" x14ac:dyDescent="0.2">
      <c r="A31" s="665" t="s">
        <v>819</v>
      </c>
      <c r="B31" s="665"/>
      <c r="C31" s="665"/>
      <c r="D31" s="665"/>
      <c r="E31" s="665"/>
      <c r="F31" s="665"/>
      <c r="G31" s="665"/>
      <c r="H31" s="665"/>
      <c r="I31" s="665"/>
      <c r="J31" s="665"/>
      <c r="K31" s="665"/>
      <c r="L31" s="665"/>
      <c r="M31" s="665"/>
      <c r="N31" s="665"/>
      <c r="O31" s="665"/>
    </row>
    <row r="32" spans="1:15" ht="25.5" customHeight="1" x14ac:dyDescent="0.2">
      <c r="A32" s="558">
        <v>5</v>
      </c>
      <c r="B32" s="559" t="s">
        <v>820</v>
      </c>
      <c r="C32" s="559" t="s">
        <v>813</v>
      </c>
      <c r="D32" s="286" t="s">
        <v>821</v>
      </c>
      <c r="E32" s="287">
        <v>100</v>
      </c>
      <c r="F32" s="288" t="s">
        <v>129</v>
      </c>
      <c r="G32" s="289" t="s">
        <v>822</v>
      </c>
      <c r="H32" s="290">
        <f>2000*117/100</f>
        <v>2340</v>
      </c>
      <c r="I32" s="290">
        <f>H32*10</f>
        <v>23400</v>
      </c>
      <c r="J32" s="286" t="s">
        <v>13</v>
      </c>
      <c r="K32" s="560" t="s">
        <v>86</v>
      </c>
      <c r="L32" s="560" t="s">
        <v>838</v>
      </c>
      <c r="M32" s="684">
        <f>I32</f>
        <v>23400</v>
      </c>
      <c r="N32" s="685"/>
      <c r="O32" s="663">
        <v>1812200750</v>
      </c>
    </row>
    <row r="33" spans="1:15" ht="38.25" x14ac:dyDescent="0.2">
      <c r="A33" s="558"/>
      <c r="B33" s="559"/>
      <c r="C33" s="559"/>
      <c r="D33" s="19" t="s">
        <v>823</v>
      </c>
      <c r="E33" s="24">
        <v>82</v>
      </c>
      <c r="F33" s="5" t="s">
        <v>129</v>
      </c>
      <c r="G33" s="77" t="s">
        <v>822</v>
      </c>
      <c r="H33" s="12">
        <f>2624*117/100</f>
        <v>3070.08</v>
      </c>
      <c r="I33" s="12">
        <f>H33*10</f>
        <v>30700.799999999999</v>
      </c>
      <c r="J33" s="19" t="s">
        <v>13</v>
      </c>
      <c r="K33" s="561"/>
      <c r="L33" s="561"/>
      <c r="M33" s="563"/>
      <c r="N33" s="685"/>
      <c r="O33" s="663"/>
    </row>
    <row r="34" spans="1:15" ht="25.5" x14ac:dyDescent="0.2">
      <c r="A34" s="558"/>
      <c r="B34" s="559"/>
      <c r="C34" s="559"/>
      <c r="D34" s="78" t="s">
        <v>824</v>
      </c>
      <c r="E34" s="79">
        <v>76</v>
      </c>
      <c r="F34" s="5" t="s">
        <v>129</v>
      </c>
      <c r="G34" s="77" t="s">
        <v>822</v>
      </c>
      <c r="H34" s="12">
        <f>5555*117/100</f>
        <v>6499.35</v>
      </c>
      <c r="I34" s="12">
        <f>H34*10</f>
        <v>64993.5</v>
      </c>
      <c r="J34" s="281" t="s">
        <v>13</v>
      </c>
      <c r="K34" s="561"/>
      <c r="L34" s="561"/>
      <c r="M34" s="563"/>
      <c r="N34" s="685"/>
      <c r="O34" s="663"/>
    </row>
    <row r="35" spans="1:15" ht="14.25" customHeight="1" x14ac:dyDescent="0.2">
      <c r="A35" s="558"/>
      <c r="B35" s="686"/>
      <c r="C35" s="687"/>
      <c r="D35" s="687"/>
      <c r="E35" s="687"/>
      <c r="F35" s="687"/>
      <c r="G35" s="687"/>
      <c r="H35" s="687"/>
      <c r="I35" s="687"/>
      <c r="J35" s="687"/>
      <c r="K35" s="687"/>
      <c r="L35" s="687"/>
      <c r="M35" s="687"/>
      <c r="N35" s="687"/>
      <c r="O35" s="688"/>
    </row>
    <row r="36" spans="1:15" ht="15.75" x14ac:dyDescent="0.2">
      <c r="A36" s="556" t="s">
        <v>825</v>
      </c>
      <c r="B36" s="557"/>
      <c r="C36" s="557"/>
      <c r="D36" s="557"/>
      <c r="E36" s="557"/>
      <c r="F36" s="557"/>
      <c r="G36" s="557"/>
      <c r="H36" s="557"/>
      <c r="I36" s="557"/>
      <c r="J36" s="557"/>
      <c r="K36" s="557"/>
      <c r="L36" s="557"/>
      <c r="M36" s="557"/>
      <c r="N36" s="557"/>
      <c r="O36" s="661"/>
    </row>
    <row r="37" spans="1:15" ht="38.25" x14ac:dyDescent="0.2">
      <c r="A37" s="593">
        <v>6</v>
      </c>
      <c r="B37" s="279" t="s">
        <v>826</v>
      </c>
      <c r="C37" s="280" t="s">
        <v>76</v>
      </c>
      <c r="D37" s="291" t="s">
        <v>83</v>
      </c>
      <c r="E37" s="292">
        <v>100</v>
      </c>
      <c r="F37" s="290" t="s">
        <v>12</v>
      </c>
      <c r="G37" s="290" t="s">
        <v>828</v>
      </c>
      <c r="H37" s="293" t="s">
        <v>829</v>
      </c>
      <c r="I37" s="290">
        <f>7500*117/100</f>
        <v>8775</v>
      </c>
      <c r="J37" s="291" t="s">
        <v>13</v>
      </c>
      <c r="K37" s="285" t="s">
        <v>116</v>
      </c>
      <c r="L37" s="285" t="s">
        <v>838</v>
      </c>
      <c r="M37" s="284">
        <f>I37</f>
        <v>8775</v>
      </c>
      <c r="N37" s="282"/>
      <c r="O37" s="283"/>
    </row>
    <row r="38" spans="1:15" ht="14.25" x14ac:dyDescent="0.2">
      <c r="A38" s="595"/>
      <c r="B38" s="581" t="s">
        <v>827</v>
      </c>
      <c r="C38" s="582"/>
      <c r="D38" s="582"/>
      <c r="E38" s="582"/>
      <c r="F38" s="582"/>
      <c r="G38" s="582"/>
      <c r="H38" s="582"/>
      <c r="I38" s="582"/>
      <c r="J38" s="582"/>
      <c r="K38" s="582"/>
      <c r="L38" s="582"/>
      <c r="M38" s="582"/>
      <c r="N38" s="582"/>
      <c r="O38" s="583"/>
    </row>
    <row r="40" spans="1:15" ht="15.75" x14ac:dyDescent="0.2">
      <c r="A40" s="268"/>
      <c r="B40" s="269"/>
      <c r="C40" s="269"/>
      <c r="D40" s="269"/>
      <c r="E40" s="269"/>
      <c r="F40" s="269"/>
      <c r="G40" s="269"/>
      <c r="H40" s="269"/>
      <c r="I40" s="269"/>
      <c r="J40" s="269"/>
      <c r="K40" s="269"/>
      <c r="L40" s="269"/>
      <c r="M40" s="269"/>
      <c r="N40" s="269"/>
      <c r="O40" s="269"/>
    </row>
    <row r="41" spans="1:15" x14ac:dyDescent="0.2">
      <c r="B41" s="23"/>
    </row>
  </sheetData>
  <mergeCells count="59">
    <mergeCell ref="O20:O23"/>
    <mergeCell ref="C26:C29"/>
    <mergeCell ref="K26:K29"/>
    <mergeCell ref="L26:L29"/>
    <mergeCell ref="A25:O25"/>
    <mergeCell ref="A1:A6"/>
    <mergeCell ref="B1:O1"/>
    <mergeCell ref="B2:O2"/>
    <mergeCell ref="B3:O3"/>
    <mergeCell ref="B4:O4"/>
    <mergeCell ref="B5:O5"/>
    <mergeCell ref="A36:O36"/>
    <mergeCell ref="A37:A38"/>
    <mergeCell ref="B38:O38"/>
    <mergeCell ref="A7:O7"/>
    <mergeCell ref="A8:A12"/>
    <mergeCell ref="B8:B11"/>
    <mergeCell ref="C8:C11"/>
    <mergeCell ref="K8:K11"/>
    <mergeCell ref="L8:L11"/>
    <mergeCell ref="M8:M11"/>
    <mergeCell ref="N8:N11"/>
    <mergeCell ref="O8:O11"/>
    <mergeCell ref="B12:O12"/>
    <mergeCell ref="A13:O13"/>
    <mergeCell ref="O14:O17"/>
    <mergeCell ref="B18:O18"/>
    <mergeCell ref="A19:O19"/>
    <mergeCell ref="A20:A24"/>
    <mergeCell ref="M14:M17"/>
    <mergeCell ref="N14:N17"/>
    <mergeCell ref="M20:M23"/>
    <mergeCell ref="N20:N23"/>
    <mergeCell ref="B24:O24"/>
    <mergeCell ref="B20:B23"/>
    <mergeCell ref="C20:C23"/>
    <mergeCell ref="K20:K23"/>
    <mergeCell ref="A14:A18"/>
    <mergeCell ref="B14:B17"/>
    <mergeCell ref="C14:C17"/>
    <mergeCell ref="K14:K17"/>
    <mergeCell ref="L14:L17"/>
    <mergeCell ref="L20:L23"/>
    <mergeCell ref="M32:M34"/>
    <mergeCell ref="N32:N34"/>
    <mergeCell ref="O32:O34"/>
    <mergeCell ref="M26:M29"/>
    <mergeCell ref="N26:N29"/>
    <mergeCell ref="O26:O29"/>
    <mergeCell ref="A31:O31"/>
    <mergeCell ref="A32:A35"/>
    <mergeCell ref="B32:B34"/>
    <mergeCell ref="C32:C34"/>
    <mergeCell ref="K32:K34"/>
    <mergeCell ref="L32:L34"/>
    <mergeCell ref="A26:A30"/>
    <mergeCell ref="B26:B29"/>
    <mergeCell ref="B30:O30"/>
    <mergeCell ref="B35:O35"/>
  </mergeCells>
  <pageMargins left="0.25" right="0.25" top="0.75" bottom="0.75" header="0.3" footer="0.3"/>
  <pageSetup paperSize="9" scale="72" fitToHeight="0" orientation="landscape" r:id="rId1"/>
  <rowBreaks count="1" manualBreakCount="1">
    <brk id="30"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11997E-3630-4ABE-B61B-FCFCFD44AD4A}">
  <sheetPr>
    <pageSetUpPr fitToPage="1"/>
  </sheetPr>
  <dimension ref="A1:Q23"/>
  <sheetViews>
    <sheetView rightToLeft="1" zoomScale="112" zoomScaleNormal="112" zoomScaleSheetLayoutView="80" workbookViewId="0">
      <pane ySplit="6" topLeftCell="A19" activePane="bottomLeft" state="frozen"/>
      <selection pane="bottomLeft" activeCell="A23" sqref="A23:XFD23"/>
    </sheetView>
  </sheetViews>
  <sheetFormatPr defaultColWidth="8.75" defaultRowHeight="15" x14ac:dyDescent="0.2"/>
  <cols>
    <col min="1" max="1" width="4.25" customWidth="1"/>
    <col min="2" max="2" width="21.125" bestFit="1" customWidth="1"/>
    <col min="4" max="4" width="7.25" customWidth="1"/>
    <col min="5" max="5" width="7.75" customWidth="1"/>
    <col min="6" max="6" width="10.25" bestFit="1" customWidth="1"/>
    <col min="7" max="7" width="12.125" style="7" bestFit="1" customWidth="1"/>
    <col min="8" max="8" width="13.625" style="8" bestFit="1" customWidth="1"/>
    <col min="9" max="9" width="16" style="8" bestFit="1" customWidth="1"/>
    <col min="10" max="10" width="9" customWidth="1"/>
    <col min="11" max="11" width="12.875" style="9" customWidth="1"/>
    <col min="12" max="12" width="19.375" style="9" customWidth="1"/>
    <col min="13" max="13" width="15" style="9" customWidth="1"/>
    <col min="14" max="14" width="10.875" style="247" customWidth="1"/>
    <col min="15" max="15" width="13" style="11" customWidth="1"/>
  </cols>
  <sheetData>
    <row r="1" spans="1:17" ht="20.25" x14ac:dyDescent="0.2">
      <c r="A1" s="571"/>
      <c r="B1" s="572" t="s">
        <v>809</v>
      </c>
      <c r="C1" s="572"/>
      <c r="D1" s="572"/>
      <c r="E1" s="572"/>
      <c r="F1" s="572"/>
      <c r="G1" s="572"/>
      <c r="H1" s="572"/>
      <c r="I1" s="572"/>
      <c r="J1" s="572"/>
      <c r="K1" s="572"/>
      <c r="L1" s="572"/>
      <c r="M1" s="572"/>
      <c r="N1" s="572"/>
      <c r="O1" s="572"/>
    </row>
    <row r="2" spans="1:17" ht="14.25" x14ac:dyDescent="0.2">
      <c r="A2" s="571"/>
      <c r="B2" s="573" t="s">
        <v>792</v>
      </c>
      <c r="C2" s="573"/>
      <c r="D2" s="573"/>
      <c r="E2" s="573"/>
      <c r="F2" s="573"/>
      <c r="G2" s="573"/>
      <c r="H2" s="573"/>
      <c r="I2" s="573"/>
      <c r="J2" s="573"/>
      <c r="K2" s="573"/>
      <c r="L2" s="573"/>
      <c r="M2" s="573"/>
      <c r="N2" s="573"/>
      <c r="O2" s="573"/>
    </row>
    <row r="3" spans="1:17" ht="15.75" x14ac:dyDescent="0.2">
      <c r="A3" s="571"/>
      <c r="B3" s="574" t="s">
        <v>795</v>
      </c>
      <c r="C3" s="574"/>
      <c r="D3" s="574"/>
      <c r="E3" s="574"/>
      <c r="F3" s="574"/>
      <c r="G3" s="574"/>
      <c r="H3" s="574"/>
      <c r="I3" s="574"/>
      <c r="J3" s="574"/>
      <c r="K3" s="574"/>
      <c r="L3" s="574"/>
      <c r="M3" s="574"/>
      <c r="N3" s="574"/>
      <c r="O3" s="574"/>
    </row>
    <row r="4" spans="1:17" ht="14.25" x14ac:dyDescent="0.2">
      <c r="A4" s="571"/>
      <c r="B4" s="575" t="s">
        <v>52</v>
      </c>
      <c r="C4" s="575"/>
      <c r="D4" s="575"/>
      <c r="E4" s="575"/>
      <c r="F4" s="575"/>
      <c r="G4" s="575"/>
      <c r="H4" s="575"/>
      <c r="I4" s="575"/>
      <c r="J4" s="575"/>
      <c r="K4" s="575"/>
      <c r="L4" s="575"/>
      <c r="M4" s="575"/>
      <c r="N4" s="575"/>
      <c r="O4" s="575"/>
    </row>
    <row r="5" spans="1:17" ht="14.25" x14ac:dyDescent="0.2">
      <c r="A5" s="571"/>
      <c r="B5" s="575" t="s">
        <v>51</v>
      </c>
      <c r="C5" s="575"/>
      <c r="D5" s="575"/>
      <c r="E5" s="575"/>
      <c r="F5" s="575"/>
      <c r="G5" s="575"/>
      <c r="H5" s="575"/>
      <c r="I5" s="575"/>
      <c r="J5" s="575"/>
      <c r="K5" s="575"/>
      <c r="L5" s="575"/>
      <c r="M5" s="575"/>
      <c r="N5" s="575"/>
      <c r="O5" s="575"/>
    </row>
    <row r="6" spans="1:17" ht="46.5" customHeight="1" x14ac:dyDescent="0.2">
      <c r="A6" s="571"/>
      <c r="B6" s="220" t="s">
        <v>0</v>
      </c>
      <c r="C6" s="220" t="s">
        <v>1</v>
      </c>
      <c r="D6" s="222" t="s">
        <v>2</v>
      </c>
      <c r="E6" s="222" t="s">
        <v>3</v>
      </c>
      <c r="F6" s="222" t="s">
        <v>4</v>
      </c>
      <c r="G6" s="222" t="s">
        <v>5</v>
      </c>
      <c r="H6" s="2" t="s">
        <v>6</v>
      </c>
      <c r="I6" s="3" t="s">
        <v>7</v>
      </c>
      <c r="J6" s="222" t="s">
        <v>8</v>
      </c>
      <c r="K6" s="222" t="s">
        <v>9</v>
      </c>
      <c r="L6" s="222" t="s">
        <v>95</v>
      </c>
      <c r="M6" s="223" t="s">
        <v>729</v>
      </c>
      <c r="N6" s="222" t="s">
        <v>10</v>
      </c>
      <c r="O6" s="222" t="s">
        <v>11</v>
      </c>
    </row>
    <row r="7" spans="1:17" ht="15.75" x14ac:dyDescent="0.2">
      <c r="A7" s="556" t="s">
        <v>797</v>
      </c>
      <c r="B7" s="557"/>
      <c r="C7" s="557"/>
      <c r="D7" s="557"/>
      <c r="E7" s="557"/>
      <c r="F7" s="557"/>
      <c r="G7" s="557"/>
      <c r="H7" s="557"/>
      <c r="I7" s="557"/>
      <c r="J7" s="557"/>
      <c r="K7" s="557"/>
      <c r="L7" s="557"/>
      <c r="M7" s="557"/>
      <c r="N7" s="557"/>
      <c r="O7" s="661"/>
    </row>
    <row r="8" spans="1:17" ht="38.25" x14ac:dyDescent="0.2">
      <c r="A8" s="593">
        <v>1</v>
      </c>
      <c r="B8" s="262" t="s">
        <v>158</v>
      </c>
      <c r="C8" s="263" t="s">
        <v>125</v>
      </c>
      <c r="D8" s="16" t="s">
        <v>124</v>
      </c>
      <c r="E8" s="17">
        <v>100</v>
      </c>
      <c r="F8" s="18" t="s">
        <v>12</v>
      </c>
      <c r="G8" s="18" t="s">
        <v>798</v>
      </c>
      <c r="H8" s="18">
        <f>356*117/100</f>
        <v>416.52</v>
      </c>
      <c r="I8" s="18">
        <f>H8*80</f>
        <v>33321.599999999999</v>
      </c>
      <c r="J8" s="16" t="s">
        <v>13</v>
      </c>
      <c r="K8" s="266" t="s">
        <v>116</v>
      </c>
      <c r="L8" s="235" t="s">
        <v>97</v>
      </c>
      <c r="M8" s="264">
        <f>I8</f>
        <v>33321.599999999999</v>
      </c>
      <c r="N8" s="267"/>
      <c r="O8" s="265"/>
      <c r="P8" s="247"/>
      <c r="Q8" s="11"/>
    </row>
    <row r="9" spans="1:17" ht="15" customHeight="1" x14ac:dyDescent="0.2">
      <c r="A9" s="595"/>
      <c r="B9" s="581" t="s">
        <v>796</v>
      </c>
      <c r="C9" s="582"/>
      <c r="D9" s="582"/>
      <c r="E9" s="582"/>
      <c r="F9" s="582"/>
      <c r="G9" s="582"/>
      <c r="H9" s="582"/>
      <c r="I9" s="582"/>
      <c r="J9" s="582"/>
      <c r="K9" s="582"/>
      <c r="L9" s="582"/>
      <c r="M9" s="582"/>
      <c r="N9" s="582"/>
      <c r="O9" s="583"/>
    </row>
    <row r="10" spans="1:17" ht="15.75" x14ac:dyDescent="0.2">
      <c r="A10" s="556" t="s">
        <v>799</v>
      </c>
      <c r="B10" s="557"/>
      <c r="C10" s="557"/>
      <c r="D10" s="557"/>
      <c r="E10" s="557"/>
      <c r="F10" s="557"/>
      <c r="G10" s="557"/>
      <c r="H10" s="557"/>
      <c r="I10" s="557"/>
      <c r="J10" s="557"/>
      <c r="K10" s="557"/>
      <c r="L10" s="557"/>
      <c r="M10" s="557"/>
      <c r="N10" s="557"/>
      <c r="O10" s="661"/>
    </row>
    <row r="11" spans="1:17" ht="41.45" customHeight="1" x14ac:dyDescent="0.2">
      <c r="A11" s="593">
        <v>2</v>
      </c>
      <c r="B11" s="585" t="s">
        <v>800</v>
      </c>
      <c r="C11" s="597" t="s">
        <v>76</v>
      </c>
      <c r="D11" s="695" t="s">
        <v>801</v>
      </c>
      <c r="E11" s="693">
        <v>100</v>
      </c>
      <c r="F11" s="246" t="s">
        <v>12</v>
      </c>
      <c r="G11" s="246" t="s">
        <v>26</v>
      </c>
      <c r="H11" s="246">
        <f>350*117/100</f>
        <v>409.5</v>
      </c>
      <c r="I11" s="697">
        <f>H11*100+H12*3*3</f>
        <v>146250</v>
      </c>
      <c r="J11" s="695" t="s">
        <v>13</v>
      </c>
      <c r="K11" s="560" t="s">
        <v>86</v>
      </c>
      <c r="L11" s="560" t="s">
        <v>97</v>
      </c>
      <c r="M11" s="657">
        <f>I11</f>
        <v>146250</v>
      </c>
      <c r="N11" s="659"/>
      <c r="O11" s="671"/>
    </row>
    <row r="12" spans="1:17" ht="58.9" customHeight="1" x14ac:dyDescent="0.2">
      <c r="A12" s="594"/>
      <c r="B12" s="586"/>
      <c r="C12" s="598"/>
      <c r="D12" s="696"/>
      <c r="E12" s="694"/>
      <c r="F12" s="246" t="s">
        <v>803</v>
      </c>
      <c r="G12" s="246" t="s">
        <v>804</v>
      </c>
      <c r="H12" s="246">
        <f>10000*117/100</f>
        <v>11700</v>
      </c>
      <c r="I12" s="698"/>
      <c r="J12" s="696"/>
      <c r="K12" s="561"/>
      <c r="L12" s="561"/>
      <c r="M12" s="673"/>
      <c r="N12" s="674"/>
      <c r="O12" s="672"/>
    </row>
    <row r="13" spans="1:17" ht="26.45" customHeight="1" x14ac:dyDescent="0.2">
      <c r="A13" s="594"/>
      <c r="B13" s="586"/>
      <c r="C13" s="598"/>
      <c r="D13" s="585" t="s">
        <v>805</v>
      </c>
      <c r="E13" s="587">
        <v>76</v>
      </c>
      <c r="F13" s="249" t="s">
        <v>12</v>
      </c>
      <c r="G13" s="249" t="s">
        <v>26</v>
      </c>
      <c r="H13" s="249">
        <f>450*117/100</f>
        <v>526.5</v>
      </c>
      <c r="I13" s="699">
        <f>H13*100+H14*3*3</f>
        <v>221130</v>
      </c>
      <c r="J13" s="691" t="s">
        <v>13</v>
      </c>
      <c r="K13" s="561"/>
      <c r="L13" s="561"/>
      <c r="M13" s="673"/>
      <c r="N13" s="674"/>
      <c r="O13" s="672"/>
    </row>
    <row r="14" spans="1:17" ht="60.6" customHeight="1" x14ac:dyDescent="0.2">
      <c r="A14" s="594"/>
      <c r="B14" s="586"/>
      <c r="C14" s="598"/>
      <c r="D14" s="596"/>
      <c r="E14" s="600"/>
      <c r="F14" s="270" t="s">
        <v>803</v>
      </c>
      <c r="G14" s="270" t="s">
        <v>804</v>
      </c>
      <c r="H14" s="270">
        <f>16000*117/100</f>
        <v>18720</v>
      </c>
      <c r="I14" s="700"/>
      <c r="J14" s="692"/>
      <c r="K14" s="561"/>
      <c r="L14" s="561"/>
      <c r="M14" s="673"/>
      <c r="N14" s="674"/>
      <c r="O14" s="672"/>
    </row>
    <row r="15" spans="1:17" ht="14.25" x14ac:dyDescent="0.2">
      <c r="A15" s="594"/>
      <c r="B15" s="586"/>
      <c r="C15" s="598"/>
      <c r="D15" s="559" t="s">
        <v>806</v>
      </c>
      <c r="E15" s="701">
        <v>68</v>
      </c>
      <c r="F15" s="249" t="s">
        <v>12</v>
      </c>
      <c r="G15" s="249" t="s">
        <v>26</v>
      </c>
      <c r="H15" s="249">
        <f>500*117/100</f>
        <v>585</v>
      </c>
      <c r="I15" s="689">
        <f>H15*100+H16*3*3</f>
        <v>269100</v>
      </c>
      <c r="J15" s="690" t="s">
        <v>13</v>
      </c>
      <c r="K15" s="561"/>
      <c r="L15" s="561"/>
      <c r="M15" s="673"/>
      <c r="N15" s="674"/>
      <c r="O15" s="672"/>
    </row>
    <row r="16" spans="1:17" ht="57.6" customHeight="1" x14ac:dyDescent="0.2">
      <c r="A16" s="594"/>
      <c r="B16" s="586"/>
      <c r="C16" s="598"/>
      <c r="D16" s="559"/>
      <c r="E16" s="701"/>
      <c r="F16" s="270" t="s">
        <v>803</v>
      </c>
      <c r="G16" s="270" t="s">
        <v>804</v>
      </c>
      <c r="H16" s="270">
        <f>20000*117/100</f>
        <v>23400</v>
      </c>
      <c r="I16" s="689"/>
      <c r="J16" s="690"/>
      <c r="K16" s="562"/>
      <c r="L16" s="561"/>
      <c r="M16" s="673"/>
      <c r="N16" s="674"/>
      <c r="O16" s="672"/>
    </row>
    <row r="17" spans="1:15" ht="14.25" x14ac:dyDescent="0.2">
      <c r="A17" s="595"/>
      <c r="B17" s="581" t="s">
        <v>549</v>
      </c>
      <c r="C17" s="582"/>
      <c r="D17" s="582"/>
      <c r="E17" s="582"/>
      <c r="F17" s="582"/>
      <c r="G17" s="582"/>
      <c r="H17" s="582"/>
      <c r="I17" s="582"/>
      <c r="J17" s="582"/>
      <c r="K17" s="582"/>
      <c r="L17" s="582"/>
      <c r="M17" s="582"/>
      <c r="N17" s="582"/>
      <c r="O17" s="583"/>
    </row>
    <row r="18" spans="1:15" ht="15.75" x14ac:dyDescent="0.2">
      <c r="A18" s="556" t="s">
        <v>802</v>
      </c>
      <c r="B18" s="557"/>
      <c r="C18" s="557"/>
      <c r="D18" s="557"/>
      <c r="E18" s="557"/>
      <c r="F18" s="557"/>
      <c r="G18" s="557"/>
      <c r="H18" s="557"/>
      <c r="I18" s="557"/>
      <c r="J18" s="557"/>
      <c r="K18" s="557"/>
      <c r="L18" s="557"/>
      <c r="M18" s="557"/>
      <c r="N18" s="557"/>
      <c r="O18" s="661"/>
    </row>
    <row r="19" spans="1:15" ht="60" x14ac:dyDescent="0.2">
      <c r="A19" s="593">
        <v>3</v>
      </c>
      <c r="B19" s="271" t="s">
        <v>807</v>
      </c>
      <c r="C19" s="272" t="s">
        <v>88</v>
      </c>
      <c r="D19" s="16" t="s">
        <v>92</v>
      </c>
      <c r="E19" s="17">
        <v>100</v>
      </c>
      <c r="F19" s="18" t="s">
        <v>14</v>
      </c>
      <c r="G19" s="18" t="s">
        <v>14</v>
      </c>
      <c r="H19" s="277">
        <f>36000*117/100</f>
        <v>42120</v>
      </c>
      <c r="I19" s="18">
        <f>H19</f>
        <v>42120</v>
      </c>
      <c r="J19" s="16" t="s">
        <v>13</v>
      </c>
      <c r="K19" s="275" t="s">
        <v>17</v>
      </c>
      <c r="L19" s="278" t="s">
        <v>97</v>
      </c>
      <c r="M19" s="276">
        <f>I19</f>
        <v>42120</v>
      </c>
      <c r="N19" s="273"/>
      <c r="O19" s="274"/>
    </row>
    <row r="20" spans="1:15" ht="14.25" x14ac:dyDescent="0.2">
      <c r="A20" s="595"/>
      <c r="B20" s="581" t="s">
        <v>808</v>
      </c>
      <c r="C20" s="582"/>
      <c r="D20" s="582"/>
      <c r="E20" s="582"/>
      <c r="F20" s="582"/>
      <c r="G20" s="582"/>
      <c r="H20" s="582"/>
      <c r="I20" s="582"/>
      <c r="J20" s="582"/>
      <c r="K20" s="582"/>
      <c r="L20" s="582"/>
      <c r="M20" s="582"/>
      <c r="N20" s="582"/>
      <c r="O20" s="583"/>
    </row>
    <row r="22" spans="1:15" ht="15.75" x14ac:dyDescent="0.2">
      <c r="A22" s="268"/>
      <c r="B22" s="269"/>
      <c r="C22" s="269"/>
      <c r="D22" s="269"/>
      <c r="E22" s="269"/>
      <c r="F22" s="269"/>
      <c r="G22" s="269"/>
      <c r="H22" s="269"/>
      <c r="I22" s="269"/>
      <c r="J22" s="269"/>
      <c r="K22" s="269"/>
      <c r="L22" s="269"/>
      <c r="M22" s="269"/>
      <c r="N22" s="269"/>
      <c r="O22" s="269"/>
    </row>
    <row r="23" spans="1:15" x14ac:dyDescent="0.2">
      <c r="B23" s="23"/>
    </row>
  </sheetData>
  <mergeCells count="34">
    <mergeCell ref="A7:O7"/>
    <mergeCell ref="A8:A9"/>
    <mergeCell ref="B9:O9"/>
    <mergeCell ref="E11:E12"/>
    <mergeCell ref="D11:D12"/>
    <mergeCell ref="I11:I12"/>
    <mergeCell ref="J11:J12"/>
    <mergeCell ref="A10:O10"/>
    <mergeCell ref="K11:K16"/>
    <mergeCell ref="L11:L16"/>
    <mergeCell ref="M11:M16"/>
    <mergeCell ref="E13:E14"/>
    <mergeCell ref="D13:D14"/>
    <mergeCell ref="I13:I14"/>
    <mergeCell ref="D15:D16"/>
    <mergeCell ref="E15:E16"/>
    <mergeCell ref="I15:I16"/>
    <mergeCell ref="J15:J16"/>
    <mergeCell ref="A18:O18"/>
    <mergeCell ref="A19:A20"/>
    <mergeCell ref="B20:O20"/>
    <mergeCell ref="N11:N16"/>
    <mergeCell ref="O11:O16"/>
    <mergeCell ref="B17:O17"/>
    <mergeCell ref="A11:A17"/>
    <mergeCell ref="B11:B16"/>
    <mergeCell ref="C11:C16"/>
    <mergeCell ref="J13:J14"/>
    <mergeCell ref="A1:A6"/>
    <mergeCell ref="B1:O1"/>
    <mergeCell ref="B2:O2"/>
    <mergeCell ref="B3:O3"/>
    <mergeCell ref="B4:O4"/>
    <mergeCell ref="B5:O5"/>
  </mergeCells>
  <pageMargins left="0.25" right="0.25" top="0.75" bottom="0.75" header="0.3" footer="0.3"/>
  <pageSetup paperSize="9" scale="72" fitToHeight="0" orientation="landscape" r:id="rId1"/>
  <rowBreaks count="1" manualBreakCount="1">
    <brk id="21"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783FE-1E6E-4F92-847F-FEC34AD9B5C5}">
  <dimension ref="A1:O251"/>
  <sheetViews>
    <sheetView rightToLeft="1" topLeftCell="A193" workbookViewId="0">
      <selection activeCell="A244" sqref="A244:XFD244"/>
    </sheetView>
  </sheetViews>
  <sheetFormatPr defaultRowHeight="14.25" x14ac:dyDescent="0.2"/>
  <cols>
    <col min="1" max="1" width="9" customWidth="1"/>
    <col min="2" max="2" width="17.75" customWidth="1"/>
    <col min="3" max="3" width="11.75" customWidth="1"/>
    <col min="4" max="4" width="19.25" customWidth="1"/>
    <col min="6" max="7" width="12.625" customWidth="1"/>
    <col min="8" max="8" width="15.5" customWidth="1"/>
    <col min="9" max="9" width="18.125" customWidth="1"/>
    <col min="10" max="10" width="12.875" customWidth="1"/>
    <col min="11" max="11" width="24.625" customWidth="1"/>
    <col min="12" max="12" width="22.25" customWidth="1"/>
    <col min="13" max="13" width="30.125" customWidth="1"/>
    <col min="14" max="14" width="20" customWidth="1"/>
    <col min="15" max="15" width="22.5" customWidth="1"/>
  </cols>
  <sheetData>
    <row r="1" spans="1:15" ht="20.25" x14ac:dyDescent="0.2">
      <c r="A1" s="607"/>
      <c r="B1" s="610" t="s">
        <v>853</v>
      </c>
      <c r="C1" s="611"/>
      <c r="D1" s="611"/>
      <c r="E1" s="611"/>
      <c r="F1" s="611"/>
      <c r="G1" s="611"/>
      <c r="H1" s="611"/>
      <c r="I1" s="611"/>
      <c r="J1" s="611"/>
      <c r="K1" s="611"/>
      <c r="L1" s="611"/>
      <c r="M1" s="611"/>
      <c r="N1" s="611"/>
      <c r="O1" s="612"/>
    </row>
    <row r="2" spans="1:15" x14ac:dyDescent="0.2">
      <c r="A2" s="608"/>
      <c r="B2" s="613" t="s">
        <v>854</v>
      </c>
      <c r="C2" s="614"/>
      <c r="D2" s="614"/>
      <c r="E2" s="614"/>
      <c r="F2" s="614"/>
      <c r="G2" s="614"/>
      <c r="H2" s="614"/>
      <c r="I2" s="614"/>
      <c r="J2" s="614"/>
      <c r="K2" s="614"/>
      <c r="L2" s="614"/>
      <c r="M2" s="614"/>
      <c r="N2" s="614"/>
      <c r="O2" s="615"/>
    </row>
    <row r="3" spans="1:15" x14ac:dyDescent="0.2">
      <c r="A3" s="608"/>
      <c r="B3" s="619" t="s">
        <v>52</v>
      </c>
      <c r="C3" s="620"/>
      <c r="D3" s="620"/>
      <c r="E3" s="620"/>
      <c r="F3" s="620"/>
      <c r="G3" s="620"/>
      <c r="H3" s="620"/>
      <c r="I3" s="620"/>
      <c r="J3" s="620"/>
      <c r="K3" s="620"/>
      <c r="L3" s="620"/>
      <c r="M3" s="620"/>
      <c r="N3" s="620"/>
      <c r="O3" s="621"/>
    </row>
    <row r="4" spans="1:15" x14ac:dyDescent="0.2">
      <c r="A4" s="608"/>
      <c r="B4" s="619" t="s">
        <v>51</v>
      </c>
      <c r="C4" s="620"/>
      <c r="D4" s="620"/>
      <c r="E4" s="620"/>
      <c r="F4" s="620"/>
      <c r="G4" s="620"/>
      <c r="H4" s="620"/>
      <c r="I4" s="620"/>
      <c r="J4" s="620"/>
      <c r="K4" s="620"/>
      <c r="L4" s="620"/>
      <c r="M4" s="620"/>
      <c r="N4" s="620"/>
      <c r="O4" s="621"/>
    </row>
    <row r="5" spans="1:15" ht="47.25" x14ac:dyDescent="0.2">
      <c r="A5" s="609"/>
      <c r="B5" s="295" t="s">
        <v>0</v>
      </c>
      <c r="C5" s="295" t="s">
        <v>1</v>
      </c>
      <c r="D5" s="222" t="s">
        <v>2</v>
      </c>
      <c r="E5" s="222" t="s">
        <v>3</v>
      </c>
      <c r="F5" s="222" t="s">
        <v>855</v>
      </c>
      <c r="G5" s="222" t="s">
        <v>5</v>
      </c>
      <c r="H5" s="2" t="s">
        <v>856</v>
      </c>
      <c r="I5" s="3" t="s">
        <v>857</v>
      </c>
      <c r="J5" s="222" t="s">
        <v>8</v>
      </c>
      <c r="K5" s="222" t="s">
        <v>9</v>
      </c>
      <c r="L5" s="222" t="s">
        <v>95</v>
      </c>
      <c r="M5" s="222" t="s">
        <v>729</v>
      </c>
      <c r="N5" s="222" t="s">
        <v>10</v>
      </c>
      <c r="O5" s="222" t="s">
        <v>11</v>
      </c>
    </row>
    <row r="6" spans="1:15" ht="15.75" x14ac:dyDescent="0.2">
      <c r="A6" s="556" t="s">
        <v>858</v>
      </c>
      <c r="B6" s="557"/>
      <c r="C6" s="557"/>
      <c r="D6" s="557"/>
      <c r="E6" s="557"/>
      <c r="F6" s="557"/>
      <c r="G6" s="557"/>
      <c r="H6" s="557"/>
      <c r="I6" s="557"/>
      <c r="J6" s="557"/>
      <c r="K6" s="557"/>
      <c r="L6" s="557"/>
      <c r="M6" s="557"/>
      <c r="N6" s="557"/>
      <c r="O6" s="661"/>
    </row>
    <row r="7" spans="1:15" ht="15.75" x14ac:dyDescent="0.2">
      <c r="A7" s="294"/>
      <c r="B7" s="581"/>
      <c r="C7" s="582"/>
      <c r="D7" s="582"/>
      <c r="E7" s="582"/>
      <c r="F7" s="582"/>
      <c r="G7" s="582"/>
      <c r="H7" s="582"/>
      <c r="I7" s="582"/>
      <c r="J7" s="582"/>
      <c r="K7" s="582"/>
      <c r="L7" s="582"/>
      <c r="M7" s="582"/>
      <c r="N7" s="582"/>
      <c r="O7" s="583"/>
    </row>
    <row r="8" spans="1:15" ht="15.75" x14ac:dyDescent="0.2">
      <c r="A8" s="556" t="s">
        <v>859</v>
      </c>
      <c r="B8" s="557"/>
      <c r="C8" s="557"/>
      <c r="D8" s="557"/>
      <c r="E8" s="557"/>
      <c r="F8" s="557"/>
      <c r="G8" s="557"/>
      <c r="H8" s="557"/>
      <c r="I8" s="557"/>
      <c r="J8" s="557"/>
      <c r="K8" s="557"/>
      <c r="L8" s="557"/>
      <c r="M8" s="557"/>
      <c r="N8" s="557"/>
      <c r="O8" s="661"/>
    </row>
    <row r="9" spans="1:15" ht="114" x14ac:dyDescent="0.2">
      <c r="A9" s="593">
        <v>1</v>
      </c>
      <c r="B9" s="298" t="s">
        <v>860</v>
      </c>
      <c r="C9" s="302" t="s">
        <v>861</v>
      </c>
      <c r="D9" s="244" t="s">
        <v>703</v>
      </c>
      <c r="E9" s="245">
        <v>100</v>
      </c>
      <c r="F9" s="246" t="s">
        <v>12</v>
      </c>
      <c r="G9" s="246" t="s">
        <v>862</v>
      </c>
      <c r="H9" s="246" t="s">
        <v>863</v>
      </c>
      <c r="I9" s="246">
        <v>23868</v>
      </c>
      <c r="J9" s="244" t="s">
        <v>13</v>
      </c>
      <c r="K9" s="297" t="s">
        <v>116</v>
      </c>
      <c r="L9" s="278" t="s">
        <v>864</v>
      </c>
      <c r="M9" s="311">
        <v>23868</v>
      </c>
      <c r="N9" s="300" t="s">
        <v>18</v>
      </c>
      <c r="O9" s="301"/>
    </row>
    <row r="10" spans="1:15" x14ac:dyDescent="0.2">
      <c r="A10" s="595"/>
      <c r="B10" s="581" t="s">
        <v>865</v>
      </c>
      <c r="C10" s="582"/>
      <c r="D10" s="582"/>
      <c r="E10" s="582"/>
      <c r="F10" s="582"/>
      <c r="G10" s="582"/>
      <c r="H10" s="582"/>
      <c r="I10" s="582"/>
      <c r="J10" s="582"/>
      <c r="K10" s="582"/>
      <c r="L10" s="582"/>
      <c r="M10" s="582"/>
      <c r="N10" s="582"/>
      <c r="O10" s="583"/>
    </row>
    <row r="11" spans="1:15" ht="15.75" x14ac:dyDescent="0.2">
      <c r="A11" s="556" t="s">
        <v>866</v>
      </c>
      <c r="B11" s="557"/>
      <c r="C11" s="557"/>
      <c r="D11" s="557"/>
      <c r="E11" s="557"/>
      <c r="F11" s="557"/>
      <c r="G11" s="557"/>
      <c r="H11" s="557"/>
      <c r="I11" s="557"/>
      <c r="J11" s="557"/>
      <c r="K11" s="557"/>
      <c r="L11" s="557"/>
      <c r="M11" s="557"/>
      <c r="N11" s="557"/>
      <c r="O11" s="661"/>
    </row>
    <row r="12" spans="1:15" ht="94.5" x14ac:dyDescent="0.2">
      <c r="A12" s="593">
        <v>2</v>
      </c>
      <c r="B12" s="298" t="s">
        <v>867</v>
      </c>
      <c r="C12" s="302" t="s">
        <v>868</v>
      </c>
      <c r="D12" s="244" t="s">
        <v>869</v>
      </c>
      <c r="E12" s="245">
        <v>100</v>
      </c>
      <c r="F12" s="246" t="s">
        <v>14</v>
      </c>
      <c r="G12" s="246" t="s">
        <v>870</v>
      </c>
      <c r="H12" s="246">
        <v>23400</v>
      </c>
      <c r="I12" s="246">
        <v>23400</v>
      </c>
      <c r="J12" s="244" t="s">
        <v>13</v>
      </c>
      <c r="K12" s="297" t="s">
        <v>116</v>
      </c>
      <c r="L12" s="278" t="s">
        <v>871</v>
      </c>
      <c r="M12" s="311">
        <v>18720</v>
      </c>
      <c r="N12" s="300" t="s">
        <v>18</v>
      </c>
      <c r="O12" s="301"/>
    </row>
    <row r="13" spans="1:15" x14ac:dyDescent="0.2">
      <c r="A13" s="595"/>
      <c r="B13" s="581" t="s">
        <v>872</v>
      </c>
      <c r="C13" s="582"/>
      <c r="D13" s="582"/>
      <c r="E13" s="582"/>
      <c r="F13" s="582"/>
      <c r="G13" s="582"/>
      <c r="H13" s="582"/>
      <c r="I13" s="582"/>
      <c r="J13" s="582"/>
      <c r="K13" s="582"/>
      <c r="L13" s="582"/>
      <c r="M13" s="582"/>
      <c r="N13" s="582"/>
      <c r="O13" s="583"/>
    </row>
    <row r="14" spans="1:15" ht="15.75" x14ac:dyDescent="0.2">
      <c r="A14" s="556" t="s">
        <v>873</v>
      </c>
      <c r="B14" s="557"/>
      <c r="C14" s="557"/>
      <c r="D14" s="557"/>
      <c r="E14" s="557"/>
      <c r="F14" s="557"/>
      <c r="G14" s="557"/>
      <c r="H14" s="557"/>
      <c r="I14" s="557"/>
      <c r="J14" s="557"/>
      <c r="K14" s="557"/>
      <c r="L14" s="557"/>
      <c r="M14" s="557"/>
      <c r="N14" s="557"/>
      <c r="O14" s="661"/>
    </row>
    <row r="15" spans="1:15" x14ac:dyDescent="0.2">
      <c r="A15" s="593">
        <v>3</v>
      </c>
      <c r="B15" s="585" t="s">
        <v>874</v>
      </c>
      <c r="C15" s="597" t="s">
        <v>875</v>
      </c>
      <c r="D15" s="244" t="s">
        <v>741</v>
      </c>
      <c r="E15" s="245">
        <v>100</v>
      </c>
      <c r="F15" s="246" t="s">
        <v>14</v>
      </c>
      <c r="G15" s="246" t="s">
        <v>14</v>
      </c>
      <c r="H15" s="246">
        <v>20003</v>
      </c>
      <c r="I15" s="246">
        <v>20003</v>
      </c>
      <c r="J15" s="244" t="s">
        <v>13</v>
      </c>
      <c r="K15" s="560" t="s">
        <v>15</v>
      </c>
      <c r="L15" s="560" t="s">
        <v>97</v>
      </c>
      <c r="M15" s="702">
        <v>20003</v>
      </c>
      <c r="N15" s="659" t="s">
        <v>18</v>
      </c>
      <c r="O15" s="671"/>
    </row>
    <row r="16" spans="1:15" x14ac:dyDescent="0.2">
      <c r="A16" s="594"/>
      <c r="B16" s="586"/>
      <c r="C16" s="598"/>
      <c r="D16" s="296" t="s">
        <v>93</v>
      </c>
      <c r="E16" s="299">
        <v>80</v>
      </c>
      <c r="F16" s="34" t="s">
        <v>14</v>
      </c>
      <c r="G16" s="34" t="s">
        <v>14</v>
      </c>
      <c r="H16" s="34">
        <v>27976</v>
      </c>
      <c r="I16" s="34">
        <v>27976</v>
      </c>
      <c r="J16" s="296" t="s">
        <v>13</v>
      </c>
      <c r="K16" s="561"/>
      <c r="L16" s="561"/>
      <c r="M16" s="703"/>
      <c r="N16" s="674"/>
      <c r="O16" s="672"/>
    </row>
    <row r="17" spans="1:15" x14ac:dyDescent="0.2">
      <c r="A17" s="594"/>
      <c r="B17" s="586"/>
      <c r="C17" s="598"/>
      <c r="D17" s="296" t="s">
        <v>742</v>
      </c>
      <c r="E17" s="299">
        <v>79</v>
      </c>
      <c r="F17" s="34" t="s">
        <v>14</v>
      </c>
      <c r="G17" s="34" t="s">
        <v>14</v>
      </c>
      <c r="H17" s="34">
        <v>25611</v>
      </c>
      <c r="I17" s="34">
        <v>25611</v>
      </c>
      <c r="J17" s="296" t="s">
        <v>13</v>
      </c>
      <c r="K17" s="561"/>
      <c r="L17" s="561"/>
      <c r="M17" s="703"/>
      <c r="N17" s="674"/>
      <c r="O17" s="672"/>
    </row>
    <row r="18" spans="1:15" x14ac:dyDescent="0.2">
      <c r="A18" s="594"/>
      <c r="B18" s="586"/>
      <c r="C18" s="598"/>
      <c r="D18" s="296" t="s">
        <v>743</v>
      </c>
      <c r="E18" s="299">
        <v>78</v>
      </c>
      <c r="F18" s="34" t="s">
        <v>14</v>
      </c>
      <c r="G18" s="34" t="s">
        <v>14</v>
      </c>
      <c r="H18" s="34">
        <v>29016</v>
      </c>
      <c r="I18" s="34">
        <v>29016</v>
      </c>
      <c r="J18" s="296" t="s">
        <v>13</v>
      </c>
      <c r="K18" s="561"/>
      <c r="L18" s="561"/>
      <c r="M18" s="703"/>
      <c r="N18" s="674"/>
      <c r="O18" s="672"/>
    </row>
    <row r="19" spans="1:15" x14ac:dyDescent="0.2">
      <c r="A19" s="594"/>
      <c r="B19" s="596"/>
      <c r="C19" s="599"/>
      <c r="D19" s="296" t="s">
        <v>744</v>
      </c>
      <c r="E19" s="299">
        <v>69</v>
      </c>
      <c r="F19" s="34" t="s">
        <v>14</v>
      </c>
      <c r="G19" s="34" t="s">
        <v>14</v>
      </c>
      <c r="H19" s="34">
        <v>30888</v>
      </c>
      <c r="I19" s="34">
        <v>30888</v>
      </c>
      <c r="J19" s="296" t="s">
        <v>13</v>
      </c>
      <c r="K19" s="562"/>
      <c r="L19" s="562"/>
      <c r="M19" s="704"/>
      <c r="N19" s="660"/>
      <c r="O19" s="705"/>
    </row>
    <row r="20" spans="1:15" ht="24" customHeight="1" x14ac:dyDescent="0.2">
      <c r="A20" s="595"/>
      <c r="B20" s="581"/>
      <c r="C20" s="582"/>
      <c r="D20" s="582"/>
      <c r="E20" s="582"/>
      <c r="F20" s="582"/>
      <c r="G20" s="582"/>
      <c r="H20" s="582"/>
      <c r="I20" s="582"/>
      <c r="J20" s="582"/>
      <c r="K20" s="582"/>
      <c r="L20" s="582"/>
      <c r="M20" s="582"/>
      <c r="N20" s="582"/>
      <c r="O20" s="583"/>
    </row>
    <row r="21" spans="1:15" ht="15.75" x14ac:dyDescent="0.2">
      <c r="A21" s="556" t="s">
        <v>876</v>
      </c>
      <c r="B21" s="557"/>
      <c r="C21" s="557"/>
      <c r="D21" s="557"/>
      <c r="E21" s="557"/>
      <c r="F21" s="557"/>
      <c r="G21" s="557"/>
      <c r="H21" s="557"/>
      <c r="I21" s="557"/>
      <c r="J21" s="557"/>
      <c r="K21" s="557"/>
      <c r="L21" s="557"/>
      <c r="M21" s="557"/>
      <c r="N21" s="557"/>
      <c r="O21" s="661"/>
    </row>
    <row r="22" spans="1:15" ht="51" x14ac:dyDescent="0.2">
      <c r="A22" s="594">
        <v>4</v>
      </c>
      <c r="B22" s="298" t="s">
        <v>877</v>
      </c>
      <c r="C22" s="302" t="s">
        <v>875</v>
      </c>
      <c r="D22" s="244" t="s">
        <v>878</v>
      </c>
      <c r="E22" s="14">
        <v>100</v>
      </c>
      <c r="F22" s="15" t="s">
        <v>12</v>
      </c>
      <c r="G22" s="15" t="s">
        <v>879</v>
      </c>
      <c r="H22" s="15" t="s">
        <v>880</v>
      </c>
      <c r="I22" s="15" t="s">
        <v>881</v>
      </c>
      <c r="J22" s="13" t="s">
        <v>13</v>
      </c>
      <c r="K22" s="297" t="s">
        <v>882</v>
      </c>
      <c r="L22" s="297" t="s">
        <v>97</v>
      </c>
      <c r="M22" s="311" t="s">
        <v>881</v>
      </c>
      <c r="N22" s="300" t="s">
        <v>18</v>
      </c>
      <c r="O22" s="301"/>
    </row>
    <row r="23" spans="1:15" ht="45.75" customHeight="1" x14ac:dyDescent="0.2">
      <c r="A23" s="595"/>
      <c r="B23" s="581" t="s">
        <v>883</v>
      </c>
      <c r="C23" s="582"/>
      <c r="D23" s="582"/>
      <c r="E23" s="582"/>
      <c r="F23" s="582"/>
      <c r="G23" s="582"/>
      <c r="H23" s="582"/>
      <c r="I23" s="582"/>
      <c r="J23" s="582"/>
      <c r="K23" s="582"/>
      <c r="L23" s="582"/>
      <c r="M23" s="582"/>
      <c r="N23" s="582"/>
      <c r="O23" s="583"/>
    </row>
    <row r="24" spans="1:15" ht="15.75" x14ac:dyDescent="0.2">
      <c r="A24" s="556" t="s">
        <v>884</v>
      </c>
      <c r="B24" s="557"/>
      <c r="C24" s="557"/>
      <c r="D24" s="557"/>
      <c r="E24" s="557"/>
      <c r="F24" s="557"/>
      <c r="G24" s="557"/>
      <c r="H24" s="557"/>
      <c r="I24" s="557"/>
      <c r="J24" s="557"/>
      <c r="K24" s="557"/>
      <c r="L24" s="557"/>
      <c r="M24" s="557"/>
      <c r="N24" s="557"/>
      <c r="O24" s="661"/>
    </row>
    <row r="25" spans="1:15" ht="48" customHeight="1" x14ac:dyDescent="0.2">
      <c r="A25" s="593">
        <v>5</v>
      </c>
      <c r="B25" s="298" t="s">
        <v>885</v>
      </c>
      <c r="C25" s="302" t="s">
        <v>875</v>
      </c>
      <c r="D25" s="244" t="s">
        <v>886</v>
      </c>
      <c r="E25" s="245">
        <v>100</v>
      </c>
      <c r="F25" s="246" t="s">
        <v>14</v>
      </c>
      <c r="G25" s="246" t="s">
        <v>14</v>
      </c>
      <c r="H25" s="246" t="s">
        <v>887</v>
      </c>
      <c r="I25" s="246" t="s">
        <v>888</v>
      </c>
      <c r="J25" s="244" t="s">
        <v>13</v>
      </c>
      <c r="K25" s="297" t="s">
        <v>889</v>
      </c>
      <c r="L25" s="297" t="s">
        <v>97</v>
      </c>
      <c r="M25" s="311" t="s">
        <v>887</v>
      </c>
      <c r="N25" s="300" t="s">
        <v>18</v>
      </c>
      <c r="O25" s="301"/>
    </row>
    <row r="26" spans="1:15" x14ac:dyDescent="0.2">
      <c r="A26" s="595"/>
      <c r="B26" s="581"/>
      <c r="C26" s="582"/>
      <c r="D26" s="582"/>
      <c r="E26" s="582"/>
      <c r="F26" s="582"/>
      <c r="G26" s="582"/>
      <c r="H26" s="582"/>
      <c r="I26" s="582"/>
      <c r="J26" s="582"/>
      <c r="K26" s="582"/>
      <c r="L26" s="582"/>
      <c r="M26" s="582"/>
      <c r="N26" s="582"/>
      <c r="O26" s="583"/>
    </row>
    <row r="27" spans="1:15" ht="15.75" x14ac:dyDescent="0.2">
      <c r="A27" s="556" t="s">
        <v>890</v>
      </c>
      <c r="B27" s="557"/>
      <c r="C27" s="557"/>
      <c r="D27" s="557"/>
      <c r="E27" s="557"/>
      <c r="F27" s="557"/>
      <c r="G27" s="557"/>
      <c r="H27" s="557"/>
      <c r="I27" s="557"/>
      <c r="J27" s="557"/>
      <c r="K27" s="557"/>
      <c r="L27" s="557"/>
      <c r="M27" s="557"/>
      <c r="N27" s="557"/>
      <c r="O27" s="661"/>
    </row>
    <row r="28" spans="1:15" ht="14.25" customHeight="1" x14ac:dyDescent="0.2">
      <c r="A28" s="593">
        <v>6</v>
      </c>
      <c r="B28" s="585" t="s">
        <v>891</v>
      </c>
      <c r="C28" s="597" t="s">
        <v>875</v>
      </c>
      <c r="D28" s="244" t="s">
        <v>892</v>
      </c>
      <c r="E28" s="245">
        <v>100</v>
      </c>
      <c r="F28" s="246" t="s">
        <v>14</v>
      </c>
      <c r="G28" s="246" t="s">
        <v>14</v>
      </c>
      <c r="H28" s="246" t="s">
        <v>893</v>
      </c>
      <c r="I28" s="246" t="s">
        <v>893</v>
      </c>
      <c r="J28" s="244" t="s">
        <v>13</v>
      </c>
      <c r="K28" s="560" t="s">
        <v>894</v>
      </c>
      <c r="L28" s="560" t="s">
        <v>97</v>
      </c>
      <c r="M28" s="702" t="s">
        <v>895</v>
      </c>
      <c r="N28" s="659" t="s">
        <v>18</v>
      </c>
      <c r="O28" s="671"/>
    </row>
    <row r="29" spans="1:15" x14ac:dyDescent="0.2">
      <c r="A29" s="594"/>
      <c r="B29" s="586"/>
      <c r="C29" s="598"/>
      <c r="D29" s="296" t="s">
        <v>896</v>
      </c>
      <c r="E29" s="299">
        <v>54</v>
      </c>
      <c r="F29" s="34" t="s">
        <v>14</v>
      </c>
      <c r="G29" s="34" t="s">
        <v>14</v>
      </c>
      <c r="H29" s="299" t="s">
        <v>897</v>
      </c>
      <c r="I29" s="299" t="s">
        <v>897</v>
      </c>
      <c r="J29" s="296" t="s">
        <v>13</v>
      </c>
      <c r="K29" s="561"/>
      <c r="L29" s="561"/>
      <c r="M29" s="703"/>
      <c r="N29" s="674"/>
      <c r="O29" s="672"/>
    </row>
    <row r="30" spans="1:15" ht="63" customHeight="1" x14ac:dyDescent="0.2">
      <c r="A30" s="594"/>
      <c r="B30" s="586"/>
      <c r="C30" s="598"/>
      <c r="D30" s="296" t="s">
        <v>898</v>
      </c>
      <c r="E30" s="299">
        <v>59</v>
      </c>
      <c r="F30" s="34" t="s">
        <v>14</v>
      </c>
      <c r="G30" s="34" t="s">
        <v>14</v>
      </c>
      <c r="H30" s="34" t="s">
        <v>899</v>
      </c>
      <c r="I30" s="34" t="s">
        <v>899</v>
      </c>
      <c r="J30" s="296" t="s">
        <v>13</v>
      </c>
      <c r="K30" s="561"/>
      <c r="L30" s="561"/>
      <c r="M30" s="703"/>
      <c r="N30" s="674"/>
      <c r="O30" s="672"/>
    </row>
    <row r="31" spans="1:15" x14ac:dyDescent="0.2">
      <c r="A31" s="595"/>
      <c r="B31" s="581"/>
      <c r="C31" s="582"/>
      <c r="D31" s="582"/>
      <c r="E31" s="582"/>
      <c r="F31" s="582"/>
      <c r="G31" s="582"/>
      <c r="H31" s="582"/>
      <c r="I31" s="582"/>
      <c r="J31" s="582"/>
      <c r="K31" s="582"/>
      <c r="L31" s="582"/>
      <c r="M31" s="582"/>
      <c r="N31" s="582"/>
      <c r="O31" s="583"/>
    </row>
    <row r="32" spans="1:15" ht="30.75" customHeight="1" x14ac:dyDescent="0.2">
      <c r="A32" s="556" t="s">
        <v>900</v>
      </c>
      <c r="B32" s="557"/>
      <c r="C32" s="557"/>
      <c r="D32" s="557"/>
      <c r="E32" s="557"/>
      <c r="F32" s="557"/>
      <c r="G32" s="557"/>
      <c r="H32" s="557"/>
      <c r="I32" s="557"/>
      <c r="J32" s="557"/>
      <c r="K32" s="557"/>
      <c r="L32" s="557"/>
      <c r="M32" s="557"/>
      <c r="N32" s="557"/>
      <c r="O32" s="661"/>
    </row>
    <row r="33" spans="1:15" ht="57.75" customHeight="1" x14ac:dyDescent="0.2">
      <c r="A33" s="593">
        <v>7</v>
      </c>
      <c r="B33" s="298" t="s">
        <v>901</v>
      </c>
      <c r="C33" s="302" t="s">
        <v>902</v>
      </c>
      <c r="D33" s="244" t="s">
        <v>138</v>
      </c>
      <c r="E33" s="245">
        <v>100</v>
      </c>
      <c r="F33" s="246" t="s">
        <v>14</v>
      </c>
      <c r="G33" s="246" t="s">
        <v>14</v>
      </c>
      <c r="H33" s="246" t="s">
        <v>903</v>
      </c>
      <c r="I33" s="246" t="s">
        <v>903</v>
      </c>
      <c r="J33" s="244"/>
      <c r="K33" s="297" t="s">
        <v>116</v>
      </c>
      <c r="L33" s="297" t="s">
        <v>97</v>
      </c>
      <c r="M33" s="311" t="s">
        <v>903</v>
      </c>
      <c r="N33" s="300" t="s">
        <v>18</v>
      </c>
      <c r="O33" s="301"/>
    </row>
    <row r="34" spans="1:15" ht="15" customHeight="1" x14ac:dyDescent="0.2">
      <c r="A34" s="595"/>
      <c r="B34" s="581" t="s">
        <v>904</v>
      </c>
      <c r="C34" s="582"/>
      <c r="D34" s="582"/>
      <c r="E34" s="582"/>
      <c r="F34" s="582"/>
      <c r="G34" s="582"/>
      <c r="H34" s="582"/>
      <c r="I34" s="582"/>
      <c r="J34" s="582"/>
      <c r="K34" s="582"/>
      <c r="L34" s="582"/>
      <c r="M34" s="582"/>
      <c r="N34" s="582"/>
      <c r="O34" s="583"/>
    </row>
    <row r="35" spans="1:15" ht="15.75" x14ac:dyDescent="0.2">
      <c r="A35" s="556" t="s">
        <v>905</v>
      </c>
      <c r="B35" s="557"/>
      <c r="C35" s="557"/>
      <c r="D35" s="557"/>
      <c r="E35" s="557"/>
      <c r="F35" s="557"/>
      <c r="G35" s="557"/>
      <c r="H35" s="557"/>
      <c r="I35" s="557"/>
      <c r="J35" s="557"/>
      <c r="K35" s="557"/>
      <c r="L35" s="557"/>
      <c r="M35" s="557"/>
      <c r="N35" s="557"/>
      <c r="O35" s="661"/>
    </row>
    <row r="36" spans="1:15" x14ac:dyDescent="0.2">
      <c r="A36" s="593">
        <v>8</v>
      </c>
      <c r="B36" s="585" t="s">
        <v>906</v>
      </c>
      <c r="C36" s="597" t="s">
        <v>875</v>
      </c>
      <c r="D36" s="312" t="s">
        <v>907</v>
      </c>
      <c r="E36" s="313">
        <v>100</v>
      </c>
      <c r="F36" s="314" t="s">
        <v>14</v>
      </c>
      <c r="G36" s="314" t="s">
        <v>14</v>
      </c>
      <c r="H36" s="314" t="s">
        <v>908</v>
      </c>
      <c r="I36" s="314" t="s">
        <v>908</v>
      </c>
      <c r="J36" s="312" t="s">
        <v>13</v>
      </c>
      <c r="K36" s="560" t="s">
        <v>15</v>
      </c>
      <c r="L36" s="560" t="s">
        <v>97</v>
      </c>
      <c r="M36" s="702" t="s">
        <v>908</v>
      </c>
      <c r="N36" s="659" t="s">
        <v>18</v>
      </c>
      <c r="O36" s="671"/>
    </row>
    <row r="37" spans="1:15" x14ac:dyDescent="0.2">
      <c r="A37" s="594"/>
      <c r="B37" s="586"/>
      <c r="C37" s="598"/>
      <c r="D37" s="296" t="s">
        <v>414</v>
      </c>
      <c r="E37" s="299">
        <v>94</v>
      </c>
      <c r="F37" s="34" t="s">
        <v>14</v>
      </c>
      <c r="G37" s="34" t="s">
        <v>14</v>
      </c>
      <c r="H37" s="34" t="s">
        <v>909</v>
      </c>
      <c r="I37" s="315" t="s">
        <v>909</v>
      </c>
      <c r="J37" s="296" t="s">
        <v>13</v>
      </c>
      <c r="K37" s="561"/>
      <c r="L37" s="561"/>
      <c r="M37" s="703"/>
      <c r="N37" s="674"/>
      <c r="O37" s="672"/>
    </row>
    <row r="38" spans="1:15" x14ac:dyDescent="0.2">
      <c r="A38" s="594"/>
      <c r="B38" s="586"/>
      <c r="C38" s="598"/>
      <c r="D38" s="296" t="s">
        <v>174</v>
      </c>
      <c r="E38" s="299">
        <v>86</v>
      </c>
      <c r="F38" s="34" t="s">
        <v>14</v>
      </c>
      <c r="G38" s="34" t="s">
        <v>14</v>
      </c>
      <c r="H38" s="34" t="s">
        <v>910</v>
      </c>
      <c r="I38" s="34" t="s">
        <v>910</v>
      </c>
      <c r="J38" s="296" t="s">
        <v>13</v>
      </c>
      <c r="K38" s="561"/>
      <c r="L38" s="561"/>
      <c r="M38" s="703"/>
      <c r="N38" s="674"/>
      <c r="O38" s="672"/>
    </row>
    <row r="39" spans="1:15" x14ac:dyDescent="0.2">
      <c r="A39" s="595"/>
      <c r="B39" s="581"/>
      <c r="C39" s="582"/>
      <c r="D39" s="582"/>
      <c r="E39" s="582"/>
      <c r="F39" s="582"/>
      <c r="G39" s="582"/>
      <c r="H39" s="582"/>
      <c r="I39" s="582"/>
      <c r="J39" s="582"/>
      <c r="K39" s="582"/>
      <c r="L39" s="582"/>
      <c r="M39" s="582"/>
      <c r="N39" s="582"/>
      <c r="O39" s="583"/>
    </row>
    <row r="40" spans="1:15" ht="15.75" x14ac:dyDescent="0.2">
      <c r="A40" s="556" t="s">
        <v>911</v>
      </c>
      <c r="B40" s="557"/>
      <c r="C40" s="557"/>
      <c r="D40" s="557"/>
      <c r="E40" s="557"/>
      <c r="F40" s="557"/>
      <c r="G40" s="557"/>
      <c r="H40" s="557"/>
      <c r="I40" s="557"/>
      <c r="J40" s="557"/>
      <c r="K40" s="557"/>
      <c r="L40" s="557"/>
      <c r="M40" s="557"/>
      <c r="N40" s="557"/>
      <c r="O40" s="661"/>
    </row>
    <row r="41" spans="1:15" x14ac:dyDescent="0.2">
      <c r="A41" s="593">
        <v>9</v>
      </c>
      <c r="B41" s="585" t="s">
        <v>912</v>
      </c>
      <c r="C41" s="597" t="s">
        <v>902</v>
      </c>
      <c r="D41" s="244" t="s">
        <v>913</v>
      </c>
      <c r="E41" s="313">
        <v>100</v>
      </c>
      <c r="F41" s="314" t="s">
        <v>14</v>
      </c>
      <c r="G41" s="314" t="s">
        <v>14</v>
      </c>
      <c r="H41" s="246">
        <v>131040</v>
      </c>
      <c r="I41" s="246">
        <v>131040</v>
      </c>
      <c r="J41" s="244" t="s">
        <v>13</v>
      </c>
      <c r="K41" s="560" t="s">
        <v>15</v>
      </c>
      <c r="L41" s="560" t="s">
        <v>97</v>
      </c>
      <c r="M41" s="702" t="s">
        <v>914</v>
      </c>
      <c r="N41" s="659" t="s">
        <v>18</v>
      </c>
      <c r="O41" s="671"/>
    </row>
    <row r="42" spans="1:15" x14ac:dyDescent="0.2">
      <c r="A42" s="594"/>
      <c r="B42" s="586"/>
      <c r="C42" s="598"/>
      <c r="D42" s="296" t="s">
        <v>138</v>
      </c>
      <c r="E42" s="299">
        <v>94</v>
      </c>
      <c r="F42" s="34" t="s">
        <v>14</v>
      </c>
      <c r="G42" s="34" t="s">
        <v>14</v>
      </c>
      <c r="H42" s="34">
        <v>131040</v>
      </c>
      <c r="I42" s="34">
        <v>131040</v>
      </c>
      <c r="J42" s="296" t="s">
        <v>13</v>
      </c>
      <c r="K42" s="561"/>
      <c r="L42" s="561"/>
      <c r="M42" s="703"/>
      <c r="N42" s="674"/>
      <c r="O42" s="672"/>
    </row>
    <row r="43" spans="1:15" x14ac:dyDescent="0.2">
      <c r="A43" s="594"/>
      <c r="B43" s="586"/>
      <c r="C43" s="598"/>
      <c r="D43" s="296" t="s">
        <v>915</v>
      </c>
      <c r="E43" s="299">
        <v>94</v>
      </c>
      <c r="F43" s="34" t="s">
        <v>14</v>
      </c>
      <c r="G43" s="34" t="s">
        <v>14</v>
      </c>
      <c r="H43" s="34">
        <v>131040</v>
      </c>
      <c r="I43" s="34">
        <v>131040</v>
      </c>
      <c r="J43" s="296" t="s">
        <v>13</v>
      </c>
      <c r="K43" s="561"/>
      <c r="L43" s="561"/>
      <c r="M43" s="703"/>
      <c r="N43" s="674"/>
      <c r="O43" s="672"/>
    </row>
    <row r="44" spans="1:15" x14ac:dyDescent="0.2">
      <c r="A44" s="594"/>
      <c r="B44" s="586"/>
      <c r="C44" s="598"/>
      <c r="D44" s="296" t="s">
        <v>692</v>
      </c>
      <c r="E44" s="299">
        <v>76</v>
      </c>
      <c r="F44" s="34" t="s">
        <v>14</v>
      </c>
      <c r="G44" s="34" t="s">
        <v>14</v>
      </c>
      <c r="H44" s="34">
        <v>198607.5</v>
      </c>
      <c r="I44" s="34">
        <v>198607.5</v>
      </c>
      <c r="J44" s="296" t="s">
        <v>13</v>
      </c>
      <c r="K44" s="561"/>
      <c r="L44" s="561"/>
      <c r="M44" s="703"/>
      <c r="N44" s="674"/>
      <c r="O44" s="672"/>
    </row>
    <row r="45" spans="1:15" x14ac:dyDescent="0.2">
      <c r="A45" s="594"/>
      <c r="B45" s="596"/>
      <c r="C45" s="599"/>
      <c r="D45" s="296" t="s">
        <v>50</v>
      </c>
      <c r="E45" s="299">
        <v>83</v>
      </c>
      <c r="F45" s="34" t="s">
        <v>14</v>
      </c>
      <c r="G45" s="34" t="s">
        <v>14</v>
      </c>
      <c r="H45" s="34">
        <v>171990</v>
      </c>
      <c r="I45" s="34">
        <v>171990</v>
      </c>
      <c r="J45" s="296" t="s">
        <v>13</v>
      </c>
      <c r="K45" s="562"/>
      <c r="L45" s="562"/>
      <c r="M45" s="704"/>
      <c r="N45" s="660"/>
      <c r="O45" s="705"/>
    </row>
    <row r="46" spans="1:15" x14ac:dyDescent="0.2">
      <c r="A46" s="595"/>
      <c r="B46" s="581"/>
      <c r="C46" s="582"/>
      <c r="D46" s="582"/>
      <c r="E46" s="582"/>
      <c r="F46" s="582"/>
      <c r="G46" s="582"/>
      <c r="H46" s="582"/>
      <c r="I46" s="582"/>
      <c r="J46" s="582"/>
      <c r="K46" s="582"/>
      <c r="L46" s="582"/>
      <c r="M46" s="582"/>
      <c r="N46" s="582"/>
      <c r="O46" s="583"/>
    </row>
    <row r="47" spans="1:15" ht="15.75" x14ac:dyDescent="0.2">
      <c r="A47" s="556" t="s">
        <v>916</v>
      </c>
      <c r="B47" s="557"/>
      <c r="C47" s="557"/>
      <c r="D47" s="557"/>
      <c r="E47" s="557"/>
      <c r="F47" s="557"/>
      <c r="G47" s="557"/>
      <c r="H47" s="557"/>
      <c r="I47" s="557"/>
      <c r="J47" s="557"/>
      <c r="K47" s="557"/>
      <c r="L47" s="557"/>
      <c r="M47" s="557"/>
      <c r="N47" s="557"/>
      <c r="O47" s="661"/>
    </row>
    <row r="48" spans="1:15" x14ac:dyDescent="0.2">
      <c r="A48" s="593">
        <v>10</v>
      </c>
      <c r="B48" s="585" t="s">
        <v>917</v>
      </c>
      <c r="C48" s="585" t="s">
        <v>902</v>
      </c>
      <c r="D48" s="312" t="s">
        <v>691</v>
      </c>
      <c r="E48" s="313">
        <v>100</v>
      </c>
      <c r="F48" s="314" t="s">
        <v>14</v>
      </c>
      <c r="G48" s="314" t="s">
        <v>14</v>
      </c>
      <c r="H48" s="314" t="s">
        <v>918</v>
      </c>
      <c r="I48" s="314" t="s">
        <v>918</v>
      </c>
      <c r="J48" s="244" t="s">
        <v>13</v>
      </c>
      <c r="K48" s="560" t="s">
        <v>15</v>
      </c>
      <c r="L48" s="560" t="s">
        <v>97</v>
      </c>
      <c r="M48" s="702" t="s">
        <v>918</v>
      </c>
      <c r="N48" s="659" t="s">
        <v>18</v>
      </c>
      <c r="O48" s="671"/>
    </row>
    <row r="49" spans="1:15" x14ac:dyDescent="0.2">
      <c r="A49" s="594"/>
      <c r="B49" s="586"/>
      <c r="C49" s="586"/>
      <c r="D49" s="296" t="s">
        <v>354</v>
      </c>
      <c r="E49" s="299">
        <v>61</v>
      </c>
      <c r="F49" s="34" t="s">
        <v>14</v>
      </c>
      <c r="G49" s="34" t="s">
        <v>14</v>
      </c>
      <c r="H49" s="34" t="s">
        <v>919</v>
      </c>
      <c r="I49" s="34" t="s">
        <v>919</v>
      </c>
      <c r="J49" s="296" t="s">
        <v>13</v>
      </c>
      <c r="K49" s="561"/>
      <c r="L49" s="561"/>
      <c r="M49" s="703"/>
      <c r="N49" s="674"/>
      <c r="O49" s="672"/>
    </row>
    <row r="50" spans="1:15" x14ac:dyDescent="0.2">
      <c r="A50" s="594"/>
      <c r="B50" s="586"/>
      <c r="C50" s="586"/>
      <c r="D50" s="296" t="s">
        <v>138</v>
      </c>
      <c r="E50" s="299">
        <v>55</v>
      </c>
      <c r="F50" s="34" t="s">
        <v>14</v>
      </c>
      <c r="G50" s="34" t="s">
        <v>14</v>
      </c>
      <c r="H50" s="34" t="s">
        <v>920</v>
      </c>
      <c r="I50" s="34" t="s">
        <v>920</v>
      </c>
      <c r="J50" s="296" t="s">
        <v>13</v>
      </c>
      <c r="K50" s="561"/>
      <c r="L50" s="561"/>
      <c r="M50" s="703"/>
      <c r="N50" s="674"/>
      <c r="O50" s="672"/>
    </row>
    <row r="51" spans="1:15" x14ac:dyDescent="0.2">
      <c r="A51" s="594"/>
      <c r="B51" s="596"/>
      <c r="C51" s="596"/>
      <c r="D51" s="296" t="s">
        <v>921</v>
      </c>
      <c r="E51" s="299">
        <v>49</v>
      </c>
      <c r="F51" s="34" t="s">
        <v>14</v>
      </c>
      <c r="G51" s="34" t="s">
        <v>14</v>
      </c>
      <c r="H51" s="34" t="s">
        <v>922</v>
      </c>
      <c r="I51" s="34" t="s">
        <v>922</v>
      </c>
      <c r="J51" s="296" t="s">
        <v>13</v>
      </c>
      <c r="K51" s="562"/>
      <c r="L51" s="562"/>
      <c r="M51" s="704"/>
      <c r="N51" s="660"/>
      <c r="O51" s="705"/>
    </row>
    <row r="52" spans="1:15" ht="15.75" x14ac:dyDescent="0.2">
      <c r="A52" s="556" t="s">
        <v>923</v>
      </c>
      <c r="B52" s="557"/>
      <c r="C52" s="557"/>
      <c r="D52" s="557"/>
      <c r="E52" s="557"/>
      <c r="F52" s="557"/>
      <c r="G52" s="557"/>
      <c r="H52" s="557"/>
      <c r="I52" s="557"/>
      <c r="J52" s="557"/>
      <c r="K52" s="557"/>
      <c r="L52" s="557"/>
      <c r="M52" s="557"/>
      <c r="N52" s="557"/>
      <c r="O52" s="661"/>
    </row>
    <row r="53" spans="1:15" x14ac:dyDescent="0.2">
      <c r="A53" s="593">
        <v>11</v>
      </c>
      <c r="B53" s="585" t="s">
        <v>924</v>
      </c>
      <c r="C53" s="585" t="s">
        <v>902</v>
      </c>
      <c r="D53" s="312" t="s">
        <v>925</v>
      </c>
      <c r="E53" s="313">
        <v>100</v>
      </c>
      <c r="F53" s="314" t="s">
        <v>14</v>
      </c>
      <c r="G53" s="314" t="s">
        <v>14</v>
      </c>
      <c r="H53" s="314" t="s">
        <v>926</v>
      </c>
      <c r="I53" s="314" t="s">
        <v>926</v>
      </c>
      <c r="J53" s="244" t="s">
        <v>13</v>
      </c>
      <c r="K53" s="560" t="s">
        <v>15</v>
      </c>
      <c r="L53" s="560" t="s">
        <v>97</v>
      </c>
      <c r="M53" s="702" t="s">
        <v>926</v>
      </c>
      <c r="N53" s="659" t="s">
        <v>18</v>
      </c>
      <c r="O53" s="671"/>
    </row>
    <row r="54" spans="1:15" x14ac:dyDescent="0.2">
      <c r="A54" s="594"/>
      <c r="B54" s="586"/>
      <c r="C54" s="586"/>
      <c r="D54" s="296" t="s">
        <v>232</v>
      </c>
      <c r="E54" s="299">
        <v>85</v>
      </c>
      <c r="F54" s="34" t="s">
        <v>14</v>
      </c>
      <c r="G54" s="34" t="s">
        <v>14</v>
      </c>
      <c r="H54" s="34" t="s">
        <v>927</v>
      </c>
      <c r="I54" s="34" t="s">
        <v>927</v>
      </c>
      <c r="J54" s="296" t="s">
        <v>13</v>
      </c>
      <c r="K54" s="561"/>
      <c r="L54" s="561"/>
      <c r="M54" s="703"/>
      <c r="N54" s="674"/>
      <c r="O54" s="672"/>
    </row>
    <row r="55" spans="1:15" x14ac:dyDescent="0.2">
      <c r="A55" s="594"/>
      <c r="B55" s="586"/>
      <c r="C55" s="586"/>
      <c r="D55" s="296" t="s">
        <v>928</v>
      </c>
      <c r="E55" s="299">
        <v>79</v>
      </c>
      <c r="F55" s="34" t="s">
        <v>14</v>
      </c>
      <c r="G55" s="34" t="s">
        <v>14</v>
      </c>
      <c r="H55" s="34" t="s">
        <v>929</v>
      </c>
      <c r="I55" s="34" t="s">
        <v>929</v>
      </c>
      <c r="J55" s="296" t="s">
        <v>13</v>
      </c>
      <c r="K55" s="561"/>
      <c r="L55" s="561"/>
      <c r="M55" s="703"/>
      <c r="N55" s="674"/>
      <c r="O55" s="672"/>
    </row>
    <row r="56" spans="1:15" x14ac:dyDescent="0.2">
      <c r="A56" s="594"/>
      <c r="B56" s="586"/>
      <c r="C56" s="586"/>
      <c r="D56" s="296" t="s">
        <v>361</v>
      </c>
      <c r="E56" s="299">
        <v>76</v>
      </c>
      <c r="F56" s="34" t="s">
        <v>14</v>
      </c>
      <c r="G56" s="34" t="s">
        <v>14</v>
      </c>
      <c r="H56" s="34" t="s">
        <v>930</v>
      </c>
      <c r="I56" s="34" t="s">
        <v>930</v>
      </c>
      <c r="J56" s="296" t="s">
        <v>13</v>
      </c>
      <c r="K56" s="561"/>
      <c r="L56" s="561"/>
      <c r="M56" s="703"/>
      <c r="N56" s="674"/>
      <c r="O56" s="672"/>
    </row>
    <row r="57" spans="1:15" x14ac:dyDescent="0.2">
      <c r="A57" s="594"/>
      <c r="B57" s="586"/>
      <c r="C57" s="586"/>
      <c r="D57" s="296" t="s">
        <v>234</v>
      </c>
      <c r="E57" s="299">
        <v>67</v>
      </c>
      <c r="F57" s="34" t="s">
        <v>14</v>
      </c>
      <c r="G57" s="34" t="s">
        <v>14</v>
      </c>
      <c r="H57" s="34" t="s">
        <v>931</v>
      </c>
      <c r="I57" s="34" t="s">
        <v>931</v>
      </c>
      <c r="J57" s="296" t="s">
        <v>13</v>
      </c>
      <c r="K57" s="561"/>
      <c r="L57" s="561"/>
      <c r="M57" s="703"/>
      <c r="N57" s="674"/>
      <c r="O57" s="672"/>
    </row>
    <row r="58" spans="1:15" x14ac:dyDescent="0.2">
      <c r="A58" s="594"/>
      <c r="B58" s="586"/>
      <c r="C58" s="586"/>
      <c r="D58" s="296" t="s">
        <v>932</v>
      </c>
      <c r="E58" s="299">
        <v>62</v>
      </c>
      <c r="F58" s="34" t="s">
        <v>14</v>
      </c>
      <c r="G58" s="34" t="s">
        <v>14</v>
      </c>
      <c r="H58" s="34" t="s">
        <v>933</v>
      </c>
      <c r="I58" s="34" t="s">
        <v>933</v>
      </c>
      <c r="J58" s="296" t="s">
        <v>13</v>
      </c>
      <c r="K58" s="561"/>
      <c r="L58" s="561"/>
      <c r="M58" s="703"/>
      <c r="N58" s="674"/>
      <c r="O58" s="672"/>
    </row>
    <row r="59" spans="1:15" x14ac:dyDescent="0.2">
      <c r="A59" s="594"/>
      <c r="B59" s="586"/>
      <c r="C59" s="586"/>
      <c r="D59" s="296" t="s">
        <v>233</v>
      </c>
      <c r="E59" s="299">
        <v>61</v>
      </c>
      <c r="F59" s="34" t="s">
        <v>14</v>
      </c>
      <c r="G59" s="34" t="s">
        <v>14</v>
      </c>
      <c r="H59" s="34" t="s">
        <v>934</v>
      </c>
      <c r="I59" s="34" t="s">
        <v>934</v>
      </c>
      <c r="J59" s="296" t="s">
        <v>13</v>
      </c>
      <c r="K59" s="561"/>
      <c r="L59" s="561"/>
      <c r="M59" s="703"/>
      <c r="N59" s="674"/>
      <c r="O59" s="672"/>
    </row>
    <row r="60" spans="1:15" x14ac:dyDescent="0.2">
      <c r="A60" s="594"/>
      <c r="B60" s="586"/>
      <c r="C60" s="586"/>
      <c r="D60" s="296" t="s">
        <v>230</v>
      </c>
      <c r="E60" s="299">
        <v>57</v>
      </c>
      <c r="F60" s="34" t="s">
        <v>14</v>
      </c>
      <c r="G60" s="34" t="s">
        <v>14</v>
      </c>
      <c r="H60" s="34" t="s">
        <v>935</v>
      </c>
      <c r="I60" s="34" t="s">
        <v>935</v>
      </c>
      <c r="J60" s="296" t="s">
        <v>13</v>
      </c>
      <c r="K60" s="561"/>
      <c r="L60" s="561"/>
      <c r="M60" s="703"/>
      <c r="N60" s="674"/>
      <c r="O60" s="672"/>
    </row>
    <row r="61" spans="1:15" x14ac:dyDescent="0.2">
      <c r="A61" s="594"/>
      <c r="B61" s="596"/>
      <c r="C61" s="596"/>
      <c r="D61" s="296" t="s">
        <v>936</v>
      </c>
      <c r="E61" s="299">
        <v>36</v>
      </c>
      <c r="F61" s="34" t="s">
        <v>14</v>
      </c>
      <c r="G61" s="34" t="s">
        <v>14</v>
      </c>
      <c r="H61" s="34" t="s">
        <v>937</v>
      </c>
      <c r="I61" s="34" t="s">
        <v>937</v>
      </c>
      <c r="J61" s="296" t="s">
        <v>13</v>
      </c>
      <c r="K61" s="562"/>
      <c r="L61" s="562"/>
      <c r="M61" s="704"/>
      <c r="N61" s="660"/>
      <c r="O61" s="705"/>
    </row>
    <row r="62" spans="1:15" x14ac:dyDescent="0.2">
      <c r="A62" s="595"/>
      <c r="B62" s="581"/>
      <c r="C62" s="582"/>
      <c r="D62" s="582"/>
      <c r="E62" s="582"/>
      <c r="F62" s="582"/>
      <c r="G62" s="582"/>
      <c r="H62" s="582"/>
      <c r="I62" s="582"/>
      <c r="J62" s="582"/>
      <c r="K62" s="582"/>
      <c r="L62" s="582"/>
      <c r="M62" s="582"/>
      <c r="N62" s="582"/>
      <c r="O62" s="583"/>
    </row>
    <row r="63" spans="1:15" ht="15.75" x14ac:dyDescent="0.2">
      <c r="A63" s="556" t="s">
        <v>938</v>
      </c>
      <c r="B63" s="557"/>
      <c r="C63" s="557"/>
      <c r="D63" s="557"/>
      <c r="E63" s="557"/>
      <c r="F63" s="557"/>
      <c r="G63" s="557"/>
      <c r="H63" s="557"/>
      <c r="I63" s="557"/>
      <c r="J63" s="557"/>
      <c r="K63" s="557"/>
      <c r="L63" s="557"/>
      <c r="M63" s="557"/>
      <c r="N63" s="557"/>
      <c r="O63" s="661"/>
    </row>
    <row r="64" spans="1:15" x14ac:dyDescent="0.2">
      <c r="A64" s="593">
        <v>12</v>
      </c>
      <c r="B64" s="585" t="s">
        <v>939</v>
      </c>
      <c r="C64" s="585" t="s">
        <v>902</v>
      </c>
      <c r="D64" s="312" t="s">
        <v>940</v>
      </c>
      <c r="E64" s="313">
        <v>100</v>
      </c>
      <c r="F64" s="314" t="s">
        <v>14</v>
      </c>
      <c r="G64" s="314" t="s">
        <v>14</v>
      </c>
      <c r="H64" s="314" t="s">
        <v>941</v>
      </c>
      <c r="I64" s="314" t="s">
        <v>941</v>
      </c>
      <c r="J64" s="244"/>
      <c r="K64" s="560" t="s">
        <v>15</v>
      </c>
      <c r="L64" s="560" t="s">
        <v>97</v>
      </c>
      <c r="M64" s="702" t="s">
        <v>942</v>
      </c>
      <c r="N64" s="659" t="s">
        <v>18</v>
      </c>
      <c r="O64" s="671"/>
    </row>
    <row r="65" spans="1:15" x14ac:dyDescent="0.2">
      <c r="A65" s="594"/>
      <c r="B65" s="586"/>
      <c r="C65" s="586"/>
      <c r="D65" s="296" t="s">
        <v>395</v>
      </c>
      <c r="E65" s="299">
        <v>77</v>
      </c>
      <c r="F65" s="34" t="s">
        <v>14</v>
      </c>
      <c r="G65" s="34" t="s">
        <v>14</v>
      </c>
      <c r="H65" s="34" t="s">
        <v>910</v>
      </c>
      <c r="I65" s="34" t="s">
        <v>910</v>
      </c>
      <c r="J65" s="296" t="s">
        <v>13</v>
      </c>
      <c r="K65" s="561"/>
      <c r="L65" s="561"/>
      <c r="M65" s="703"/>
      <c r="N65" s="674"/>
      <c r="O65" s="672"/>
    </row>
    <row r="66" spans="1:15" x14ac:dyDescent="0.2">
      <c r="A66" s="594"/>
      <c r="B66" s="586"/>
      <c r="C66" s="586"/>
      <c r="D66" s="296" t="s">
        <v>393</v>
      </c>
      <c r="E66" s="299">
        <v>73</v>
      </c>
      <c r="F66" s="34" t="s">
        <v>14</v>
      </c>
      <c r="G66" s="34" t="s">
        <v>14</v>
      </c>
      <c r="H66" s="34" t="s">
        <v>943</v>
      </c>
      <c r="I66" s="34" t="s">
        <v>943</v>
      </c>
      <c r="J66" s="296" t="s">
        <v>13</v>
      </c>
      <c r="K66" s="561"/>
      <c r="L66" s="561"/>
      <c r="M66" s="703"/>
      <c r="N66" s="674"/>
      <c r="O66" s="672"/>
    </row>
    <row r="67" spans="1:15" x14ac:dyDescent="0.2">
      <c r="A67" s="594"/>
      <c r="B67" s="596"/>
      <c r="C67" s="596"/>
      <c r="D67" s="296" t="s">
        <v>396</v>
      </c>
      <c r="E67" s="299">
        <v>67</v>
      </c>
      <c r="F67" s="34" t="s">
        <v>14</v>
      </c>
      <c r="G67" s="34" t="s">
        <v>14</v>
      </c>
      <c r="H67" s="34" t="s">
        <v>944</v>
      </c>
      <c r="I67" s="34" t="s">
        <v>945</v>
      </c>
      <c r="J67" s="296" t="s">
        <v>13</v>
      </c>
      <c r="K67" s="562"/>
      <c r="L67" s="562"/>
      <c r="M67" s="704"/>
      <c r="N67" s="660"/>
      <c r="O67" s="705"/>
    </row>
    <row r="68" spans="1:15" x14ac:dyDescent="0.2">
      <c r="A68" s="595"/>
      <c r="B68" s="581"/>
      <c r="C68" s="582"/>
      <c r="D68" s="582"/>
      <c r="E68" s="582"/>
      <c r="F68" s="582"/>
      <c r="G68" s="582"/>
      <c r="H68" s="582"/>
      <c r="I68" s="582"/>
      <c r="J68" s="582"/>
      <c r="K68" s="582"/>
      <c r="L68" s="582"/>
      <c r="M68" s="582"/>
      <c r="N68" s="582"/>
      <c r="O68" s="583"/>
    </row>
    <row r="69" spans="1:15" ht="15.75" x14ac:dyDescent="0.2">
      <c r="A69" s="556" t="s">
        <v>946</v>
      </c>
      <c r="B69" s="557"/>
      <c r="C69" s="557"/>
      <c r="D69" s="557"/>
      <c r="E69" s="557"/>
      <c r="F69" s="557"/>
      <c r="G69" s="557"/>
      <c r="H69" s="557"/>
      <c r="I69" s="557"/>
      <c r="J69" s="557"/>
      <c r="K69" s="557"/>
      <c r="L69" s="557"/>
      <c r="M69" s="557"/>
      <c r="N69" s="557"/>
      <c r="O69" s="661"/>
    </row>
    <row r="70" spans="1:15" x14ac:dyDescent="0.2">
      <c r="A70" s="593">
        <v>13</v>
      </c>
      <c r="B70" s="585" t="s">
        <v>947</v>
      </c>
      <c r="C70" s="585" t="s">
        <v>902</v>
      </c>
      <c r="D70" s="312" t="s">
        <v>423</v>
      </c>
      <c r="E70" s="313">
        <v>100</v>
      </c>
      <c r="F70" s="314" t="s">
        <v>14</v>
      </c>
      <c r="G70" s="314" t="s">
        <v>14</v>
      </c>
      <c r="H70" s="314" t="s">
        <v>948</v>
      </c>
      <c r="I70" s="314" t="s">
        <v>948</v>
      </c>
      <c r="J70" s="244" t="s">
        <v>13</v>
      </c>
      <c r="K70" s="560" t="s">
        <v>15</v>
      </c>
      <c r="L70" s="560" t="s">
        <v>97</v>
      </c>
      <c r="M70" s="702" t="s">
        <v>948</v>
      </c>
      <c r="N70" s="659" t="s">
        <v>18</v>
      </c>
      <c r="O70" s="671"/>
    </row>
    <row r="71" spans="1:15" x14ac:dyDescent="0.2">
      <c r="A71" s="594"/>
      <c r="B71" s="586"/>
      <c r="C71" s="586"/>
      <c r="D71" s="296" t="s">
        <v>611</v>
      </c>
      <c r="E71" s="299">
        <v>69</v>
      </c>
      <c r="F71" s="34" t="s">
        <v>14</v>
      </c>
      <c r="G71" s="34" t="s">
        <v>14</v>
      </c>
      <c r="H71" s="34" t="s">
        <v>949</v>
      </c>
      <c r="I71" s="34" t="s">
        <v>949</v>
      </c>
      <c r="J71" s="296" t="s">
        <v>13</v>
      </c>
      <c r="K71" s="561"/>
      <c r="L71" s="561"/>
      <c r="M71" s="703"/>
      <c r="N71" s="674"/>
      <c r="O71" s="672"/>
    </row>
    <row r="72" spans="1:15" x14ac:dyDescent="0.2">
      <c r="A72" s="594"/>
      <c r="B72" s="586"/>
      <c r="C72" s="586"/>
      <c r="D72" s="296" t="s">
        <v>950</v>
      </c>
      <c r="E72" s="299">
        <v>60</v>
      </c>
      <c r="F72" s="316" t="s">
        <v>14</v>
      </c>
      <c r="G72" s="34" t="s">
        <v>14</v>
      </c>
      <c r="H72" s="34" t="s">
        <v>951</v>
      </c>
      <c r="I72" s="34" t="s">
        <v>951</v>
      </c>
      <c r="J72" s="296" t="s">
        <v>13</v>
      </c>
      <c r="K72" s="561"/>
      <c r="L72" s="561"/>
      <c r="M72" s="703"/>
      <c r="N72" s="674"/>
      <c r="O72" s="672"/>
    </row>
    <row r="73" spans="1:15" x14ac:dyDescent="0.2">
      <c r="A73" s="594"/>
      <c r="B73" s="586"/>
      <c r="C73" s="586"/>
      <c r="D73" s="296" t="s">
        <v>952</v>
      </c>
      <c r="E73" s="299">
        <v>46</v>
      </c>
      <c r="F73" s="34" t="s">
        <v>14</v>
      </c>
      <c r="G73" s="34" t="s">
        <v>14</v>
      </c>
      <c r="H73" s="34" t="s">
        <v>953</v>
      </c>
      <c r="I73" s="34" t="s">
        <v>953</v>
      </c>
      <c r="J73" s="296" t="s">
        <v>13</v>
      </c>
      <c r="K73" s="561"/>
      <c r="L73" s="561"/>
      <c r="M73" s="703"/>
      <c r="N73" s="674"/>
      <c r="O73" s="672"/>
    </row>
    <row r="74" spans="1:15" x14ac:dyDescent="0.2">
      <c r="A74" s="595"/>
      <c r="B74" s="581"/>
      <c r="C74" s="582"/>
      <c r="D74" s="582"/>
      <c r="E74" s="582"/>
      <c r="F74" s="582"/>
      <c r="G74" s="582"/>
      <c r="H74" s="582"/>
      <c r="I74" s="582"/>
      <c r="J74" s="582"/>
      <c r="K74" s="582"/>
      <c r="L74" s="582"/>
      <c r="M74" s="582"/>
      <c r="N74" s="582"/>
      <c r="O74" s="583"/>
    </row>
    <row r="75" spans="1:15" ht="15.75" x14ac:dyDescent="0.2">
      <c r="A75" s="556" t="s">
        <v>954</v>
      </c>
      <c r="B75" s="557"/>
      <c r="C75" s="557"/>
      <c r="D75" s="557"/>
      <c r="E75" s="557"/>
      <c r="F75" s="557"/>
      <c r="G75" s="557"/>
      <c r="H75" s="557"/>
      <c r="I75" s="557"/>
      <c r="J75" s="557"/>
      <c r="K75" s="557"/>
      <c r="L75" s="557"/>
      <c r="M75" s="557"/>
      <c r="N75" s="557"/>
      <c r="O75" s="661"/>
    </row>
    <row r="76" spans="1:15" x14ac:dyDescent="0.2">
      <c r="A76" s="593">
        <v>14</v>
      </c>
      <c r="B76" s="585" t="s">
        <v>955</v>
      </c>
      <c r="C76" s="585" t="s">
        <v>902</v>
      </c>
      <c r="D76" s="312" t="s">
        <v>956</v>
      </c>
      <c r="E76" s="313">
        <v>100</v>
      </c>
      <c r="F76" s="314" t="s">
        <v>14</v>
      </c>
      <c r="G76" s="314" t="s">
        <v>14</v>
      </c>
      <c r="H76" s="314" t="s">
        <v>957</v>
      </c>
      <c r="I76" s="314" t="s">
        <v>957</v>
      </c>
      <c r="J76" s="244" t="s">
        <v>13</v>
      </c>
      <c r="K76" s="560" t="s">
        <v>15</v>
      </c>
      <c r="L76" s="560" t="s">
        <v>97</v>
      </c>
      <c r="M76" s="702" t="s">
        <v>957</v>
      </c>
      <c r="N76" s="659" t="s">
        <v>18</v>
      </c>
      <c r="O76" s="671"/>
    </row>
    <row r="77" spans="1:15" x14ac:dyDescent="0.2">
      <c r="A77" s="594"/>
      <c r="B77" s="586"/>
      <c r="C77" s="586"/>
      <c r="D77" s="296" t="s">
        <v>386</v>
      </c>
      <c r="E77" s="299">
        <v>94</v>
      </c>
      <c r="F77" s="34" t="s">
        <v>14</v>
      </c>
      <c r="G77" s="34" t="s">
        <v>14</v>
      </c>
      <c r="H77" s="34" t="s">
        <v>958</v>
      </c>
      <c r="I77" s="34" t="s">
        <v>958</v>
      </c>
      <c r="J77" s="296" t="s">
        <v>13</v>
      </c>
      <c r="K77" s="561"/>
      <c r="L77" s="561"/>
      <c r="M77" s="703"/>
      <c r="N77" s="674"/>
      <c r="O77" s="672"/>
    </row>
    <row r="78" spans="1:15" x14ac:dyDescent="0.2">
      <c r="A78" s="594"/>
      <c r="B78" s="586"/>
      <c r="C78" s="586"/>
      <c r="D78" s="296" t="s">
        <v>959</v>
      </c>
      <c r="E78" s="299">
        <v>77</v>
      </c>
      <c r="F78" s="34" t="s">
        <v>14</v>
      </c>
      <c r="G78" s="34" t="s">
        <v>14</v>
      </c>
      <c r="H78" s="34" t="s">
        <v>960</v>
      </c>
      <c r="I78" s="34" t="s">
        <v>960</v>
      </c>
      <c r="J78" s="296" t="s">
        <v>13</v>
      </c>
      <c r="K78" s="561"/>
      <c r="L78" s="561"/>
      <c r="M78" s="703"/>
      <c r="N78" s="674"/>
      <c r="O78" s="672"/>
    </row>
    <row r="79" spans="1:15" x14ac:dyDescent="0.2">
      <c r="A79" s="594"/>
      <c r="B79" s="586"/>
      <c r="C79" s="586"/>
      <c r="D79" s="296" t="s">
        <v>255</v>
      </c>
      <c r="E79" s="299">
        <v>55</v>
      </c>
      <c r="F79" s="34" t="s">
        <v>14</v>
      </c>
      <c r="G79" s="34" t="s">
        <v>14</v>
      </c>
      <c r="H79" s="34" t="s">
        <v>961</v>
      </c>
      <c r="I79" s="34" t="s">
        <v>961</v>
      </c>
      <c r="J79" s="296" t="s">
        <v>13</v>
      </c>
      <c r="K79" s="561"/>
      <c r="L79" s="561"/>
      <c r="M79" s="703"/>
      <c r="N79" s="674"/>
      <c r="O79" s="672"/>
    </row>
    <row r="80" spans="1:15" x14ac:dyDescent="0.2">
      <c r="A80" s="595"/>
      <c r="B80" s="581"/>
      <c r="C80" s="582"/>
      <c r="D80" s="582"/>
      <c r="E80" s="582"/>
      <c r="F80" s="582"/>
      <c r="G80" s="582"/>
      <c r="H80" s="582"/>
      <c r="I80" s="582"/>
      <c r="J80" s="582"/>
      <c r="K80" s="582"/>
      <c r="L80" s="582"/>
      <c r="M80" s="582"/>
      <c r="N80" s="582"/>
      <c r="O80" s="583"/>
    </row>
    <row r="81" spans="1:15" ht="15.75" x14ac:dyDescent="0.2">
      <c r="A81" s="556" t="s">
        <v>962</v>
      </c>
      <c r="B81" s="557"/>
      <c r="C81" s="557"/>
      <c r="D81" s="557"/>
      <c r="E81" s="557"/>
      <c r="F81" s="557"/>
      <c r="G81" s="557"/>
      <c r="H81" s="557"/>
      <c r="I81" s="557"/>
      <c r="J81" s="557"/>
      <c r="K81" s="557"/>
      <c r="L81" s="557"/>
      <c r="M81" s="557"/>
      <c r="N81" s="557"/>
      <c r="O81" s="661"/>
    </row>
    <row r="82" spans="1:15" x14ac:dyDescent="0.2">
      <c r="A82" s="593">
        <v>15</v>
      </c>
      <c r="B82" s="585" t="s">
        <v>963</v>
      </c>
      <c r="C82" s="585" t="s">
        <v>902</v>
      </c>
      <c r="D82" s="312" t="s">
        <v>964</v>
      </c>
      <c r="E82" s="313">
        <v>100</v>
      </c>
      <c r="F82" s="314" t="s">
        <v>14</v>
      </c>
      <c r="G82" s="314" t="s">
        <v>14</v>
      </c>
      <c r="H82" s="314" t="s">
        <v>965</v>
      </c>
      <c r="I82" s="314" t="s">
        <v>966</v>
      </c>
      <c r="J82" s="244" t="s">
        <v>13</v>
      </c>
      <c r="K82" s="560" t="s">
        <v>15</v>
      </c>
      <c r="L82" s="560" t="s">
        <v>97</v>
      </c>
      <c r="M82" s="702" t="s">
        <v>967</v>
      </c>
      <c r="N82" s="659" t="s">
        <v>18</v>
      </c>
      <c r="O82" s="671"/>
    </row>
    <row r="83" spans="1:15" x14ac:dyDescent="0.2">
      <c r="A83" s="594"/>
      <c r="B83" s="586"/>
      <c r="C83" s="586"/>
      <c r="D83" s="296" t="s">
        <v>968</v>
      </c>
      <c r="E83" s="299">
        <v>83</v>
      </c>
      <c r="F83" s="34" t="s">
        <v>14</v>
      </c>
      <c r="G83" s="34" t="s">
        <v>14</v>
      </c>
      <c r="H83" s="34" t="s">
        <v>969</v>
      </c>
      <c r="I83" s="34" t="s">
        <v>969</v>
      </c>
      <c r="J83" s="296" t="s">
        <v>13</v>
      </c>
      <c r="K83" s="561"/>
      <c r="L83" s="561"/>
      <c r="M83" s="703"/>
      <c r="N83" s="674"/>
      <c r="O83" s="672"/>
    </row>
    <row r="84" spans="1:15" x14ac:dyDescent="0.2">
      <c r="A84" s="594"/>
      <c r="B84" s="586"/>
      <c r="C84" s="586"/>
      <c r="D84" s="296" t="s">
        <v>970</v>
      </c>
      <c r="E84" s="299">
        <v>83</v>
      </c>
      <c r="F84" s="34" t="s">
        <v>14</v>
      </c>
      <c r="G84" s="34" t="s">
        <v>14</v>
      </c>
      <c r="H84" s="34" t="s">
        <v>969</v>
      </c>
      <c r="I84" s="34" t="s">
        <v>969</v>
      </c>
      <c r="J84" s="296" t="s">
        <v>13</v>
      </c>
      <c r="K84" s="561"/>
      <c r="L84" s="561"/>
      <c r="M84" s="703"/>
      <c r="N84" s="674"/>
      <c r="O84" s="672"/>
    </row>
    <row r="85" spans="1:15" x14ac:dyDescent="0.2">
      <c r="A85" s="594"/>
      <c r="B85" s="586"/>
      <c r="C85" s="586"/>
      <c r="D85" s="296" t="s">
        <v>23</v>
      </c>
      <c r="E85" s="299">
        <v>68</v>
      </c>
      <c r="F85" s="34" t="s">
        <v>14</v>
      </c>
      <c r="G85" s="34" t="s">
        <v>14</v>
      </c>
      <c r="H85" s="34" t="s">
        <v>971</v>
      </c>
      <c r="I85" s="34" t="s">
        <v>971</v>
      </c>
      <c r="J85" s="296" t="s">
        <v>13</v>
      </c>
      <c r="K85" s="561"/>
      <c r="L85" s="561"/>
      <c r="M85" s="703"/>
      <c r="N85" s="674"/>
      <c r="O85" s="672"/>
    </row>
    <row r="86" spans="1:15" x14ac:dyDescent="0.2">
      <c r="A86" s="595"/>
      <c r="B86" s="581"/>
      <c r="C86" s="582"/>
      <c r="D86" s="582"/>
      <c r="E86" s="582"/>
      <c r="F86" s="582"/>
      <c r="G86" s="582"/>
      <c r="H86" s="582"/>
      <c r="I86" s="582"/>
      <c r="J86" s="582"/>
      <c r="K86" s="582"/>
      <c r="L86" s="582"/>
      <c r="M86" s="582"/>
      <c r="N86" s="582"/>
      <c r="O86" s="583"/>
    </row>
    <row r="87" spans="1:15" ht="15.75" x14ac:dyDescent="0.2">
      <c r="A87" s="556" t="s">
        <v>972</v>
      </c>
      <c r="B87" s="557"/>
      <c r="C87" s="557"/>
      <c r="D87" s="557"/>
      <c r="E87" s="557"/>
      <c r="F87" s="557"/>
      <c r="G87" s="557"/>
      <c r="H87" s="557"/>
      <c r="I87" s="557"/>
      <c r="J87" s="557"/>
      <c r="K87" s="557"/>
      <c r="L87" s="557"/>
      <c r="M87" s="557"/>
      <c r="N87" s="557"/>
      <c r="O87" s="661"/>
    </row>
    <row r="88" spans="1:15" ht="14.25" customHeight="1" x14ac:dyDescent="0.2">
      <c r="A88" s="593">
        <v>16</v>
      </c>
      <c r="B88" s="585" t="s">
        <v>973</v>
      </c>
      <c r="C88" s="585" t="s">
        <v>902</v>
      </c>
      <c r="D88" s="312" t="s">
        <v>974</v>
      </c>
      <c r="E88" s="313">
        <v>100</v>
      </c>
      <c r="F88" s="314" t="s">
        <v>14</v>
      </c>
      <c r="G88" s="314" t="s">
        <v>14</v>
      </c>
      <c r="H88" s="314" t="s">
        <v>975</v>
      </c>
      <c r="I88" s="314" t="s">
        <v>975</v>
      </c>
      <c r="J88" s="244" t="s">
        <v>13</v>
      </c>
      <c r="K88" s="560" t="s">
        <v>15</v>
      </c>
      <c r="L88" s="560" t="s">
        <v>97</v>
      </c>
      <c r="M88" s="702" t="s">
        <v>975</v>
      </c>
      <c r="N88" s="659" t="s">
        <v>18</v>
      </c>
      <c r="O88" s="671"/>
    </row>
    <row r="89" spans="1:15" x14ac:dyDescent="0.2">
      <c r="A89" s="594"/>
      <c r="B89" s="586"/>
      <c r="C89" s="586"/>
      <c r="D89" s="296" t="s">
        <v>976</v>
      </c>
      <c r="E89" s="299">
        <v>91</v>
      </c>
      <c r="F89" s="34" t="s">
        <v>14</v>
      </c>
      <c r="G89" s="34" t="s">
        <v>14</v>
      </c>
      <c r="H89" s="34" t="s">
        <v>977</v>
      </c>
      <c r="I89" s="34" t="s">
        <v>977</v>
      </c>
      <c r="J89" s="296" t="s">
        <v>13</v>
      </c>
      <c r="K89" s="561"/>
      <c r="L89" s="561"/>
      <c r="M89" s="703"/>
      <c r="N89" s="674"/>
      <c r="O89" s="672"/>
    </row>
    <row r="90" spans="1:15" x14ac:dyDescent="0.2">
      <c r="A90" s="594"/>
      <c r="B90" s="586"/>
      <c r="C90" s="586"/>
      <c r="D90" s="296" t="s">
        <v>978</v>
      </c>
      <c r="E90" s="299">
        <v>88</v>
      </c>
      <c r="F90" s="34" t="s">
        <v>14</v>
      </c>
      <c r="G90" s="34" t="s">
        <v>14</v>
      </c>
      <c r="H90" s="34" t="s">
        <v>979</v>
      </c>
      <c r="I90" s="34" t="s">
        <v>979</v>
      </c>
      <c r="J90" s="296" t="s">
        <v>13</v>
      </c>
      <c r="K90" s="561"/>
      <c r="L90" s="561"/>
      <c r="M90" s="703"/>
      <c r="N90" s="674"/>
      <c r="O90" s="672"/>
    </row>
    <row r="91" spans="1:15" x14ac:dyDescent="0.2">
      <c r="A91" s="594"/>
      <c r="B91" s="586"/>
      <c r="C91" s="586"/>
      <c r="D91" s="296" t="s">
        <v>980</v>
      </c>
      <c r="E91" s="299">
        <v>63</v>
      </c>
      <c r="F91" s="34" t="s">
        <v>14</v>
      </c>
      <c r="G91" s="34" t="s">
        <v>14</v>
      </c>
      <c r="H91" s="34" t="s">
        <v>981</v>
      </c>
      <c r="I91" s="34" t="s">
        <v>981</v>
      </c>
      <c r="J91" s="296" t="s">
        <v>13</v>
      </c>
      <c r="K91" s="561"/>
      <c r="L91" s="561"/>
      <c r="M91" s="703"/>
      <c r="N91" s="674"/>
      <c r="O91" s="672"/>
    </row>
    <row r="92" spans="1:15" ht="15.75" x14ac:dyDescent="0.2">
      <c r="A92" s="556" t="s">
        <v>982</v>
      </c>
      <c r="B92" s="557"/>
      <c r="C92" s="557"/>
      <c r="D92" s="557"/>
      <c r="E92" s="557"/>
      <c r="F92" s="557"/>
      <c r="G92" s="557"/>
      <c r="H92" s="557"/>
      <c r="I92" s="557"/>
      <c r="J92" s="557"/>
      <c r="K92" s="557"/>
      <c r="L92" s="557"/>
      <c r="M92" s="557"/>
      <c r="N92" s="557"/>
      <c r="O92" s="661"/>
    </row>
    <row r="93" spans="1:15" x14ac:dyDescent="0.2">
      <c r="A93" s="593">
        <v>17</v>
      </c>
      <c r="B93" s="585" t="s">
        <v>983</v>
      </c>
      <c r="C93" s="585" t="s">
        <v>902</v>
      </c>
      <c r="D93" s="312" t="s">
        <v>75</v>
      </c>
      <c r="E93" s="313">
        <v>100</v>
      </c>
      <c r="F93" s="314" t="s">
        <v>14</v>
      </c>
      <c r="G93" s="314" t="s">
        <v>14</v>
      </c>
      <c r="H93" s="314" t="s">
        <v>984</v>
      </c>
      <c r="I93" s="314" t="s">
        <v>984</v>
      </c>
      <c r="J93" s="244" t="s">
        <v>13</v>
      </c>
      <c r="K93" s="560" t="s">
        <v>15</v>
      </c>
      <c r="L93" s="560" t="s">
        <v>97</v>
      </c>
      <c r="M93" s="702" t="s">
        <v>984</v>
      </c>
      <c r="N93" s="659" t="s">
        <v>18</v>
      </c>
      <c r="O93" s="671"/>
    </row>
    <row r="94" spans="1:15" x14ac:dyDescent="0.2">
      <c r="A94" s="594"/>
      <c r="B94" s="586"/>
      <c r="C94" s="586"/>
      <c r="D94" s="296" t="s">
        <v>985</v>
      </c>
      <c r="E94" s="299">
        <v>74</v>
      </c>
      <c r="F94" s="34" t="s">
        <v>14</v>
      </c>
      <c r="G94" s="34" t="s">
        <v>14</v>
      </c>
      <c r="H94" s="34" t="s">
        <v>986</v>
      </c>
      <c r="I94" s="34" t="s">
        <v>986</v>
      </c>
      <c r="J94" s="296" t="s">
        <v>13</v>
      </c>
      <c r="K94" s="561"/>
      <c r="L94" s="561"/>
      <c r="M94" s="703"/>
      <c r="N94" s="674"/>
      <c r="O94" s="672"/>
    </row>
    <row r="95" spans="1:15" x14ac:dyDescent="0.2">
      <c r="A95" s="594"/>
      <c r="B95" s="586"/>
      <c r="C95" s="586"/>
      <c r="D95" s="296" t="s">
        <v>987</v>
      </c>
      <c r="E95" s="299">
        <v>69</v>
      </c>
      <c r="F95" s="34" t="s">
        <v>14</v>
      </c>
      <c r="G95" s="34" t="s">
        <v>14</v>
      </c>
      <c r="H95" s="34" t="s">
        <v>926</v>
      </c>
      <c r="I95" s="34" t="s">
        <v>926</v>
      </c>
      <c r="J95" s="296" t="s">
        <v>13</v>
      </c>
      <c r="K95" s="561"/>
      <c r="L95" s="561"/>
      <c r="M95" s="703"/>
      <c r="N95" s="674"/>
      <c r="O95" s="672"/>
    </row>
    <row r="96" spans="1:15" ht="25.5" customHeight="1" x14ac:dyDescent="0.2">
      <c r="A96" s="594"/>
      <c r="B96" s="586"/>
      <c r="C96" s="586"/>
      <c r="D96" s="296" t="s">
        <v>378</v>
      </c>
      <c r="E96" s="706" t="s">
        <v>988</v>
      </c>
      <c r="F96" s="707"/>
      <c r="G96" s="708"/>
      <c r="H96" s="34" t="s">
        <v>989</v>
      </c>
      <c r="I96" s="34" t="s">
        <v>989</v>
      </c>
      <c r="J96" s="296" t="s">
        <v>13</v>
      </c>
      <c r="K96" s="561"/>
      <c r="L96" s="561"/>
      <c r="M96" s="703"/>
      <c r="N96" s="674"/>
      <c r="O96" s="672"/>
    </row>
    <row r="97" spans="1:15" x14ac:dyDescent="0.2">
      <c r="A97" s="595"/>
      <c r="B97" s="581"/>
      <c r="C97" s="582"/>
      <c r="D97" s="582"/>
      <c r="E97" s="582"/>
      <c r="F97" s="582"/>
      <c r="G97" s="582"/>
      <c r="H97" s="582"/>
      <c r="I97" s="582"/>
      <c r="J97" s="582"/>
      <c r="K97" s="582"/>
      <c r="L97" s="582"/>
      <c r="M97" s="582"/>
      <c r="N97" s="582"/>
      <c r="O97" s="583"/>
    </row>
    <row r="98" spans="1:15" ht="15.75" x14ac:dyDescent="0.2">
      <c r="A98" s="556" t="s">
        <v>990</v>
      </c>
      <c r="B98" s="557"/>
      <c r="C98" s="557"/>
      <c r="D98" s="557"/>
      <c r="E98" s="557"/>
      <c r="F98" s="557"/>
      <c r="G98" s="557"/>
      <c r="H98" s="557"/>
      <c r="I98" s="557"/>
      <c r="J98" s="557"/>
      <c r="K98" s="557"/>
      <c r="L98" s="557"/>
      <c r="M98" s="557"/>
      <c r="N98" s="557"/>
      <c r="O98" s="661"/>
    </row>
    <row r="99" spans="1:15" ht="14.25" customHeight="1" x14ac:dyDescent="0.2">
      <c r="A99" s="593">
        <v>18</v>
      </c>
      <c r="B99" s="585" t="s">
        <v>991</v>
      </c>
      <c r="C99" s="585" t="s">
        <v>902</v>
      </c>
      <c r="D99" s="312" t="s">
        <v>386</v>
      </c>
      <c r="E99" s="313">
        <v>100</v>
      </c>
      <c r="F99" s="314" t="s">
        <v>14</v>
      </c>
      <c r="G99" s="314" t="s">
        <v>14</v>
      </c>
      <c r="H99" s="314" t="s">
        <v>943</v>
      </c>
      <c r="I99" s="314" t="s">
        <v>943</v>
      </c>
      <c r="J99" s="244" t="s">
        <v>13</v>
      </c>
      <c r="K99" s="560" t="s">
        <v>15</v>
      </c>
      <c r="L99" s="560" t="s">
        <v>97</v>
      </c>
      <c r="M99" s="702" t="s">
        <v>943</v>
      </c>
      <c r="N99" s="659" t="s">
        <v>18</v>
      </c>
      <c r="O99" s="671"/>
    </row>
    <row r="100" spans="1:15" x14ac:dyDescent="0.2">
      <c r="A100" s="594"/>
      <c r="B100" s="586"/>
      <c r="C100" s="586"/>
      <c r="D100" s="296" t="s">
        <v>270</v>
      </c>
      <c r="E100" s="299">
        <v>67</v>
      </c>
      <c r="F100" s="34" t="s">
        <v>14</v>
      </c>
      <c r="G100" s="34" t="s">
        <v>14</v>
      </c>
      <c r="H100" s="34" t="s">
        <v>960</v>
      </c>
      <c r="I100" s="34" t="s">
        <v>960</v>
      </c>
      <c r="J100" s="296" t="s">
        <v>13</v>
      </c>
      <c r="K100" s="561"/>
      <c r="L100" s="561"/>
      <c r="M100" s="703"/>
      <c r="N100" s="674"/>
      <c r="O100" s="672"/>
    </row>
    <row r="101" spans="1:15" x14ac:dyDescent="0.2">
      <c r="A101" s="594"/>
      <c r="B101" s="586"/>
      <c r="C101" s="586"/>
      <c r="D101" s="296" t="s">
        <v>992</v>
      </c>
      <c r="E101" s="299">
        <v>67</v>
      </c>
      <c r="F101" s="34" t="s">
        <v>14</v>
      </c>
      <c r="G101" s="34" t="s">
        <v>14</v>
      </c>
      <c r="H101" s="34" t="s">
        <v>960</v>
      </c>
      <c r="I101" s="34" t="s">
        <v>960</v>
      </c>
      <c r="J101" s="296" t="s">
        <v>13</v>
      </c>
      <c r="K101" s="561"/>
      <c r="L101" s="561"/>
      <c r="M101" s="703"/>
      <c r="N101" s="674"/>
      <c r="O101" s="672"/>
    </row>
    <row r="102" spans="1:15" x14ac:dyDescent="0.2">
      <c r="A102" s="594"/>
      <c r="B102" s="586"/>
      <c r="C102" s="586"/>
      <c r="D102" s="296" t="s">
        <v>993</v>
      </c>
      <c r="E102" s="299">
        <v>65</v>
      </c>
      <c r="F102" s="34" t="s">
        <v>14</v>
      </c>
      <c r="G102" s="34" t="s">
        <v>14</v>
      </c>
      <c r="H102" s="34" t="s">
        <v>994</v>
      </c>
      <c r="I102" s="34" t="s">
        <v>994</v>
      </c>
      <c r="J102" s="296" t="s">
        <v>13</v>
      </c>
      <c r="K102" s="561"/>
      <c r="L102" s="561"/>
      <c r="M102" s="703"/>
      <c r="N102" s="674"/>
      <c r="O102" s="672"/>
    </row>
    <row r="103" spans="1:15" x14ac:dyDescent="0.2">
      <c r="A103" s="595"/>
      <c r="B103" s="581"/>
      <c r="C103" s="582"/>
      <c r="D103" s="582"/>
      <c r="E103" s="582"/>
      <c r="F103" s="582"/>
      <c r="G103" s="582"/>
      <c r="H103" s="582"/>
      <c r="I103" s="582"/>
      <c r="J103" s="582"/>
      <c r="K103" s="582"/>
      <c r="L103" s="582"/>
      <c r="M103" s="582"/>
      <c r="N103" s="582"/>
      <c r="O103" s="583"/>
    </row>
    <row r="104" spans="1:15" ht="15.75" x14ac:dyDescent="0.2">
      <c r="A104" s="556" t="s">
        <v>995</v>
      </c>
      <c r="B104" s="557"/>
      <c r="C104" s="557"/>
      <c r="D104" s="557"/>
      <c r="E104" s="557"/>
      <c r="F104" s="557"/>
      <c r="G104" s="557"/>
      <c r="H104" s="557"/>
      <c r="I104" s="557"/>
      <c r="J104" s="557"/>
      <c r="K104" s="557"/>
      <c r="L104" s="557"/>
      <c r="M104" s="557"/>
      <c r="N104" s="557"/>
      <c r="O104" s="661"/>
    </row>
    <row r="105" spans="1:15" x14ac:dyDescent="0.2">
      <c r="A105" s="593">
        <v>19</v>
      </c>
      <c r="B105" s="585" t="s">
        <v>996</v>
      </c>
      <c r="C105" s="585" t="s">
        <v>902</v>
      </c>
      <c r="D105" s="312" t="s">
        <v>997</v>
      </c>
      <c r="E105" s="313">
        <v>100</v>
      </c>
      <c r="F105" s="314" t="s">
        <v>14</v>
      </c>
      <c r="G105" s="314" t="s">
        <v>14</v>
      </c>
      <c r="H105" s="314" t="s">
        <v>998</v>
      </c>
      <c r="I105" s="314" t="s">
        <v>998</v>
      </c>
      <c r="J105" s="244" t="s">
        <v>13</v>
      </c>
      <c r="K105" s="560" t="s">
        <v>15</v>
      </c>
      <c r="L105" s="560" t="s">
        <v>97</v>
      </c>
      <c r="M105" s="702" t="s">
        <v>998</v>
      </c>
      <c r="N105" s="659" t="s">
        <v>18</v>
      </c>
      <c r="O105" s="671"/>
    </row>
    <row r="106" spans="1:15" x14ac:dyDescent="0.2">
      <c r="A106" s="594"/>
      <c r="B106" s="586"/>
      <c r="C106" s="586"/>
      <c r="D106" s="296" t="s">
        <v>240</v>
      </c>
      <c r="E106" s="299">
        <v>95</v>
      </c>
      <c r="F106" s="34" t="s">
        <v>14</v>
      </c>
      <c r="G106" s="34" t="s">
        <v>14</v>
      </c>
      <c r="H106" s="34" t="s">
        <v>999</v>
      </c>
      <c r="I106" s="34" t="s">
        <v>999</v>
      </c>
      <c r="J106" s="296" t="s">
        <v>13</v>
      </c>
      <c r="K106" s="561"/>
      <c r="L106" s="561"/>
      <c r="M106" s="703"/>
      <c r="N106" s="674"/>
      <c r="O106" s="672"/>
    </row>
    <row r="107" spans="1:15" x14ac:dyDescent="0.2">
      <c r="A107" s="594"/>
      <c r="B107" s="586"/>
      <c r="C107" s="586"/>
      <c r="D107" s="296" t="s">
        <v>239</v>
      </c>
      <c r="E107" s="299">
        <v>92</v>
      </c>
      <c r="F107" s="34" t="s">
        <v>14</v>
      </c>
      <c r="G107" s="34" t="s">
        <v>14</v>
      </c>
      <c r="H107" s="34" t="s">
        <v>1000</v>
      </c>
      <c r="I107" s="34" t="s">
        <v>1000</v>
      </c>
      <c r="J107" s="296" t="s">
        <v>13</v>
      </c>
      <c r="K107" s="561"/>
      <c r="L107" s="561"/>
      <c r="M107" s="703"/>
      <c r="N107" s="674"/>
      <c r="O107" s="672"/>
    </row>
    <row r="108" spans="1:15" x14ac:dyDescent="0.2">
      <c r="A108" s="594"/>
      <c r="B108" s="586"/>
      <c r="C108" s="586"/>
      <c r="D108" s="296" t="s">
        <v>105</v>
      </c>
      <c r="E108" s="299">
        <v>79</v>
      </c>
      <c r="F108" s="34" t="s">
        <v>14</v>
      </c>
      <c r="G108" s="34" t="s">
        <v>14</v>
      </c>
      <c r="H108" s="34" t="s">
        <v>1001</v>
      </c>
      <c r="I108" s="34" t="s">
        <v>1001</v>
      </c>
      <c r="J108" s="296" t="s">
        <v>13</v>
      </c>
      <c r="K108" s="561"/>
      <c r="L108" s="561"/>
      <c r="M108" s="703"/>
      <c r="N108" s="674"/>
      <c r="O108" s="672"/>
    </row>
    <row r="109" spans="1:15" x14ac:dyDescent="0.2">
      <c r="A109" s="594"/>
      <c r="B109" s="586"/>
      <c r="C109" s="586"/>
      <c r="D109" s="296" t="s">
        <v>91</v>
      </c>
      <c r="E109" s="299">
        <v>60</v>
      </c>
      <c r="F109" s="34" t="s">
        <v>14</v>
      </c>
      <c r="G109" s="34" t="s">
        <v>14</v>
      </c>
      <c r="H109" s="34" t="s">
        <v>1002</v>
      </c>
      <c r="I109" s="34" t="s">
        <v>1002</v>
      </c>
      <c r="J109" s="296" t="s">
        <v>13</v>
      </c>
      <c r="K109" s="561"/>
      <c r="L109" s="561"/>
      <c r="M109" s="703"/>
      <c r="N109" s="674"/>
      <c r="O109" s="672"/>
    </row>
    <row r="110" spans="1:15" x14ac:dyDescent="0.2">
      <c r="A110" s="594"/>
      <c r="B110" s="596"/>
      <c r="C110" s="596"/>
      <c r="D110" s="296" t="s">
        <v>71</v>
      </c>
      <c r="E110" s="299">
        <v>58</v>
      </c>
      <c r="F110" s="34" t="s">
        <v>14</v>
      </c>
      <c r="G110" s="34" t="s">
        <v>14</v>
      </c>
      <c r="H110" s="34" t="s">
        <v>1003</v>
      </c>
      <c r="I110" s="34" t="s">
        <v>1003</v>
      </c>
      <c r="J110" s="296" t="s">
        <v>13</v>
      </c>
      <c r="K110" s="562"/>
      <c r="L110" s="562"/>
      <c r="M110" s="704"/>
      <c r="N110" s="660"/>
      <c r="O110" s="705"/>
    </row>
    <row r="111" spans="1:15" x14ac:dyDescent="0.2">
      <c r="A111" s="595"/>
      <c r="B111" s="581"/>
      <c r="C111" s="582"/>
      <c r="D111" s="582"/>
      <c r="E111" s="582"/>
      <c r="F111" s="582"/>
      <c r="G111" s="582"/>
      <c r="H111" s="582"/>
      <c r="I111" s="582"/>
      <c r="J111" s="582"/>
      <c r="K111" s="582"/>
      <c r="L111" s="582"/>
      <c r="M111" s="582"/>
      <c r="N111" s="582"/>
      <c r="O111" s="583"/>
    </row>
    <row r="112" spans="1:15" ht="15.75" x14ac:dyDescent="0.2">
      <c r="A112" s="556" t="s">
        <v>1004</v>
      </c>
      <c r="B112" s="557"/>
      <c r="C112" s="557"/>
      <c r="D112" s="557"/>
      <c r="E112" s="557"/>
      <c r="F112" s="557"/>
      <c r="G112" s="557"/>
      <c r="H112" s="557"/>
      <c r="I112" s="557"/>
      <c r="J112" s="557"/>
      <c r="K112" s="557"/>
      <c r="L112" s="557"/>
      <c r="M112" s="557"/>
      <c r="N112" s="557"/>
      <c r="O112" s="661"/>
    </row>
    <row r="113" spans="1:15" x14ac:dyDescent="0.2">
      <c r="A113" s="593">
        <v>20</v>
      </c>
      <c r="B113" s="585" t="s">
        <v>1005</v>
      </c>
      <c r="C113" s="597" t="s">
        <v>902</v>
      </c>
      <c r="D113" s="312" t="s">
        <v>244</v>
      </c>
      <c r="E113" s="313">
        <v>100</v>
      </c>
      <c r="F113" s="314" t="s">
        <v>14</v>
      </c>
      <c r="G113" s="314" t="s">
        <v>14</v>
      </c>
      <c r="H113" s="314" t="s">
        <v>1006</v>
      </c>
      <c r="I113" s="314" t="s">
        <v>1006</v>
      </c>
      <c r="J113" s="244" t="s">
        <v>13</v>
      </c>
      <c r="K113" s="560" t="s">
        <v>15</v>
      </c>
      <c r="L113" s="560" t="s">
        <v>97</v>
      </c>
      <c r="M113" s="702" t="s">
        <v>1006</v>
      </c>
      <c r="N113" s="659" t="s">
        <v>18</v>
      </c>
      <c r="O113" s="671"/>
    </row>
    <row r="114" spans="1:15" x14ac:dyDescent="0.2">
      <c r="A114" s="594"/>
      <c r="B114" s="586"/>
      <c r="C114" s="598"/>
      <c r="D114" s="296" t="s">
        <v>1007</v>
      </c>
      <c r="E114" s="299">
        <v>84</v>
      </c>
      <c r="F114" s="34" t="s">
        <v>14</v>
      </c>
      <c r="G114" s="34" t="s">
        <v>14</v>
      </c>
      <c r="H114" s="34" t="s">
        <v>1008</v>
      </c>
      <c r="I114" s="34" t="s">
        <v>1008</v>
      </c>
      <c r="J114" s="296" t="s">
        <v>13</v>
      </c>
      <c r="K114" s="561"/>
      <c r="L114" s="561"/>
      <c r="M114" s="703"/>
      <c r="N114" s="674"/>
      <c r="O114" s="672"/>
    </row>
    <row r="115" spans="1:15" x14ac:dyDescent="0.2">
      <c r="A115" s="594"/>
      <c r="B115" s="586"/>
      <c r="C115" s="598"/>
      <c r="D115" s="296" t="s">
        <v>22</v>
      </c>
      <c r="E115" s="299">
        <v>90</v>
      </c>
      <c r="F115" s="34" t="s">
        <v>14</v>
      </c>
      <c r="G115" s="34" t="s">
        <v>14</v>
      </c>
      <c r="H115" s="34" t="s">
        <v>943</v>
      </c>
      <c r="I115" s="34" t="s">
        <v>943</v>
      </c>
      <c r="J115" s="296" t="s">
        <v>13</v>
      </c>
      <c r="K115" s="561"/>
      <c r="L115" s="561"/>
      <c r="M115" s="703"/>
      <c r="N115" s="674"/>
      <c r="O115" s="672"/>
    </row>
    <row r="116" spans="1:15" x14ac:dyDescent="0.2">
      <c r="A116" s="594"/>
      <c r="B116" s="586"/>
      <c r="C116" s="598"/>
      <c r="D116" s="296" t="s">
        <v>382</v>
      </c>
      <c r="E116" s="299">
        <v>87</v>
      </c>
      <c r="F116" s="34" t="s">
        <v>14</v>
      </c>
      <c r="G116" s="34" t="s">
        <v>14</v>
      </c>
      <c r="H116" s="34" t="s">
        <v>1009</v>
      </c>
      <c r="I116" s="34" t="s">
        <v>1009</v>
      </c>
      <c r="J116" s="296" t="s">
        <v>13</v>
      </c>
      <c r="K116" s="561"/>
      <c r="L116" s="561"/>
      <c r="M116" s="703"/>
      <c r="N116" s="674"/>
      <c r="O116" s="672"/>
    </row>
    <row r="117" spans="1:15" x14ac:dyDescent="0.2">
      <c r="A117" s="594"/>
      <c r="B117" s="586"/>
      <c r="C117" s="598"/>
      <c r="D117" s="296" t="s">
        <v>250</v>
      </c>
      <c r="E117" s="299">
        <v>81</v>
      </c>
      <c r="F117" s="34" t="s">
        <v>14</v>
      </c>
      <c r="G117" s="34" t="s">
        <v>14</v>
      </c>
      <c r="H117" s="34" t="s">
        <v>945</v>
      </c>
      <c r="I117" s="34" t="s">
        <v>945</v>
      </c>
      <c r="J117" s="296" t="s">
        <v>13</v>
      </c>
      <c r="K117" s="561"/>
      <c r="L117" s="561"/>
      <c r="M117" s="703"/>
      <c r="N117" s="674"/>
      <c r="O117" s="672"/>
    </row>
    <row r="118" spans="1:15" x14ac:dyDescent="0.2">
      <c r="A118" s="594"/>
      <c r="B118" s="586"/>
      <c r="C118" s="598"/>
      <c r="D118" s="296" t="s">
        <v>248</v>
      </c>
      <c r="E118" s="299">
        <v>79</v>
      </c>
      <c r="F118" s="34" t="s">
        <v>14</v>
      </c>
      <c r="G118" s="34" t="s">
        <v>14</v>
      </c>
      <c r="H118" s="34" t="s">
        <v>989</v>
      </c>
      <c r="I118" s="34" t="s">
        <v>989</v>
      </c>
      <c r="J118" s="296" t="s">
        <v>13</v>
      </c>
      <c r="K118" s="561"/>
      <c r="L118" s="561"/>
      <c r="M118" s="703"/>
      <c r="N118" s="674"/>
      <c r="O118" s="672"/>
    </row>
    <row r="119" spans="1:15" x14ac:dyDescent="0.2">
      <c r="A119" s="594"/>
      <c r="B119" s="586"/>
      <c r="C119" s="598"/>
      <c r="D119" s="296" t="s">
        <v>380</v>
      </c>
      <c r="E119" s="299">
        <v>76</v>
      </c>
      <c r="F119" s="34" t="s">
        <v>14</v>
      </c>
      <c r="G119" s="34" t="s">
        <v>14</v>
      </c>
      <c r="H119" s="34" t="s">
        <v>1010</v>
      </c>
      <c r="I119" s="34" t="s">
        <v>1010</v>
      </c>
      <c r="J119" s="296" t="s">
        <v>13</v>
      </c>
      <c r="K119" s="561"/>
      <c r="L119" s="561"/>
      <c r="M119" s="703"/>
      <c r="N119" s="674"/>
      <c r="O119" s="672"/>
    </row>
    <row r="120" spans="1:15" x14ac:dyDescent="0.2">
      <c r="A120" s="594"/>
      <c r="B120" s="586"/>
      <c r="C120" s="598"/>
      <c r="D120" s="296" t="s">
        <v>121</v>
      </c>
      <c r="E120" s="299">
        <v>75</v>
      </c>
      <c r="F120" s="34" t="s">
        <v>14</v>
      </c>
      <c r="G120" s="34" t="s">
        <v>14</v>
      </c>
      <c r="H120" s="34" t="s">
        <v>1011</v>
      </c>
      <c r="I120" s="34" t="s">
        <v>1011</v>
      </c>
      <c r="J120" s="296" t="s">
        <v>13</v>
      </c>
      <c r="K120" s="561"/>
      <c r="L120" s="561"/>
      <c r="M120" s="703"/>
      <c r="N120" s="674"/>
      <c r="O120" s="672"/>
    </row>
    <row r="121" spans="1:15" ht="25.5" customHeight="1" x14ac:dyDescent="0.2">
      <c r="A121" s="594"/>
      <c r="B121" s="596"/>
      <c r="C121" s="599"/>
      <c r="D121" s="296" t="s">
        <v>378</v>
      </c>
      <c r="E121" s="709" t="s">
        <v>1012</v>
      </c>
      <c r="F121" s="710"/>
      <c r="G121" s="711"/>
      <c r="H121" s="34" t="s">
        <v>1013</v>
      </c>
      <c r="I121" s="34" t="s">
        <v>1013</v>
      </c>
      <c r="J121" s="296" t="s">
        <v>13</v>
      </c>
      <c r="K121" s="562"/>
      <c r="L121" s="562"/>
      <c r="M121" s="704"/>
      <c r="N121" s="660"/>
      <c r="O121" s="705"/>
    </row>
    <row r="122" spans="1:15" x14ac:dyDescent="0.2">
      <c r="A122" s="595"/>
      <c r="B122" s="581"/>
      <c r="C122" s="582"/>
      <c r="D122" s="582"/>
      <c r="E122" s="582"/>
      <c r="F122" s="582"/>
      <c r="G122" s="582"/>
      <c r="H122" s="582"/>
      <c r="I122" s="582"/>
      <c r="J122" s="582"/>
      <c r="K122" s="582"/>
      <c r="L122" s="582"/>
      <c r="M122" s="582"/>
      <c r="N122" s="582"/>
      <c r="O122" s="583"/>
    </row>
    <row r="123" spans="1:15" ht="15.75" x14ac:dyDescent="0.2">
      <c r="A123" s="556" t="s">
        <v>1014</v>
      </c>
      <c r="B123" s="557"/>
      <c r="C123" s="557"/>
      <c r="D123" s="557"/>
      <c r="E123" s="557"/>
      <c r="F123" s="557"/>
      <c r="G123" s="557"/>
      <c r="H123" s="557"/>
      <c r="I123" s="557"/>
      <c r="J123" s="557"/>
      <c r="K123" s="557"/>
      <c r="L123" s="557"/>
      <c r="M123" s="557"/>
      <c r="N123" s="557"/>
      <c r="O123" s="661"/>
    </row>
    <row r="124" spans="1:15" x14ac:dyDescent="0.2">
      <c r="A124" s="593">
        <v>21</v>
      </c>
      <c r="B124" s="585" t="s">
        <v>1015</v>
      </c>
      <c r="C124" s="597" t="s">
        <v>902</v>
      </c>
      <c r="D124" s="312" t="s">
        <v>21</v>
      </c>
      <c r="E124" s="313">
        <v>100</v>
      </c>
      <c r="F124" s="314" t="s">
        <v>14</v>
      </c>
      <c r="G124" s="314" t="s">
        <v>14</v>
      </c>
      <c r="H124" s="314" t="s">
        <v>1016</v>
      </c>
      <c r="I124" s="314" t="s">
        <v>1016</v>
      </c>
      <c r="J124" s="244" t="s">
        <v>13</v>
      </c>
      <c r="K124" s="560" t="s">
        <v>15</v>
      </c>
      <c r="L124" s="560" t="s">
        <v>97</v>
      </c>
      <c r="M124" s="702" t="s">
        <v>1016</v>
      </c>
      <c r="N124" s="659" t="s">
        <v>18</v>
      </c>
      <c r="O124" s="671"/>
    </row>
    <row r="125" spans="1:15" x14ac:dyDescent="0.2">
      <c r="A125" s="594"/>
      <c r="B125" s="586"/>
      <c r="C125" s="598"/>
      <c r="D125" s="296" t="s">
        <v>378</v>
      </c>
      <c r="E125" s="299">
        <v>94</v>
      </c>
      <c r="F125" s="34" t="s">
        <v>14</v>
      </c>
      <c r="G125" s="34" t="s">
        <v>14</v>
      </c>
      <c r="H125" s="34" t="s">
        <v>1017</v>
      </c>
      <c r="I125" s="34" t="s">
        <v>1017</v>
      </c>
      <c r="J125" s="296" t="s">
        <v>13</v>
      </c>
      <c r="K125" s="561"/>
      <c r="L125" s="561"/>
      <c r="M125" s="703"/>
      <c r="N125" s="674"/>
      <c r="O125" s="672"/>
    </row>
    <row r="126" spans="1:15" x14ac:dyDescent="0.2">
      <c r="A126" s="594"/>
      <c r="B126" s="586"/>
      <c r="C126" s="598"/>
      <c r="D126" s="296" t="s">
        <v>277</v>
      </c>
      <c r="E126" s="299">
        <v>75</v>
      </c>
      <c r="F126" s="34" t="s">
        <v>14</v>
      </c>
      <c r="G126" s="34" t="s">
        <v>14</v>
      </c>
      <c r="H126" s="34" t="s">
        <v>1018</v>
      </c>
      <c r="I126" s="34" t="s">
        <v>1018</v>
      </c>
      <c r="J126" s="296" t="s">
        <v>13</v>
      </c>
      <c r="K126" s="561"/>
      <c r="L126" s="561"/>
      <c r="M126" s="703"/>
      <c r="N126" s="674"/>
      <c r="O126" s="672"/>
    </row>
    <row r="127" spans="1:15" x14ac:dyDescent="0.2">
      <c r="A127" s="594"/>
      <c r="B127" s="586"/>
      <c r="C127" s="598"/>
      <c r="D127" s="296" t="s">
        <v>278</v>
      </c>
      <c r="E127" s="299">
        <v>68</v>
      </c>
      <c r="F127" s="34" t="s">
        <v>14</v>
      </c>
      <c r="G127" s="34" t="s">
        <v>14</v>
      </c>
      <c r="H127" s="34" t="s">
        <v>1019</v>
      </c>
      <c r="I127" s="34" t="s">
        <v>1019</v>
      </c>
      <c r="J127" s="296" t="s">
        <v>13</v>
      </c>
      <c r="K127" s="561"/>
      <c r="L127" s="561"/>
      <c r="M127" s="703"/>
      <c r="N127" s="674"/>
      <c r="O127" s="672"/>
    </row>
    <row r="128" spans="1:15" x14ac:dyDescent="0.2">
      <c r="A128" s="594"/>
      <c r="B128" s="596"/>
      <c r="C128" s="599"/>
      <c r="D128" s="296" t="s">
        <v>250</v>
      </c>
      <c r="E128" s="299">
        <v>57</v>
      </c>
      <c r="F128" s="34" t="s">
        <v>14</v>
      </c>
      <c r="G128" s="34" t="s">
        <v>14</v>
      </c>
      <c r="H128" s="34" t="s">
        <v>1020</v>
      </c>
      <c r="I128" s="34" t="s">
        <v>1020</v>
      </c>
      <c r="J128" s="296" t="s">
        <v>13</v>
      </c>
      <c r="K128" s="562"/>
      <c r="L128" s="562"/>
      <c r="M128" s="704"/>
      <c r="N128" s="660"/>
      <c r="O128" s="705"/>
    </row>
    <row r="129" spans="1:15" x14ac:dyDescent="0.2">
      <c r="A129" s="595"/>
      <c r="B129" s="581"/>
      <c r="C129" s="582"/>
      <c r="D129" s="582"/>
      <c r="E129" s="582"/>
      <c r="F129" s="582"/>
      <c r="G129" s="582"/>
      <c r="H129" s="582"/>
      <c r="I129" s="582"/>
      <c r="J129" s="582"/>
      <c r="K129" s="582"/>
      <c r="L129" s="582"/>
      <c r="M129" s="582"/>
      <c r="N129" s="582"/>
      <c r="O129" s="583"/>
    </row>
    <row r="130" spans="1:15" ht="15.75" x14ac:dyDescent="0.2">
      <c r="A130" s="556" t="s">
        <v>1021</v>
      </c>
      <c r="B130" s="557"/>
      <c r="C130" s="557"/>
      <c r="D130" s="557"/>
      <c r="E130" s="557"/>
      <c r="F130" s="557"/>
      <c r="G130" s="557"/>
      <c r="H130" s="557"/>
      <c r="I130" s="557"/>
      <c r="J130" s="557"/>
      <c r="K130" s="557"/>
      <c r="L130" s="557"/>
      <c r="M130" s="557"/>
      <c r="N130" s="557"/>
      <c r="O130" s="661"/>
    </row>
    <row r="131" spans="1:15" x14ac:dyDescent="0.2">
      <c r="A131" s="593">
        <v>22</v>
      </c>
      <c r="B131" s="585" t="s">
        <v>1022</v>
      </c>
      <c r="C131" s="597" t="s">
        <v>902</v>
      </c>
      <c r="D131" s="312" t="s">
        <v>1023</v>
      </c>
      <c r="E131" s="313">
        <v>100</v>
      </c>
      <c r="F131" s="314" t="s">
        <v>14</v>
      </c>
      <c r="G131" s="314" t="s">
        <v>14</v>
      </c>
      <c r="H131" s="314" t="s">
        <v>941</v>
      </c>
      <c r="I131" s="314" t="s">
        <v>941</v>
      </c>
      <c r="J131" s="244" t="s">
        <v>13</v>
      </c>
      <c r="K131" s="560" t="s">
        <v>15</v>
      </c>
      <c r="L131" s="560" t="s">
        <v>97</v>
      </c>
      <c r="M131" s="702" t="s">
        <v>941</v>
      </c>
      <c r="N131" s="659" t="s">
        <v>18</v>
      </c>
      <c r="O131" s="671"/>
    </row>
    <row r="132" spans="1:15" x14ac:dyDescent="0.2">
      <c r="A132" s="594"/>
      <c r="B132" s="586"/>
      <c r="C132" s="598"/>
      <c r="D132" s="296" t="s">
        <v>1024</v>
      </c>
      <c r="E132" s="299">
        <v>74</v>
      </c>
      <c r="F132" s="34" t="s">
        <v>14</v>
      </c>
      <c r="G132" s="34" t="s">
        <v>14</v>
      </c>
      <c r="H132" s="34" t="s">
        <v>943</v>
      </c>
      <c r="I132" s="34" t="s">
        <v>943</v>
      </c>
      <c r="J132" s="296" t="s">
        <v>13</v>
      </c>
      <c r="K132" s="561"/>
      <c r="L132" s="561"/>
      <c r="M132" s="703"/>
      <c r="N132" s="674"/>
      <c r="O132" s="672"/>
    </row>
    <row r="133" spans="1:15" x14ac:dyDescent="0.2">
      <c r="A133" s="594"/>
      <c r="B133" s="586"/>
      <c r="C133" s="598"/>
      <c r="D133" s="296" t="s">
        <v>230</v>
      </c>
      <c r="E133" s="299">
        <v>73</v>
      </c>
      <c r="F133" s="34" t="s">
        <v>14</v>
      </c>
      <c r="G133" s="34" t="s">
        <v>14</v>
      </c>
      <c r="H133" s="34" t="s">
        <v>1025</v>
      </c>
      <c r="I133" s="34" t="s">
        <v>1025</v>
      </c>
      <c r="J133" s="296" t="s">
        <v>13</v>
      </c>
      <c r="K133" s="561"/>
      <c r="L133" s="561"/>
      <c r="M133" s="703"/>
      <c r="N133" s="674"/>
      <c r="O133" s="672"/>
    </row>
    <row r="134" spans="1:15" x14ac:dyDescent="0.2">
      <c r="A134" s="594"/>
      <c r="B134" s="586"/>
      <c r="C134" s="598"/>
      <c r="D134" s="296" t="s">
        <v>1026</v>
      </c>
      <c r="E134" s="299">
        <v>69</v>
      </c>
      <c r="F134" s="34" t="s">
        <v>14</v>
      </c>
      <c r="G134" s="34" t="s">
        <v>14</v>
      </c>
      <c r="H134" s="34" t="s">
        <v>1020</v>
      </c>
      <c r="I134" s="34" t="s">
        <v>1020</v>
      </c>
      <c r="J134" s="296" t="s">
        <v>13</v>
      </c>
      <c r="K134" s="561"/>
      <c r="L134" s="561"/>
      <c r="M134" s="703"/>
      <c r="N134" s="674"/>
      <c r="O134" s="672"/>
    </row>
    <row r="135" spans="1:15" x14ac:dyDescent="0.2">
      <c r="A135" s="594"/>
      <c r="B135" s="586"/>
      <c r="C135" s="598"/>
      <c r="D135" s="296" t="s">
        <v>1027</v>
      </c>
      <c r="E135" s="299">
        <v>65</v>
      </c>
      <c r="F135" s="34" t="s">
        <v>14</v>
      </c>
      <c r="G135" s="34" t="s">
        <v>14</v>
      </c>
      <c r="H135" s="34" t="s">
        <v>957</v>
      </c>
      <c r="I135" s="34" t="s">
        <v>957</v>
      </c>
      <c r="J135" s="296" t="s">
        <v>13</v>
      </c>
      <c r="K135" s="562"/>
      <c r="L135" s="561"/>
      <c r="M135" s="703"/>
      <c r="N135" s="674"/>
      <c r="O135" s="672"/>
    </row>
    <row r="136" spans="1:15" ht="15.75" x14ac:dyDescent="0.2">
      <c r="A136" s="594"/>
      <c r="B136" s="303"/>
      <c r="C136" s="317"/>
      <c r="D136" s="318"/>
      <c r="E136" s="319"/>
      <c r="F136" s="320"/>
      <c r="G136" s="320"/>
      <c r="H136" s="320"/>
      <c r="I136" s="320"/>
      <c r="J136" s="318"/>
      <c r="K136" s="321"/>
      <c r="L136" s="322"/>
      <c r="M136" s="323"/>
      <c r="N136" s="324"/>
      <c r="O136" s="325"/>
    </row>
    <row r="137" spans="1:15" x14ac:dyDescent="0.2">
      <c r="A137" s="595"/>
      <c r="B137" s="581"/>
      <c r="C137" s="582"/>
      <c r="D137" s="582"/>
      <c r="E137" s="582"/>
      <c r="F137" s="582"/>
      <c r="G137" s="582"/>
      <c r="H137" s="582"/>
      <c r="I137" s="582"/>
      <c r="J137" s="582"/>
      <c r="K137" s="582"/>
      <c r="L137" s="582"/>
      <c r="M137" s="582"/>
      <c r="N137" s="582"/>
      <c r="O137" s="583"/>
    </row>
    <row r="138" spans="1:15" ht="15.75" x14ac:dyDescent="0.2">
      <c r="A138" s="556" t="s">
        <v>1028</v>
      </c>
      <c r="B138" s="557"/>
      <c r="C138" s="557"/>
      <c r="D138" s="557"/>
      <c r="E138" s="557"/>
      <c r="F138" s="557"/>
      <c r="G138" s="557"/>
      <c r="H138" s="557"/>
      <c r="I138" s="557"/>
      <c r="J138" s="557"/>
      <c r="K138" s="557"/>
      <c r="L138" s="557"/>
      <c r="M138" s="557"/>
      <c r="N138" s="557"/>
      <c r="O138" s="661"/>
    </row>
    <row r="139" spans="1:15" x14ac:dyDescent="0.2">
      <c r="A139" s="593">
        <v>23</v>
      </c>
      <c r="B139" s="585" t="s">
        <v>1029</v>
      </c>
      <c r="C139" s="597" t="s">
        <v>902</v>
      </c>
      <c r="D139" s="312" t="s">
        <v>1030</v>
      </c>
      <c r="E139" s="313">
        <v>100</v>
      </c>
      <c r="F139" s="314" t="s">
        <v>14</v>
      </c>
      <c r="G139" s="314" t="s">
        <v>14</v>
      </c>
      <c r="H139" s="314" t="s">
        <v>1016</v>
      </c>
      <c r="I139" s="314" t="s">
        <v>1016</v>
      </c>
      <c r="J139" s="244" t="s">
        <v>13</v>
      </c>
      <c r="K139" s="560" t="s">
        <v>15</v>
      </c>
      <c r="L139" s="560" t="s">
        <v>97</v>
      </c>
      <c r="M139" s="702" t="s">
        <v>1016</v>
      </c>
      <c r="N139" s="659" t="s">
        <v>18</v>
      </c>
      <c r="O139" s="671"/>
    </row>
    <row r="140" spans="1:15" x14ac:dyDescent="0.2">
      <c r="A140" s="594"/>
      <c r="B140" s="586"/>
      <c r="C140" s="598"/>
      <c r="D140" s="296" t="s">
        <v>259</v>
      </c>
      <c r="E140" s="299">
        <v>84</v>
      </c>
      <c r="F140" s="34" t="s">
        <v>14</v>
      </c>
      <c r="G140" s="34" t="s">
        <v>14</v>
      </c>
      <c r="H140" s="34" t="s">
        <v>977</v>
      </c>
      <c r="I140" s="34" t="s">
        <v>977</v>
      </c>
      <c r="J140" s="296" t="s">
        <v>13</v>
      </c>
      <c r="K140" s="561"/>
      <c r="L140" s="561"/>
      <c r="M140" s="703"/>
      <c r="N140" s="674"/>
      <c r="O140" s="672"/>
    </row>
    <row r="141" spans="1:15" x14ac:dyDescent="0.2">
      <c r="A141" s="594"/>
      <c r="B141" s="586"/>
      <c r="C141" s="598"/>
      <c r="D141" s="296" t="s">
        <v>378</v>
      </c>
      <c r="E141" s="299">
        <v>84</v>
      </c>
      <c r="F141" s="34" t="s">
        <v>14</v>
      </c>
      <c r="G141" s="34" t="s">
        <v>14</v>
      </c>
      <c r="H141" s="34" t="s">
        <v>1031</v>
      </c>
      <c r="I141" s="34" t="s">
        <v>1031</v>
      </c>
      <c r="J141" s="296" t="s">
        <v>13</v>
      </c>
      <c r="K141" s="561"/>
      <c r="L141" s="561"/>
      <c r="M141" s="703"/>
      <c r="N141" s="674"/>
      <c r="O141" s="672"/>
    </row>
    <row r="142" spans="1:15" x14ac:dyDescent="0.2">
      <c r="A142" s="594"/>
      <c r="B142" s="586"/>
      <c r="C142" s="598"/>
      <c r="D142" s="296" t="s">
        <v>260</v>
      </c>
      <c r="E142" s="299">
        <v>84</v>
      </c>
      <c r="F142" s="34" t="s">
        <v>14</v>
      </c>
      <c r="G142" s="34" t="s">
        <v>14</v>
      </c>
      <c r="H142" s="34" t="s">
        <v>977</v>
      </c>
      <c r="I142" s="34" t="s">
        <v>977</v>
      </c>
      <c r="J142" s="296" t="s">
        <v>13</v>
      </c>
      <c r="K142" s="561"/>
      <c r="L142" s="561"/>
      <c r="M142" s="703"/>
      <c r="N142" s="674"/>
      <c r="O142" s="672"/>
    </row>
    <row r="143" spans="1:15" x14ac:dyDescent="0.2">
      <c r="A143" s="594"/>
      <c r="B143" s="586"/>
      <c r="C143" s="598"/>
      <c r="D143" s="296" t="s">
        <v>250</v>
      </c>
      <c r="E143" s="299">
        <v>68</v>
      </c>
      <c r="F143" s="34" t="s">
        <v>14</v>
      </c>
      <c r="G143" s="34" t="s">
        <v>14</v>
      </c>
      <c r="H143" s="34" t="s">
        <v>1019</v>
      </c>
      <c r="I143" s="34" t="s">
        <v>1019</v>
      </c>
      <c r="J143" s="296" t="s">
        <v>13</v>
      </c>
      <c r="K143" s="561"/>
      <c r="L143" s="561"/>
      <c r="M143" s="703"/>
      <c r="N143" s="674"/>
      <c r="O143" s="672"/>
    </row>
    <row r="144" spans="1:15" x14ac:dyDescent="0.2">
      <c r="A144" s="594"/>
      <c r="B144" s="586"/>
      <c r="C144" s="598"/>
      <c r="D144" s="296" t="s">
        <v>248</v>
      </c>
      <c r="E144" s="299">
        <v>68</v>
      </c>
      <c r="F144" s="34" t="s">
        <v>14</v>
      </c>
      <c r="G144" s="34" t="s">
        <v>14</v>
      </c>
      <c r="H144" s="34" t="s">
        <v>1019</v>
      </c>
      <c r="I144" s="34" t="s">
        <v>1019</v>
      </c>
      <c r="J144" s="296" t="s">
        <v>13</v>
      </c>
      <c r="K144" s="561"/>
      <c r="L144" s="561"/>
      <c r="M144" s="703"/>
      <c r="N144" s="674"/>
      <c r="O144" s="672"/>
    </row>
    <row r="145" spans="1:15" x14ac:dyDescent="0.2">
      <c r="A145" s="594"/>
      <c r="B145" s="596"/>
      <c r="C145" s="599"/>
      <c r="D145" s="296" t="s">
        <v>261</v>
      </c>
      <c r="E145" s="299">
        <v>61</v>
      </c>
      <c r="F145" s="34" t="s">
        <v>14</v>
      </c>
      <c r="G145" s="34" t="s">
        <v>14</v>
      </c>
      <c r="H145" s="34" t="s">
        <v>943</v>
      </c>
      <c r="I145" s="34" t="s">
        <v>943</v>
      </c>
      <c r="J145" s="296" t="s">
        <v>13</v>
      </c>
      <c r="K145" s="562"/>
      <c r="L145" s="562"/>
      <c r="M145" s="704"/>
      <c r="N145" s="660"/>
      <c r="O145" s="705"/>
    </row>
    <row r="146" spans="1:15" x14ac:dyDescent="0.2">
      <c r="A146" s="595"/>
      <c r="B146" s="581"/>
      <c r="C146" s="582"/>
      <c r="D146" s="582"/>
      <c r="E146" s="582"/>
      <c r="F146" s="582"/>
      <c r="G146" s="582"/>
      <c r="H146" s="582"/>
      <c r="I146" s="582"/>
      <c r="J146" s="582"/>
      <c r="K146" s="582"/>
      <c r="L146" s="582"/>
      <c r="M146" s="582"/>
      <c r="N146" s="582"/>
      <c r="O146" s="583"/>
    </row>
    <row r="147" spans="1:15" ht="15.75" x14ac:dyDescent="0.2">
      <c r="A147" s="556" t="s">
        <v>1032</v>
      </c>
      <c r="B147" s="557"/>
      <c r="C147" s="557"/>
      <c r="D147" s="557"/>
      <c r="E147" s="557"/>
      <c r="F147" s="557"/>
      <c r="G147" s="557"/>
      <c r="H147" s="557"/>
      <c r="I147" s="557"/>
      <c r="J147" s="557"/>
      <c r="K147" s="557"/>
      <c r="L147" s="557"/>
      <c r="M147" s="557"/>
      <c r="N147" s="557"/>
      <c r="O147" s="661"/>
    </row>
    <row r="148" spans="1:15" x14ac:dyDescent="0.2">
      <c r="A148" s="593">
        <v>24</v>
      </c>
      <c r="B148" s="585" t="s">
        <v>1033</v>
      </c>
      <c r="C148" s="597" t="s">
        <v>902</v>
      </c>
      <c r="D148" s="312" t="s">
        <v>1030</v>
      </c>
      <c r="E148" s="313">
        <v>100</v>
      </c>
      <c r="F148" s="314" t="s">
        <v>14</v>
      </c>
      <c r="G148" s="314" t="s">
        <v>14</v>
      </c>
      <c r="H148" s="314" t="s">
        <v>1016</v>
      </c>
      <c r="I148" s="314" t="s">
        <v>1016</v>
      </c>
      <c r="J148" s="326" t="s">
        <v>1034</v>
      </c>
      <c r="K148" s="560" t="s">
        <v>15</v>
      </c>
      <c r="L148" s="560" t="s">
        <v>97</v>
      </c>
      <c r="M148" s="702" t="s">
        <v>1016</v>
      </c>
      <c r="N148" s="659" t="s">
        <v>18</v>
      </c>
      <c r="O148" s="671"/>
    </row>
    <row r="149" spans="1:15" x14ac:dyDescent="0.2">
      <c r="A149" s="594"/>
      <c r="B149" s="586"/>
      <c r="C149" s="598"/>
      <c r="D149" s="296" t="s">
        <v>378</v>
      </c>
      <c r="E149" s="299">
        <v>91</v>
      </c>
      <c r="F149" s="34" t="s">
        <v>14</v>
      </c>
      <c r="G149" s="34" t="s">
        <v>14</v>
      </c>
      <c r="H149" s="34">
        <v>4680</v>
      </c>
      <c r="I149" s="34">
        <v>4680</v>
      </c>
      <c r="J149" s="296" t="s">
        <v>13</v>
      </c>
      <c r="K149" s="561"/>
      <c r="L149" s="561"/>
      <c r="M149" s="703"/>
      <c r="N149" s="674"/>
      <c r="O149" s="672"/>
    </row>
    <row r="150" spans="1:15" x14ac:dyDescent="0.2">
      <c r="A150" s="594"/>
      <c r="B150" s="586"/>
      <c r="C150" s="598"/>
      <c r="D150" s="296" t="s">
        <v>260</v>
      </c>
      <c r="E150" s="299">
        <v>84</v>
      </c>
      <c r="F150" s="34" t="s">
        <v>14</v>
      </c>
      <c r="G150" s="34" t="s">
        <v>14</v>
      </c>
      <c r="H150" s="34">
        <v>5265</v>
      </c>
      <c r="I150" s="34">
        <v>5265</v>
      </c>
      <c r="J150" s="296" t="s">
        <v>13</v>
      </c>
      <c r="K150" s="561"/>
      <c r="L150" s="561"/>
      <c r="M150" s="703"/>
      <c r="N150" s="674"/>
      <c r="O150" s="672"/>
    </row>
    <row r="151" spans="1:15" x14ac:dyDescent="0.2">
      <c r="A151" s="594"/>
      <c r="B151" s="586"/>
      <c r="C151" s="598"/>
      <c r="D151" s="296" t="s">
        <v>259</v>
      </c>
      <c r="E151" s="299">
        <v>84</v>
      </c>
      <c r="F151" s="34" t="s">
        <v>14</v>
      </c>
      <c r="G151" s="34" t="s">
        <v>14</v>
      </c>
      <c r="H151" s="34">
        <v>5265</v>
      </c>
      <c r="I151" s="34">
        <v>5265</v>
      </c>
      <c r="J151" s="296" t="s">
        <v>13</v>
      </c>
      <c r="K151" s="561"/>
      <c r="L151" s="561"/>
      <c r="M151" s="703"/>
      <c r="N151" s="674"/>
      <c r="O151" s="672"/>
    </row>
    <row r="152" spans="1:15" x14ac:dyDescent="0.2">
      <c r="A152" s="594"/>
      <c r="B152" s="586"/>
      <c r="C152" s="598"/>
      <c r="D152" s="327" t="s">
        <v>250</v>
      </c>
      <c r="E152" s="327">
        <v>79</v>
      </c>
      <c r="F152" s="327" t="s">
        <v>14</v>
      </c>
      <c r="G152" s="327" t="s">
        <v>14</v>
      </c>
      <c r="H152" s="328" t="s">
        <v>941</v>
      </c>
      <c r="I152" s="328" t="s">
        <v>941</v>
      </c>
      <c r="J152" s="296" t="s">
        <v>13</v>
      </c>
      <c r="K152" s="561"/>
      <c r="L152" s="561"/>
      <c r="M152" s="703"/>
      <c r="N152" s="674"/>
      <c r="O152" s="672"/>
    </row>
    <row r="153" spans="1:15" x14ac:dyDescent="0.2">
      <c r="A153" s="594"/>
      <c r="B153" s="596"/>
      <c r="C153" s="599"/>
      <c r="D153" s="296" t="s">
        <v>261</v>
      </c>
      <c r="E153" s="299">
        <v>61</v>
      </c>
      <c r="F153" s="34" t="s">
        <v>14</v>
      </c>
      <c r="G153" s="34" t="s">
        <v>14</v>
      </c>
      <c r="H153" s="34">
        <v>9360</v>
      </c>
      <c r="I153" s="34">
        <v>9360</v>
      </c>
      <c r="J153" s="296" t="s">
        <v>13</v>
      </c>
      <c r="K153" s="562"/>
      <c r="L153" s="562"/>
      <c r="M153" s="704"/>
      <c r="N153" s="660"/>
      <c r="O153" s="705"/>
    </row>
    <row r="154" spans="1:15" x14ac:dyDescent="0.2">
      <c r="A154" s="595"/>
      <c r="B154" s="581"/>
      <c r="C154" s="582"/>
      <c r="D154" s="582"/>
      <c r="E154" s="582"/>
      <c r="F154" s="582"/>
      <c r="G154" s="582"/>
      <c r="H154" s="582"/>
      <c r="I154" s="582"/>
      <c r="J154" s="582"/>
      <c r="K154" s="582"/>
      <c r="L154" s="582"/>
      <c r="M154" s="582"/>
      <c r="N154" s="582"/>
      <c r="O154" s="583"/>
    </row>
    <row r="155" spans="1:15" ht="15.75" x14ac:dyDescent="0.2">
      <c r="A155" s="556" t="s">
        <v>1035</v>
      </c>
      <c r="B155" s="557"/>
      <c r="C155" s="557"/>
      <c r="D155" s="557"/>
      <c r="E155" s="557"/>
      <c r="F155" s="557"/>
      <c r="G155" s="557"/>
      <c r="H155" s="557"/>
      <c r="I155" s="557"/>
      <c r="J155" s="557"/>
      <c r="K155" s="557"/>
      <c r="L155" s="557"/>
      <c r="M155" s="557"/>
      <c r="N155" s="557"/>
      <c r="O155" s="661"/>
    </row>
    <row r="156" spans="1:15" x14ac:dyDescent="0.2">
      <c r="A156" s="593">
        <v>25</v>
      </c>
      <c r="B156" s="585" t="s">
        <v>1036</v>
      </c>
      <c r="C156" s="597" t="s">
        <v>902</v>
      </c>
      <c r="D156" s="312" t="s">
        <v>1023</v>
      </c>
      <c r="E156" s="313">
        <v>100</v>
      </c>
      <c r="F156" s="314" t="s">
        <v>14</v>
      </c>
      <c r="G156" s="314" t="s">
        <v>14</v>
      </c>
      <c r="H156" s="314" t="s">
        <v>1037</v>
      </c>
      <c r="I156" s="314" t="s">
        <v>941</v>
      </c>
      <c r="J156" s="244" t="s">
        <v>13</v>
      </c>
      <c r="K156" s="560" t="s">
        <v>15</v>
      </c>
      <c r="L156" s="560" t="s">
        <v>97</v>
      </c>
      <c r="M156" s="702" t="s">
        <v>941</v>
      </c>
      <c r="N156" s="659" t="s">
        <v>18</v>
      </c>
      <c r="O156" s="671"/>
    </row>
    <row r="157" spans="1:15" x14ac:dyDescent="0.2">
      <c r="A157" s="594"/>
      <c r="B157" s="586"/>
      <c r="C157" s="598"/>
      <c r="D157" s="296" t="s">
        <v>1038</v>
      </c>
      <c r="E157" s="299">
        <v>74</v>
      </c>
      <c r="F157" s="34" t="s">
        <v>14</v>
      </c>
      <c r="G157" s="34" t="s">
        <v>14</v>
      </c>
      <c r="H157" s="34" t="s">
        <v>1039</v>
      </c>
      <c r="I157" s="34" t="s">
        <v>943</v>
      </c>
      <c r="J157" s="296" t="s">
        <v>13</v>
      </c>
      <c r="K157" s="561"/>
      <c r="L157" s="561"/>
      <c r="M157" s="703"/>
      <c r="N157" s="674"/>
      <c r="O157" s="672"/>
    </row>
    <row r="158" spans="1:15" x14ac:dyDescent="0.2">
      <c r="A158" s="594"/>
      <c r="B158" s="586"/>
      <c r="C158" s="598"/>
      <c r="D158" s="296" t="s">
        <v>230</v>
      </c>
      <c r="E158" s="299">
        <v>73</v>
      </c>
      <c r="F158" s="34" t="s">
        <v>14</v>
      </c>
      <c r="G158" s="34" t="s">
        <v>14</v>
      </c>
      <c r="H158" s="34" t="s">
        <v>1025</v>
      </c>
      <c r="I158" s="34" t="s">
        <v>1025</v>
      </c>
      <c r="J158" s="296" t="s">
        <v>13</v>
      </c>
      <c r="K158" s="561"/>
      <c r="L158" s="561"/>
      <c r="M158" s="703"/>
      <c r="N158" s="674"/>
      <c r="O158" s="672"/>
    </row>
    <row r="159" spans="1:15" x14ac:dyDescent="0.2">
      <c r="A159" s="594"/>
      <c r="B159" s="586"/>
      <c r="C159" s="598"/>
      <c r="D159" s="296" t="s">
        <v>1026</v>
      </c>
      <c r="E159" s="299">
        <v>69</v>
      </c>
      <c r="F159" s="34" t="s">
        <v>14</v>
      </c>
      <c r="G159" s="34" t="s">
        <v>14</v>
      </c>
      <c r="H159" s="34" t="s">
        <v>1020</v>
      </c>
      <c r="I159" s="34" t="s">
        <v>1020</v>
      </c>
      <c r="J159" s="296" t="s">
        <v>13</v>
      </c>
      <c r="K159" s="561"/>
      <c r="L159" s="561"/>
      <c r="M159" s="703"/>
      <c r="N159" s="674"/>
      <c r="O159" s="672"/>
    </row>
    <row r="160" spans="1:15" x14ac:dyDescent="0.2">
      <c r="A160" s="595"/>
      <c r="B160" s="581"/>
      <c r="C160" s="582"/>
      <c r="D160" s="582"/>
      <c r="E160" s="582"/>
      <c r="F160" s="582"/>
      <c r="G160" s="582"/>
      <c r="H160" s="582"/>
      <c r="I160" s="582"/>
      <c r="J160" s="582"/>
      <c r="K160" s="582"/>
      <c r="L160" s="582"/>
      <c r="M160" s="582"/>
      <c r="N160" s="582"/>
      <c r="O160" s="583"/>
    </row>
    <row r="161" spans="1:15" ht="15.75" x14ac:dyDescent="0.2">
      <c r="A161" s="556" t="s">
        <v>1040</v>
      </c>
      <c r="B161" s="557"/>
      <c r="C161" s="557"/>
      <c r="D161" s="557"/>
      <c r="E161" s="557"/>
      <c r="F161" s="557"/>
      <c r="G161" s="557"/>
      <c r="H161" s="557"/>
      <c r="I161" s="557"/>
      <c r="J161" s="557"/>
      <c r="K161" s="557"/>
      <c r="L161" s="557"/>
      <c r="M161" s="557"/>
      <c r="N161" s="557"/>
      <c r="O161" s="661"/>
    </row>
    <row r="162" spans="1:15" ht="14.25" customHeight="1" x14ac:dyDescent="0.2">
      <c r="A162" s="593">
        <v>26</v>
      </c>
      <c r="B162" s="585" t="s">
        <v>1041</v>
      </c>
      <c r="C162" s="597" t="s">
        <v>902</v>
      </c>
      <c r="D162" s="312" t="s">
        <v>378</v>
      </c>
      <c r="E162" s="313">
        <v>100</v>
      </c>
      <c r="F162" s="314" t="s">
        <v>14</v>
      </c>
      <c r="G162" s="314" t="s">
        <v>14</v>
      </c>
      <c r="H162" s="314" t="s">
        <v>989</v>
      </c>
      <c r="I162" s="314" t="s">
        <v>989</v>
      </c>
      <c r="J162" s="244" t="s">
        <v>13</v>
      </c>
      <c r="K162" s="560" t="s">
        <v>15</v>
      </c>
      <c r="L162" s="560" t="s">
        <v>97</v>
      </c>
      <c r="M162" s="702" t="s">
        <v>1042</v>
      </c>
      <c r="N162" s="659" t="s">
        <v>18</v>
      </c>
      <c r="O162" s="671"/>
    </row>
    <row r="163" spans="1:15" x14ac:dyDescent="0.2">
      <c r="A163" s="594"/>
      <c r="B163" s="586"/>
      <c r="C163" s="598"/>
      <c r="D163" s="296" t="s">
        <v>75</v>
      </c>
      <c r="E163" s="299">
        <v>58</v>
      </c>
      <c r="F163" s="34" t="s">
        <v>14</v>
      </c>
      <c r="G163" s="34" t="s">
        <v>14</v>
      </c>
      <c r="H163" s="34" t="s">
        <v>984</v>
      </c>
      <c r="I163" s="34" t="s">
        <v>984</v>
      </c>
      <c r="J163" s="296" t="s">
        <v>13</v>
      </c>
      <c r="K163" s="561"/>
      <c r="L163" s="561"/>
      <c r="M163" s="703"/>
      <c r="N163" s="674"/>
      <c r="O163" s="672"/>
    </row>
    <row r="164" spans="1:15" x14ac:dyDescent="0.2">
      <c r="A164" s="594"/>
      <c r="B164" s="586"/>
      <c r="C164" s="598"/>
      <c r="D164" s="296" t="s">
        <v>414</v>
      </c>
      <c r="E164" s="299">
        <v>54</v>
      </c>
      <c r="F164" s="34" t="s">
        <v>14</v>
      </c>
      <c r="G164" s="34" t="s">
        <v>14</v>
      </c>
      <c r="H164" s="34" t="s">
        <v>1043</v>
      </c>
      <c r="I164" s="34" t="s">
        <v>1043</v>
      </c>
      <c r="J164" s="296" t="s">
        <v>13</v>
      </c>
      <c r="K164" s="561"/>
      <c r="L164" s="561"/>
      <c r="M164" s="703"/>
      <c r="N164" s="674"/>
      <c r="O164" s="672"/>
    </row>
    <row r="165" spans="1:15" x14ac:dyDescent="0.2">
      <c r="A165" s="594"/>
      <c r="B165" s="596"/>
      <c r="C165" s="599"/>
      <c r="D165" s="296" t="s">
        <v>987</v>
      </c>
      <c r="E165" s="299">
        <v>45</v>
      </c>
      <c r="F165" s="34" t="s">
        <v>14</v>
      </c>
      <c r="G165" s="34" t="s">
        <v>14</v>
      </c>
      <c r="H165" s="34">
        <v>52650</v>
      </c>
      <c r="I165" s="34" t="s">
        <v>926</v>
      </c>
      <c r="J165" s="296" t="s">
        <v>13</v>
      </c>
      <c r="K165" s="562"/>
      <c r="L165" s="562"/>
      <c r="M165" s="704"/>
      <c r="N165" s="674"/>
      <c r="O165" s="705"/>
    </row>
    <row r="166" spans="1:15" x14ac:dyDescent="0.2">
      <c r="A166" s="595"/>
      <c r="B166" s="581"/>
      <c r="C166" s="582"/>
      <c r="D166" s="582"/>
      <c r="E166" s="582"/>
      <c r="F166" s="582"/>
      <c r="G166" s="582"/>
      <c r="H166" s="582"/>
      <c r="I166" s="582"/>
      <c r="J166" s="582"/>
      <c r="K166" s="582"/>
      <c r="L166" s="582"/>
      <c r="M166" s="582"/>
      <c r="N166" s="582"/>
      <c r="O166" s="583"/>
    </row>
    <row r="167" spans="1:15" ht="15.75" x14ac:dyDescent="0.2">
      <c r="A167" s="556" t="s">
        <v>1044</v>
      </c>
      <c r="B167" s="557"/>
      <c r="C167" s="557"/>
      <c r="D167" s="557"/>
      <c r="E167" s="557"/>
      <c r="F167" s="557"/>
      <c r="G167" s="557"/>
      <c r="H167" s="557"/>
      <c r="I167" s="557"/>
      <c r="J167" s="557"/>
      <c r="K167" s="557"/>
      <c r="L167" s="557"/>
      <c r="M167" s="557"/>
      <c r="N167" s="557"/>
      <c r="O167" s="661"/>
    </row>
    <row r="168" spans="1:15" ht="14.25" customHeight="1" x14ac:dyDescent="0.2">
      <c r="A168" s="593">
        <v>27</v>
      </c>
      <c r="B168" s="585" t="s">
        <v>1045</v>
      </c>
      <c r="C168" s="597" t="s">
        <v>902</v>
      </c>
      <c r="D168" s="312" t="s">
        <v>378</v>
      </c>
      <c r="E168" s="313">
        <v>100</v>
      </c>
      <c r="F168" s="314" t="s">
        <v>14</v>
      </c>
      <c r="G168" s="314" t="s">
        <v>14</v>
      </c>
      <c r="H168" s="314" t="s">
        <v>1046</v>
      </c>
      <c r="I168" s="314" t="s">
        <v>1046</v>
      </c>
      <c r="J168" s="244" t="s">
        <v>13</v>
      </c>
      <c r="K168" s="560" t="s">
        <v>15</v>
      </c>
      <c r="L168" s="560" t="s">
        <v>97</v>
      </c>
      <c r="M168" s="702" t="s">
        <v>1046</v>
      </c>
      <c r="N168" s="659" t="s">
        <v>18</v>
      </c>
      <c r="O168" s="671"/>
    </row>
    <row r="169" spans="1:15" x14ac:dyDescent="0.2">
      <c r="A169" s="594"/>
      <c r="B169" s="586"/>
      <c r="C169" s="598"/>
      <c r="D169" s="296" t="s">
        <v>386</v>
      </c>
      <c r="E169" s="299">
        <v>90</v>
      </c>
      <c r="F169" s="34" t="s">
        <v>14</v>
      </c>
      <c r="G169" s="34" t="s">
        <v>14</v>
      </c>
      <c r="H169" s="34" t="s">
        <v>943</v>
      </c>
      <c r="I169" s="34" t="s">
        <v>943</v>
      </c>
      <c r="J169" s="296" t="s">
        <v>13</v>
      </c>
      <c r="K169" s="561"/>
      <c r="L169" s="561"/>
      <c r="M169" s="703"/>
      <c r="N169" s="674"/>
      <c r="O169" s="672"/>
    </row>
    <row r="170" spans="1:15" x14ac:dyDescent="0.2">
      <c r="A170" s="594"/>
      <c r="B170" s="586"/>
      <c r="C170" s="598"/>
      <c r="D170" s="296" t="s">
        <v>956</v>
      </c>
      <c r="E170" s="299">
        <v>78</v>
      </c>
      <c r="F170" s="34" t="s">
        <v>14</v>
      </c>
      <c r="G170" s="34" t="s">
        <v>14</v>
      </c>
      <c r="H170" s="34" t="s">
        <v>957</v>
      </c>
      <c r="I170" s="34" t="s">
        <v>957</v>
      </c>
      <c r="J170" s="296" t="s">
        <v>13</v>
      </c>
      <c r="K170" s="561"/>
      <c r="L170" s="561"/>
      <c r="M170" s="703"/>
      <c r="N170" s="674"/>
      <c r="O170" s="672"/>
    </row>
    <row r="171" spans="1:15" x14ac:dyDescent="0.2">
      <c r="A171" s="594"/>
      <c r="B171" s="586"/>
      <c r="C171" s="598"/>
      <c r="D171" s="296" t="s">
        <v>255</v>
      </c>
      <c r="E171" s="299">
        <v>47</v>
      </c>
      <c r="F171" s="34" t="s">
        <v>14</v>
      </c>
      <c r="G171" s="34" t="s">
        <v>14</v>
      </c>
      <c r="H171" s="34" t="s">
        <v>961</v>
      </c>
      <c r="I171" s="34" t="s">
        <v>961</v>
      </c>
      <c r="J171" s="296" t="s">
        <v>13</v>
      </c>
      <c r="K171" s="561"/>
      <c r="L171" s="561"/>
      <c r="M171" s="703"/>
      <c r="N171" s="674"/>
      <c r="O171" s="672"/>
    </row>
    <row r="172" spans="1:15" x14ac:dyDescent="0.2">
      <c r="A172" s="594"/>
      <c r="B172" s="596"/>
      <c r="C172" s="599"/>
      <c r="D172" s="296" t="s">
        <v>1047</v>
      </c>
      <c r="E172" s="299">
        <v>34</v>
      </c>
      <c r="F172" s="34" t="s">
        <v>14</v>
      </c>
      <c r="G172" s="34" t="s">
        <v>14</v>
      </c>
      <c r="H172" s="34" t="s">
        <v>1048</v>
      </c>
      <c r="I172" s="34" t="s">
        <v>1048</v>
      </c>
      <c r="J172" s="296" t="s">
        <v>13</v>
      </c>
      <c r="K172" s="562"/>
      <c r="L172" s="562"/>
      <c r="M172" s="704"/>
      <c r="N172" s="660"/>
      <c r="O172" s="705"/>
    </row>
    <row r="173" spans="1:15" x14ac:dyDescent="0.2">
      <c r="A173" s="595"/>
      <c r="B173" s="581"/>
      <c r="C173" s="582"/>
      <c r="D173" s="582"/>
      <c r="E173" s="582"/>
      <c r="F173" s="582"/>
      <c r="G173" s="582"/>
      <c r="H173" s="582"/>
      <c r="I173" s="582"/>
      <c r="J173" s="582"/>
      <c r="K173" s="582"/>
      <c r="L173" s="582"/>
      <c r="M173" s="582"/>
      <c r="N173" s="582"/>
      <c r="O173" s="583"/>
    </row>
    <row r="174" spans="1:15" ht="15.75" x14ac:dyDescent="0.2">
      <c r="A174" s="556" t="s">
        <v>1049</v>
      </c>
      <c r="B174" s="557"/>
      <c r="C174" s="557"/>
      <c r="D174" s="557"/>
      <c r="E174" s="557"/>
      <c r="F174" s="557"/>
      <c r="G174" s="557"/>
      <c r="H174" s="557"/>
      <c r="I174" s="557"/>
      <c r="J174" s="557"/>
      <c r="K174" s="557"/>
      <c r="L174" s="557"/>
      <c r="M174" s="557"/>
      <c r="N174" s="557"/>
      <c r="O174" s="661"/>
    </row>
    <row r="175" spans="1:15" x14ac:dyDescent="0.2">
      <c r="A175" s="593">
        <v>28</v>
      </c>
      <c r="B175" s="585" t="s">
        <v>1050</v>
      </c>
      <c r="C175" s="597" t="s">
        <v>902</v>
      </c>
      <c r="D175" s="312" t="s">
        <v>997</v>
      </c>
      <c r="E175" s="313">
        <v>100</v>
      </c>
      <c r="F175" s="314" t="s">
        <v>14</v>
      </c>
      <c r="G175" s="314" t="s">
        <v>14</v>
      </c>
      <c r="H175" s="314" t="s">
        <v>1051</v>
      </c>
      <c r="I175" s="314" t="s">
        <v>998</v>
      </c>
      <c r="J175" s="244" t="s">
        <v>13</v>
      </c>
      <c r="K175" s="560" t="s">
        <v>15</v>
      </c>
      <c r="L175" s="560" t="s">
        <v>97</v>
      </c>
      <c r="M175" s="702" t="s">
        <v>1052</v>
      </c>
      <c r="N175" s="659" t="s">
        <v>18</v>
      </c>
      <c r="O175" s="671"/>
    </row>
    <row r="176" spans="1:15" x14ac:dyDescent="0.2">
      <c r="A176" s="594"/>
      <c r="B176" s="586"/>
      <c r="C176" s="598"/>
      <c r="D176" s="296" t="s">
        <v>240</v>
      </c>
      <c r="E176" s="299">
        <v>95</v>
      </c>
      <c r="F176" s="34" t="s">
        <v>14</v>
      </c>
      <c r="G176" s="34" t="s">
        <v>14</v>
      </c>
      <c r="H176" s="34" t="s">
        <v>999</v>
      </c>
      <c r="I176" s="34" t="s">
        <v>999</v>
      </c>
      <c r="J176" s="296" t="s">
        <v>13</v>
      </c>
      <c r="K176" s="561"/>
      <c r="L176" s="561"/>
      <c r="M176" s="703"/>
      <c r="N176" s="674"/>
      <c r="O176" s="672"/>
    </row>
    <row r="177" spans="1:15" x14ac:dyDescent="0.2">
      <c r="A177" s="594"/>
      <c r="B177" s="586"/>
      <c r="C177" s="598"/>
      <c r="D177" s="296" t="s">
        <v>105</v>
      </c>
      <c r="E177" s="299">
        <v>90</v>
      </c>
      <c r="F177" s="34" t="s">
        <v>14</v>
      </c>
      <c r="G177" s="34" t="s">
        <v>14</v>
      </c>
      <c r="H177" s="34" t="s">
        <v>1053</v>
      </c>
      <c r="I177" s="34" t="s">
        <v>1053</v>
      </c>
      <c r="J177" s="296" t="s">
        <v>13</v>
      </c>
      <c r="K177" s="561"/>
      <c r="L177" s="561"/>
      <c r="M177" s="703"/>
      <c r="N177" s="674"/>
      <c r="O177" s="672"/>
    </row>
    <row r="178" spans="1:15" x14ac:dyDescent="0.2">
      <c r="A178" s="594"/>
      <c r="B178" s="586"/>
      <c r="C178" s="598"/>
      <c r="D178" s="296" t="s">
        <v>373</v>
      </c>
      <c r="E178" s="299">
        <v>90</v>
      </c>
      <c r="F178" s="34" t="s">
        <v>14</v>
      </c>
      <c r="G178" s="34" t="s">
        <v>14</v>
      </c>
      <c r="H178" s="34" t="s">
        <v>1053</v>
      </c>
      <c r="I178" s="34" t="s">
        <v>1053</v>
      </c>
      <c r="J178" s="296" t="s">
        <v>13</v>
      </c>
      <c r="K178" s="561"/>
      <c r="L178" s="561"/>
      <c r="M178" s="703"/>
      <c r="N178" s="674"/>
      <c r="O178" s="672"/>
    </row>
    <row r="179" spans="1:15" x14ac:dyDescent="0.2">
      <c r="A179" s="594"/>
      <c r="B179" s="586"/>
      <c r="C179" s="598"/>
      <c r="D179" s="296" t="s">
        <v>241</v>
      </c>
      <c r="E179" s="299">
        <v>69</v>
      </c>
      <c r="F179" s="34" t="s">
        <v>14</v>
      </c>
      <c r="G179" s="34" t="s">
        <v>14</v>
      </c>
      <c r="H179" s="34" t="s">
        <v>1054</v>
      </c>
      <c r="I179" s="34" t="s">
        <v>1054</v>
      </c>
      <c r="J179" s="296" t="s">
        <v>13</v>
      </c>
      <c r="K179" s="561"/>
      <c r="L179" s="561"/>
      <c r="M179" s="703"/>
      <c r="N179" s="674"/>
      <c r="O179" s="672"/>
    </row>
    <row r="180" spans="1:15" x14ac:dyDescent="0.2">
      <c r="A180" s="594"/>
      <c r="B180" s="586"/>
      <c r="C180" s="598"/>
      <c r="D180" s="296" t="s">
        <v>239</v>
      </c>
      <c r="E180" s="299">
        <v>65</v>
      </c>
      <c r="F180" s="34" t="s">
        <v>14</v>
      </c>
      <c r="G180" s="34" t="s">
        <v>14</v>
      </c>
      <c r="H180" s="34" t="s">
        <v>1055</v>
      </c>
      <c r="I180" s="34" t="s">
        <v>1055</v>
      </c>
      <c r="J180" s="296" t="s">
        <v>13</v>
      </c>
      <c r="K180" s="561"/>
      <c r="L180" s="561"/>
      <c r="M180" s="703"/>
      <c r="N180" s="674"/>
      <c r="O180" s="672"/>
    </row>
    <row r="181" spans="1:15" x14ac:dyDescent="0.2">
      <c r="A181" s="594"/>
      <c r="B181" s="586"/>
      <c r="C181" s="598"/>
      <c r="D181" s="296" t="s">
        <v>91</v>
      </c>
      <c r="E181" s="299">
        <v>59</v>
      </c>
      <c r="F181" s="34" t="s">
        <v>14</v>
      </c>
      <c r="G181" s="34" t="s">
        <v>14</v>
      </c>
      <c r="H181" s="34" t="s">
        <v>1056</v>
      </c>
      <c r="I181" s="34" t="s">
        <v>1056</v>
      </c>
      <c r="J181" s="296" t="s">
        <v>13</v>
      </c>
      <c r="K181" s="561"/>
      <c r="L181" s="561"/>
      <c r="M181" s="703"/>
      <c r="N181" s="674"/>
      <c r="O181" s="672"/>
    </row>
    <row r="182" spans="1:15" x14ac:dyDescent="0.2">
      <c r="A182" s="594"/>
      <c r="B182" s="596"/>
      <c r="C182" s="599"/>
      <c r="D182" s="296" t="s">
        <v>71</v>
      </c>
      <c r="E182" s="299">
        <v>58</v>
      </c>
      <c r="F182" s="34" t="s">
        <v>14</v>
      </c>
      <c r="G182" s="34" t="s">
        <v>14</v>
      </c>
      <c r="H182" s="34" t="s">
        <v>1003</v>
      </c>
      <c r="I182" s="34" t="s">
        <v>1003</v>
      </c>
      <c r="J182" s="296" t="s">
        <v>13</v>
      </c>
      <c r="K182" s="562"/>
      <c r="L182" s="562"/>
      <c r="M182" s="704"/>
      <c r="N182" s="660"/>
      <c r="O182" s="705"/>
    </row>
    <row r="183" spans="1:15" x14ac:dyDescent="0.2">
      <c r="A183" s="595"/>
      <c r="B183" s="581"/>
      <c r="C183" s="582"/>
      <c r="D183" s="582"/>
      <c r="E183" s="582"/>
      <c r="F183" s="582"/>
      <c r="G183" s="582"/>
      <c r="H183" s="582"/>
      <c r="I183" s="582"/>
      <c r="J183" s="582"/>
      <c r="K183" s="582"/>
      <c r="L183" s="582"/>
      <c r="M183" s="582"/>
      <c r="N183" s="582"/>
      <c r="O183" s="583"/>
    </row>
    <row r="184" spans="1:15" ht="15.75" x14ac:dyDescent="0.2">
      <c r="A184" s="556" t="s">
        <v>1057</v>
      </c>
      <c r="B184" s="557"/>
      <c r="C184" s="557"/>
      <c r="D184" s="557"/>
      <c r="E184" s="557"/>
      <c r="F184" s="557"/>
      <c r="G184" s="557"/>
      <c r="H184" s="557"/>
      <c r="I184" s="557"/>
      <c r="J184" s="557"/>
      <c r="K184" s="557"/>
      <c r="L184" s="557"/>
      <c r="M184" s="557"/>
      <c r="N184" s="557"/>
      <c r="O184" s="661"/>
    </row>
    <row r="185" spans="1:15" x14ac:dyDescent="0.2">
      <c r="A185" s="593">
        <v>29</v>
      </c>
      <c r="B185" s="585" t="s">
        <v>1058</v>
      </c>
      <c r="C185" s="597" t="s">
        <v>902</v>
      </c>
      <c r="D185" s="312" t="s">
        <v>1059</v>
      </c>
      <c r="E185" s="313">
        <v>100</v>
      </c>
      <c r="F185" s="314" t="s">
        <v>14</v>
      </c>
      <c r="G185" s="314" t="s">
        <v>14</v>
      </c>
      <c r="H185" s="314" t="s">
        <v>941</v>
      </c>
      <c r="I185" s="314" t="s">
        <v>941</v>
      </c>
      <c r="J185" s="244"/>
      <c r="K185" s="560" t="s">
        <v>15</v>
      </c>
      <c r="L185" s="560" t="s">
        <v>97</v>
      </c>
      <c r="M185" s="702" t="s">
        <v>941</v>
      </c>
      <c r="N185" s="659" t="s">
        <v>18</v>
      </c>
      <c r="O185" s="671"/>
    </row>
    <row r="186" spans="1:15" x14ac:dyDescent="0.2">
      <c r="A186" s="594"/>
      <c r="B186" s="586"/>
      <c r="C186" s="598"/>
      <c r="D186" s="296" t="s">
        <v>393</v>
      </c>
      <c r="E186" s="299">
        <v>99</v>
      </c>
      <c r="F186" s="34" t="s">
        <v>14</v>
      </c>
      <c r="G186" s="34" t="s">
        <v>14</v>
      </c>
      <c r="H186" s="34" t="s">
        <v>941</v>
      </c>
      <c r="I186" s="34" t="s">
        <v>941</v>
      </c>
      <c r="J186" s="296"/>
      <c r="K186" s="561"/>
      <c r="L186" s="561"/>
      <c r="M186" s="703"/>
      <c r="N186" s="674"/>
      <c r="O186" s="672"/>
    </row>
    <row r="187" spans="1:15" x14ac:dyDescent="0.2">
      <c r="A187" s="594"/>
      <c r="B187" s="586"/>
      <c r="C187" s="598"/>
      <c r="D187" s="296" t="s">
        <v>1060</v>
      </c>
      <c r="E187" s="299">
        <v>81</v>
      </c>
      <c r="F187" s="34" t="s">
        <v>14</v>
      </c>
      <c r="G187" s="34" t="s">
        <v>14</v>
      </c>
      <c r="H187" s="34" t="s">
        <v>1046</v>
      </c>
      <c r="I187" s="34" t="s">
        <v>1046</v>
      </c>
      <c r="J187" s="296"/>
      <c r="K187" s="561"/>
      <c r="L187" s="561"/>
      <c r="M187" s="703"/>
      <c r="N187" s="674"/>
      <c r="O187" s="672"/>
    </row>
    <row r="188" spans="1:15" x14ac:dyDescent="0.2">
      <c r="A188" s="594"/>
      <c r="B188" s="586"/>
      <c r="C188" s="598"/>
      <c r="D188" s="296" t="s">
        <v>1061</v>
      </c>
      <c r="E188" s="299">
        <v>77</v>
      </c>
      <c r="F188" s="34" t="s">
        <v>14</v>
      </c>
      <c r="G188" s="34" t="s">
        <v>14</v>
      </c>
      <c r="H188" s="34" t="s">
        <v>910</v>
      </c>
      <c r="I188" s="34" t="s">
        <v>910</v>
      </c>
      <c r="J188" s="296"/>
      <c r="K188" s="561"/>
      <c r="L188" s="561"/>
      <c r="M188" s="703"/>
      <c r="N188" s="674"/>
      <c r="O188" s="672"/>
    </row>
    <row r="189" spans="1:15" x14ac:dyDescent="0.2">
      <c r="A189" s="594"/>
      <c r="B189" s="596"/>
      <c r="C189" s="599"/>
      <c r="D189" s="296" t="s">
        <v>100</v>
      </c>
      <c r="E189" s="299">
        <v>74</v>
      </c>
      <c r="F189" s="34" t="s">
        <v>14</v>
      </c>
      <c r="G189" s="34" t="s">
        <v>14</v>
      </c>
      <c r="H189" s="34" t="s">
        <v>943</v>
      </c>
      <c r="I189" s="34" t="s">
        <v>943</v>
      </c>
      <c r="J189" s="296"/>
      <c r="K189" s="562"/>
      <c r="L189" s="562"/>
      <c r="M189" s="704"/>
      <c r="N189" s="660"/>
      <c r="O189" s="705"/>
    </row>
    <row r="190" spans="1:15" x14ac:dyDescent="0.2">
      <c r="A190" s="595"/>
      <c r="B190" s="581"/>
      <c r="C190" s="582"/>
      <c r="D190" s="582"/>
      <c r="E190" s="582"/>
      <c r="F190" s="582"/>
      <c r="G190" s="582"/>
      <c r="H190" s="582"/>
      <c r="I190" s="582"/>
      <c r="J190" s="582"/>
      <c r="K190" s="582"/>
      <c r="L190" s="582"/>
      <c r="M190" s="582"/>
      <c r="N190" s="582"/>
      <c r="O190" s="583"/>
    </row>
    <row r="191" spans="1:15" ht="15.75" x14ac:dyDescent="0.2">
      <c r="A191" s="556" t="s">
        <v>1062</v>
      </c>
      <c r="B191" s="557"/>
      <c r="C191" s="557"/>
      <c r="D191" s="557"/>
      <c r="E191" s="557"/>
      <c r="F191" s="557"/>
      <c r="G191" s="557"/>
      <c r="H191" s="557"/>
      <c r="I191" s="557"/>
      <c r="J191" s="557"/>
      <c r="K191" s="557"/>
      <c r="L191" s="557"/>
      <c r="M191" s="557"/>
      <c r="N191" s="557"/>
      <c r="O191" s="661"/>
    </row>
    <row r="192" spans="1:15" ht="14.25" customHeight="1" x14ac:dyDescent="0.2">
      <c r="A192" s="593">
        <v>30</v>
      </c>
      <c r="B192" s="585" t="s">
        <v>1063</v>
      </c>
      <c r="C192" s="597" t="s">
        <v>902</v>
      </c>
      <c r="D192" s="312" t="s">
        <v>978</v>
      </c>
      <c r="E192" s="313">
        <v>100</v>
      </c>
      <c r="F192" s="314" t="s">
        <v>14</v>
      </c>
      <c r="G192" s="314" t="s">
        <v>14</v>
      </c>
      <c r="H192" s="314" t="s">
        <v>1064</v>
      </c>
      <c r="I192" s="314" t="s">
        <v>1064</v>
      </c>
      <c r="J192" s="244"/>
      <c r="K192" s="560" t="s">
        <v>15</v>
      </c>
      <c r="L192" s="560" t="s">
        <v>97</v>
      </c>
      <c r="M192" s="702" t="s">
        <v>1065</v>
      </c>
      <c r="N192" s="659" t="s">
        <v>18</v>
      </c>
      <c r="O192" s="671"/>
    </row>
    <row r="193" spans="1:15" x14ac:dyDescent="0.2">
      <c r="A193" s="594"/>
      <c r="B193" s="586"/>
      <c r="C193" s="598"/>
      <c r="D193" s="296" t="s">
        <v>974</v>
      </c>
      <c r="E193" s="299">
        <v>77</v>
      </c>
      <c r="F193" s="34" t="s">
        <v>14</v>
      </c>
      <c r="G193" s="34" t="s">
        <v>14</v>
      </c>
      <c r="H193" s="34" t="s">
        <v>1066</v>
      </c>
      <c r="I193" s="34" t="s">
        <v>1066</v>
      </c>
      <c r="J193" s="296"/>
      <c r="K193" s="561"/>
      <c r="L193" s="561"/>
      <c r="M193" s="703"/>
      <c r="N193" s="674"/>
      <c r="O193" s="672"/>
    </row>
    <row r="194" spans="1:15" x14ac:dyDescent="0.2">
      <c r="A194" s="594"/>
      <c r="B194" s="586"/>
      <c r="C194" s="598"/>
      <c r="D194" s="296" t="s">
        <v>1067</v>
      </c>
      <c r="E194" s="299">
        <v>68</v>
      </c>
      <c r="F194" s="34" t="s">
        <v>14</v>
      </c>
      <c r="G194" s="34" t="s">
        <v>14</v>
      </c>
      <c r="H194" s="34" t="s">
        <v>1068</v>
      </c>
      <c r="I194" s="34" t="s">
        <v>1068</v>
      </c>
      <c r="J194" s="296"/>
      <c r="K194" s="561"/>
      <c r="L194" s="561"/>
      <c r="M194" s="703"/>
      <c r="N194" s="674"/>
      <c r="O194" s="672"/>
    </row>
    <row r="195" spans="1:15" x14ac:dyDescent="0.2">
      <c r="A195" s="594"/>
      <c r="B195" s="596"/>
      <c r="C195" s="599"/>
      <c r="D195" s="296" t="s">
        <v>400</v>
      </c>
      <c r="E195" s="299">
        <v>54</v>
      </c>
      <c r="F195" s="34" t="s">
        <v>14</v>
      </c>
      <c r="G195" s="34" t="s">
        <v>14</v>
      </c>
      <c r="H195" s="34" t="s">
        <v>1069</v>
      </c>
      <c r="I195" s="34" t="s">
        <v>1069</v>
      </c>
      <c r="J195" s="296"/>
      <c r="K195" s="562"/>
      <c r="L195" s="562"/>
      <c r="M195" s="704"/>
      <c r="N195" s="674"/>
      <c r="O195" s="705"/>
    </row>
    <row r="196" spans="1:15" x14ac:dyDescent="0.2">
      <c r="A196" s="595"/>
      <c r="B196" s="581"/>
      <c r="C196" s="582"/>
      <c r="D196" s="582"/>
      <c r="E196" s="582"/>
      <c r="F196" s="582"/>
      <c r="G196" s="582"/>
      <c r="H196" s="582"/>
      <c r="I196" s="582"/>
      <c r="J196" s="582"/>
      <c r="K196" s="582"/>
      <c r="L196" s="582"/>
      <c r="M196" s="582"/>
      <c r="N196" s="582"/>
      <c r="O196" s="583"/>
    </row>
    <row r="197" spans="1:15" ht="15.75" x14ac:dyDescent="0.2">
      <c r="A197" s="556" t="s">
        <v>1070</v>
      </c>
      <c r="B197" s="557"/>
      <c r="C197" s="557"/>
      <c r="D197" s="557"/>
      <c r="E197" s="557"/>
      <c r="F197" s="557"/>
      <c r="G197" s="557"/>
      <c r="H197" s="557"/>
      <c r="I197" s="557"/>
      <c r="J197" s="557"/>
      <c r="K197" s="557"/>
      <c r="L197" s="557"/>
      <c r="M197" s="557"/>
      <c r="N197" s="557"/>
      <c r="O197" s="661"/>
    </row>
    <row r="198" spans="1:15" x14ac:dyDescent="0.2">
      <c r="A198" s="593">
        <v>31</v>
      </c>
      <c r="B198" s="585" t="s">
        <v>1071</v>
      </c>
      <c r="C198" s="597" t="s">
        <v>902</v>
      </c>
      <c r="D198" s="312" t="s">
        <v>378</v>
      </c>
      <c r="E198" s="313">
        <v>100</v>
      </c>
      <c r="F198" s="314" t="s">
        <v>14</v>
      </c>
      <c r="G198" s="314" t="s">
        <v>14</v>
      </c>
      <c r="H198" s="314" t="s">
        <v>1017</v>
      </c>
      <c r="I198" s="314" t="s">
        <v>1017</v>
      </c>
      <c r="J198" s="244"/>
      <c r="K198" s="560" t="s">
        <v>15</v>
      </c>
      <c r="L198" s="560" t="s">
        <v>97</v>
      </c>
      <c r="M198" s="702" t="s">
        <v>1017</v>
      </c>
      <c r="N198" s="659" t="s">
        <v>18</v>
      </c>
      <c r="O198" s="671"/>
    </row>
    <row r="199" spans="1:15" x14ac:dyDescent="0.2">
      <c r="A199" s="594"/>
      <c r="B199" s="586"/>
      <c r="C199" s="598"/>
      <c r="D199" s="296" t="s">
        <v>21</v>
      </c>
      <c r="E199" s="299">
        <v>83</v>
      </c>
      <c r="F199" s="34" t="s">
        <v>14</v>
      </c>
      <c r="G199" s="34" t="s">
        <v>14</v>
      </c>
      <c r="H199" s="34" t="s">
        <v>941</v>
      </c>
      <c r="I199" s="34" t="s">
        <v>941</v>
      </c>
      <c r="J199" s="296"/>
      <c r="K199" s="561"/>
      <c r="L199" s="561"/>
      <c r="M199" s="703"/>
      <c r="N199" s="674"/>
      <c r="O199" s="672"/>
    </row>
    <row r="200" spans="1:15" x14ac:dyDescent="0.2">
      <c r="A200" s="594"/>
      <c r="B200" s="586"/>
      <c r="C200" s="598"/>
      <c r="D200" s="296" t="s">
        <v>277</v>
      </c>
      <c r="E200" s="299">
        <v>78</v>
      </c>
      <c r="F200" s="34" t="s">
        <v>14</v>
      </c>
      <c r="G200" s="34" t="s">
        <v>14</v>
      </c>
      <c r="H200" s="34" t="s">
        <v>1018</v>
      </c>
      <c r="I200" s="34" t="s">
        <v>1018</v>
      </c>
      <c r="J200" s="296"/>
      <c r="K200" s="561"/>
      <c r="L200" s="561"/>
      <c r="M200" s="703"/>
      <c r="N200" s="674"/>
      <c r="O200" s="672"/>
    </row>
    <row r="201" spans="1:15" x14ac:dyDescent="0.2">
      <c r="A201" s="594"/>
      <c r="B201" s="586"/>
      <c r="C201" s="598"/>
      <c r="D201" s="296" t="s">
        <v>278</v>
      </c>
      <c r="E201" s="299">
        <v>78</v>
      </c>
      <c r="F201" s="34" t="s">
        <v>14</v>
      </c>
      <c r="G201" s="34" t="s">
        <v>14</v>
      </c>
      <c r="H201" s="34" t="s">
        <v>1018</v>
      </c>
      <c r="I201" s="34" t="s">
        <v>1018</v>
      </c>
      <c r="J201" s="296"/>
      <c r="K201" s="561"/>
      <c r="L201" s="561"/>
      <c r="M201" s="703"/>
      <c r="N201" s="674"/>
      <c r="O201" s="672"/>
    </row>
    <row r="202" spans="1:15" x14ac:dyDescent="0.2">
      <c r="A202" s="594"/>
      <c r="B202" s="596"/>
      <c r="C202" s="599"/>
      <c r="D202" s="296" t="s">
        <v>250</v>
      </c>
      <c r="E202" s="299">
        <v>61</v>
      </c>
      <c r="F202" s="34" t="s">
        <v>14</v>
      </c>
      <c r="G202" s="34" t="s">
        <v>14</v>
      </c>
      <c r="H202" s="34" t="s">
        <v>1009</v>
      </c>
      <c r="I202" s="34" t="s">
        <v>1009</v>
      </c>
      <c r="J202" s="296"/>
      <c r="K202" s="562"/>
      <c r="L202" s="562"/>
      <c r="M202" s="704"/>
      <c r="N202" s="660"/>
      <c r="O202" s="705"/>
    </row>
    <row r="203" spans="1:15" x14ac:dyDescent="0.2">
      <c r="A203" s="595"/>
      <c r="B203" s="581"/>
      <c r="C203" s="582"/>
      <c r="D203" s="582"/>
      <c r="E203" s="582"/>
      <c r="F203" s="582"/>
      <c r="G203" s="582"/>
      <c r="H203" s="582"/>
      <c r="I203" s="582"/>
      <c r="J203" s="582"/>
      <c r="K203" s="582"/>
      <c r="L203" s="582"/>
      <c r="M203" s="582"/>
      <c r="N203" s="582"/>
      <c r="O203" s="583"/>
    </row>
    <row r="204" spans="1:15" ht="15.75" x14ac:dyDescent="0.2">
      <c r="A204" s="556" t="s">
        <v>1072</v>
      </c>
      <c r="B204" s="557"/>
      <c r="C204" s="557"/>
      <c r="D204" s="557"/>
      <c r="E204" s="557"/>
      <c r="F204" s="557"/>
      <c r="G204" s="557"/>
      <c r="H204" s="557"/>
      <c r="I204" s="557"/>
      <c r="J204" s="557"/>
      <c r="K204" s="557"/>
      <c r="L204" s="557"/>
      <c r="M204" s="557"/>
      <c r="N204" s="557"/>
      <c r="O204" s="661"/>
    </row>
    <row r="205" spans="1:15" x14ac:dyDescent="0.2">
      <c r="A205" s="593">
        <v>32</v>
      </c>
      <c r="B205" s="585" t="s">
        <v>1073</v>
      </c>
      <c r="C205" s="597" t="s">
        <v>902</v>
      </c>
      <c r="D205" s="312" t="s">
        <v>386</v>
      </c>
      <c r="E205" s="313">
        <v>100</v>
      </c>
      <c r="F205" s="314" t="s">
        <v>14</v>
      </c>
      <c r="G205" s="314" t="s">
        <v>14</v>
      </c>
      <c r="H205" s="314" t="s">
        <v>908</v>
      </c>
      <c r="I205" s="314" t="s">
        <v>908</v>
      </c>
      <c r="J205" s="244"/>
      <c r="K205" s="560" t="s">
        <v>15</v>
      </c>
      <c r="L205" s="560" t="s">
        <v>97</v>
      </c>
      <c r="M205" s="702" t="s">
        <v>908</v>
      </c>
      <c r="N205" s="659" t="s">
        <v>18</v>
      </c>
      <c r="O205" s="671"/>
    </row>
    <row r="206" spans="1:15" x14ac:dyDescent="0.2">
      <c r="A206" s="594"/>
      <c r="B206" s="586"/>
      <c r="C206" s="598"/>
      <c r="D206" s="296" t="s">
        <v>270</v>
      </c>
      <c r="E206" s="299">
        <v>55</v>
      </c>
      <c r="F206" s="34" t="s">
        <v>14</v>
      </c>
      <c r="G206" s="34" t="s">
        <v>14</v>
      </c>
      <c r="H206" s="34" t="s">
        <v>1001</v>
      </c>
      <c r="I206" s="34" t="s">
        <v>1001</v>
      </c>
      <c r="J206" s="296"/>
      <c r="K206" s="561"/>
      <c r="L206" s="561"/>
      <c r="M206" s="703"/>
      <c r="N206" s="674"/>
      <c r="O206" s="672"/>
    </row>
    <row r="207" spans="1:15" x14ac:dyDescent="0.2">
      <c r="A207" s="594"/>
      <c r="B207" s="586"/>
      <c r="C207" s="598"/>
      <c r="D207" s="296" t="s">
        <v>1074</v>
      </c>
      <c r="E207" s="299">
        <v>48</v>
      </c>
      <c r="F207" s="34" t="s">
        <v>14</v>
      </c>
      <c r="G207" s="34" t="s">
        <v>14</v>
      </c>
      <c r="H207" s="34" t="s">
        <v>994</v>
      </c>
      <c r="I207" s="34" t="s">
        <v>994</v>
      </c>
      <c r="J207" s="296"/>
      <c r="K207" s="561"/>
      <c r="L207" s="561"/>
      <c r="M207" s="703"/>
      <c r="N207" s="674"/>
      <c r="O207" s="672"/>
    </row>
    <row r="208" spans="1:15" x14ac:dyDescent="0.2">
      <c r="A208" s="594"/>
      <c r="B208" s="596"/>
      <c r="C208" s="599"/>
      <c r="D208" s="296" t="s">
        <v>1075</v>
      </c>
      <c r="E208" s="299">
        <v>42</v>
      </c>
      <c r="F208" s="34" t="s">
        <v>14</v>
      </c>
      <c r="G208" s="34" t="s">
        <v>14</v>
      </c>
      <c r="H208" s="34" t="s">
        <v>1076</v>
      </c>
      <c r="I208" s="34" t="s">
        <v>1076</v>
      </c>
      <c r="J208" s="296"/>
      <c r="K208" s="562"/>
      <c r="L208" s="562"/>
      <c r="M208" s="704"/>
      <c r="N208" s="674"/>
      <c r="O208" s="705"/>
    </row>
    <row r="209" spans="1:15" x14ac:dyDescent="0.2">
      <c r="A209" s="595"/>
      <c r="B209" s="581"/>
      <c r="C209" s="582"/>
      <c r="D209" s="582"/>
      <c r="E209" s="582"/>
      <c r="F209" s="582"/>
      <c r="G209" s="582"/>
      <c r="H209" s="582"/>
      <c r="I209" s="582"/>
      <c r="J209" s="582"/>
      <c r="K209" s="582"/>
      <c r="L209" s="582"/>
      <c r="M209" s="582"/>
      <c r="N209" s="582"/>
      <c r="O209" s="583"/>
    </row>
    <row r="210" spans="1:15" ht="15.75" x14ac:dyDescent="0.2">
      <c r="A210" s="556" t="s">
        <v>1077</v>
      </c>
      <c r="B210" s="557"/>
      <c r="C210" s="557"/>
      <c r="D210" s="557"/>
      <c r="E210" s="557"/>
      <c r="F210" s="557"/>
      <c r="G210" s="557"/>
      <c r="H210" s="557"/>
      <c r="I210" s="557"/>
      <c r="J210" s="557"/>
      <c r="K210" s="557"/>
      <c r="L210" s="557"/>
      <c r="M210" s="557"/>
      <c r="N210" s="557"/>
      <c r="O210" s="661"/>
    </row>
    <row r="211" spans="1:15" x14ac:dyDescent="0.2">
      <c r="A211" s="593">
        <v>33</v>
      </c>
      <c r="B211" s="585" t="s">
        <v>1078</v>
      </c>
      <c r="C211" s="597" t="s">
        <v>902</v>
      </c>
      <c r="D211" s="312" t="s">
        <v>1079</v>
      </c>
      <c r="E211" s="313">
        <v>100</v>
      </c>
      <c r="F211" s="314" t="s">
        <v>14</v>
      </c>
      <c r="G211" s="314" t="s">
        <v>14</v>
      </c>
      <c r="H211" s="314" t="s">
        <v>1080</v>
      </c>
      <c r="I211" s="314" t="s">
        <v>1080</v>
      </c>
      <c r="J211" s="312"/>
      <c r="K211" s="560" t="s">
        <v>15</v>
      </c>
      <c r="L211" s="560" t="s">
        <v>97</v>
      </c>
      <c r="M211" s="702" t="s">
        <v>1081</v>
      </c>
      <c r="N211" s="659" t="s">
        <v>18</v>
      </c>
      <c r="O211" s="671"/>
    </row>
    <row r="212" spans="1:15" x14ac:dyDescent="0.2">
      <c r="A212" s="594"/>
      <c r="B212" s="586"/>
      <c r="C212" s="598"/>
      <c r="D212" s="296" t="s">
        <v>232</v>
      </c>
      <c r="E212" s="299">
        <v>95</v>
      </c>
      <c r="F212" s="34" t="s">
        <v>14</v>
      </c>
      <c r="G212" s="34" t="s">
        <v>14</v>
      </c>
      <c r="H212" s="34" t="s">
        <v>1082</v>
      </c>
      <c r="I212" s="34" t="s">
        <v>1082</v>
      </c>
      <c r="J212" s="296"/>
      <c r="K212" s="561"/>
      <c r="L212" s="561"/>
      <c r="M212" s="703"/>
      <c r="N212" s="674"/>
      <c r="O212" s="672"/>
    </row>
    <row r="213" spans="1:15" x14ac:dyDescent="0.2">
      <c r="A213" s="594"/>
      <c r="B213" s="586"/>
      <c r="C213" s="598"/>
      <c r="D213" s="296" t="s">
        <v>361</v>
      </c>
      <c r="E213" s="299">
        <v>82</v>
      </c>
      <c r="F213" s="34" t="s">
        <v>14</v>
      </c>
      <c r="G213" s="34" t="s">
        <v>14</v>
      </c>
      <c r="H213" s="34" t="s">
        <v>930</v>
      </c>
      <c r="I213" s="34" t="s">
        <v>930</v>
      </c>
      <c r="J213" s="296"/>
      <c r="K213" s="561"/>
      <c r="L213" s="561"/>
      <c r="M213" s="703"/>
      <c r="N213" s="674"/>
      <c r="O213" s="672"/>
    </row>
    <row r="214" spans="1:15" x14ac:dyDescent="0.2">
      <c r="A214" s="594"/>
      <c r="B214" s="586"/>
      <c r="C214" s="598"/>
      <c r="D214" s="296" t="s">
        <v>233</v>
      </c>
      <c r="E214" s="299">
        <v>71</v>
      </c>
      <c r="F214" s="34" t="s">
        <v>14</v>
      </c>
      <c r="G214" s="34" t="s">
        <v>14</v>
      </c>
      <c r="H214" s="34" t="s">
        <v>1083</v>
      </c>
      <c r="I214" s="34" t="s">
        <v>1083</v>
      </c>
      <c r="J214" s="296"/>
      <c r="K214" s="561"/>
      <c r="L214" s="561"/>
      <c r="M214" s="703"/>
      <c r="N214" s="674"/>
      <c r="O214" s="672"/>
    </row>
    <row r="215" spans="1:15" x14ac:dyDescent="0.2">
      <c r="A215" s="594"/>
      <c r="B215" s="586"/>
      <c r="C215" s="598"/>
      <c r="D215" s="296" t="s">
        <v>234</v>
      </c>
      <c r="E215" s="299">
        <v>71</v>
      </c>
      <c r="F215" s="34" t="s">
        <v>14</v>
      </c>
      <c r="G215" s="34" t="s">
        <v>14</v>
      </c>
      <c r="H215" s="34" t="s">
        <v>1084</v>
      </c>
      <c r="I215" s="34" t="s">
        <v>1084</v>
      </c>
      <c r="J215" s="296"/>
      <c r="K215" s="561"/>
      <c r="L215" s="561"/>
      <c r="M215" s="703"/>
      <c r="N215" s="674"/>
      <c r="O215" s="672"/>
    </row>
    <row r="216" spans="1:15" x14ac:dyDescent="0.2">
      <c r="A216" s="594"/>
      <c r="B216" s="586"/>
      <c r="C216" s="598"/>
      <c r="D216" s="296" t="s">
        <v>932</v>
      </c>
      <c r="E216" s="299">
        <v>66</v>
      </c>
      <c r="F216" s="34" t="s">
        <v>14</v>
      </c>
      <c r="G216" s="34" t="s">
        <v>14</v>
      </c>
      <c r="H216" s="34" t="s">
        <v>933</v>
      </c>
      <c r="I216" s="34" t="s">
        <v>933</v>
      </c>
      <c r="J216" s="296"/>
      <c r="K216" s="561"/>
      <c r="L216" s="561"/>
      <c r="M216" s="703"/>
      <c r="N216" s="674"/>
      <c r="O216" s="672"/>
    </row>
    <row r="217" spans="1:15" x14ac:dyDescent="0.2">
      <c r="A217" s="594"/>
      <c r="B217" s="586"/>
      <c r="C217" s="598"/>
      <c r="D217" s="296" t="s">
        <v>230</v>
      </c>
      <c r="E217" s="299">
        <v>61</v>
      </c>
      <c r="F217" s="34" t="s">
        <v>14</v>
      </c>
      <c r="G217" s="34" t="s">
        <v>14</v>
      </c>
      <c r="H217" s="34" t="s">
        <v>935</v>
      </c>
      <c r="I217" s="34" t="s">
        <v>935</v>
      </c>
      <c r="J217" s="296"/>
      <c r="K217" s="561"/>
      <c r="L217" s="561"/>
      <c r="M217" s="703"/>
      <c r="N217" s="674"/>
      <c r="O217" s="672"/>
    </row>
    <row r="218" spans="1:15" x14ac:dyDescent="0.2">
      <c r="A218" s="594"/>
      <c r="B218" s="596"/>
      <c r="C218" s="599"/>
      <c r="D218" s="296" t="s">
        <v>236</v>
      </c>
      <c r="E218" s="299">
        <v>37</v>
      </c>
      <c r="F218" s="34" t="s">
        <v>14</v>
      </c>
      <c r="G218" s="34" t="s">
        <v>14</v>
      </c>
      <c r="H218" s="34" t="s">
        <v>1085</v>
      </c>
      <c r="I218" s="34" t="s">
        <v>1085</v>
      </c>
      <c r="J218" s="296"/>
      <c r="K218" s="562"/>
      <c r="L218" s="562"/>
      <c r="M218" s="704"/>
      <c r="N218" s="660"/>
      <c r="O218" s="705"/>
    </row>
    <row r="219" spans="1:15" x14ac:dyDescent="0.2">
      <c r="A219" s="595"/>
      <c r="B219" s="581"/>
      <c r="C219" s="582"/>
      <c r="D219" s="582"/>
      <c r="E219" s="582"/>
      <c r="F219" s="582"/>
      <c r="G219" s="582"/>
      <c r="H219" s="582"/>
      <c r="I219" s="582"/>
      <c r="J219" s="582"/>
      <c r="K219" s="582"/>
      <c r="L219" s="582"/>
      <c r="M219" s="582"/>
      <c r="N219" s="582"/>
      <c r="O219" s="583"/>
    </row>
    <row r="220" spans="1:15" ht="15.75" x14ac:dyDescent="0.2">
      <c r="A220" s="556" t="s">
        <v>1086</v>
      </c>
      <c r="B220" s="557"/>
      <c r="C220" s="557"/>
      <c r="D220" s="557"/>
      <c r="E220" s="557"/>
      <c r="F220" s="557"/>
      <c r="G220" s="557"/>
      <c r="H220" s="557"/>
      <c r="I220" s="557"/>
      <c r="J220" s="557"/>
      <c r="K220" s="557"/>
      <c r="L220" s="557"/>
      <c r="M220" s="557"/>
      <c r="N220" s="557"/>
      <c r="O220" s="661"/>
    </row>
    <row r="221" spans="1:15" ht="14.25" customHeight="1" x14ac:dyDescent="0.2">
      <c r="A221" s="593">
        <v>34</v>
      </c>
      <c r="B221" s="585" t="s">
        <v>1087</v>
      </c>
      <c r="C221" s="597" t="s">
        <v>902</v>
      </c>
      <c r="D221" s="312" t="s">
        <v>378</v>
      </c>
      <c r="E221" s="313">
        <v>94</v>
      </c>
      <c r="F221" s="314" t="s">
        <v>14</v>
      </c>
      <c r="G221" s="314" t="s">
        <v>14</v>
      </c>
      <c r="H221" s="314" t="s">
        <v>1359</v>
      </c>
      <c r="I221" s="314" t="s">
        <v>1360</v>
      </c>
      <c r="J221" s="244"/>
      <c r="K221" s="560" t="s">
        <v>15</v>
      </c>
      <c r="L221" s="560" t="s">
        <v>97</v>
      </c>
      <c r="M221" s="702" t="s">
        <v>1360</v>
      </c>
      <c r="N221" s="659" t="s">
        <v>18</v>
      </c>
      <c r="O221" s="671"/>
    </row>
    <row r="222" spans="1:15" x14ac:dyDescent="0.2">
      <c r="A222" s="594"/>
      <c r="B222" s="586"/>
      <c r="C222" s="598"/>
      <c r="D222" s="296" t="s">
        <v>366</v>
      </c>
      <c r="E222" s="299">
        <v>95</v>
      </c>
      <c r="F222" s="34" t="s">
        <v>14</v>
      </c>
      <c r="G222" s="34" t="s">
        <v>14</v>
      </c>
      <c r="H222" s="34" t="s">
        <v>1088</v>
      </c>
      <c r="I222" s="34" t="s">
        <v>1088</v>
      </c>
      <c r="J222" s="296"/>
      <c r="K222" s="561"/>
      <c r="L222" s="561"/>
      <c r="M222" s="703"/>
      <c r="N222" s="674"/>
      <c r="O222" s="672"/>
    </row>
    <row r="223" spans="1:15" x14ac:dyDescent="0.2">
      <c r="A223" s="594"/>
      <c r="B223" s="586"/>
      <c r="C223" s="598"/>
      <c r="D223" s="296" t="s">
        <v>1089</v>
      </c>
      <c r="E223" s="299">
        <v>79</v>
      </c>
      <c r="F223" s="34" t="s">
        <v>14</v>
      </c>
      <c r="G223" s="34" t="s">
        <v>14</v>
      </c>
      <c r="H223" s="34" t="s">
        <v>969</v>
      </c>
      <c r="I223" s="34" t="s">
        <v>969</v>
      </c>
      <c r="J223" s="296"/>
      <c r="K223" s="561"/>
      <c r="L223" s="561"/>
      <c r="M223" s="703"/>
      <c r="N223" s="674"/>
      <c r="O223" s="672"/>
    </row>
    <row r="224" spans="1:15" x14ac:dyDescent="0.2">
      <c r="A224" s="594"/>
      <c r="B224" s="586"/>
      <c r="C224" s="598"/>
      <c r="D224" s="296" t="s">
        <v>1090</v>
      </c>
      <c r="E224" s="299">
        <v>77</v>
      </c>
      <c r="F224" s="34" t="s">
        <v>14</v>
      </c>
      <c r="G224" s="34" t="s">
        <v>14</v>
      </c>
      <c r="H224" s="34" t="s">
        <v>1091</v>
      </c>
      <c r="I224" s="34" t="s">
        <v>1091</v>
      </c>
      <c r="J224" s="296"/>
      <c r="K224" s="561"/>
      <c r="L224" s="561"/>
      <c r="M224" s="703"/>
      <c r="N224" s="674"/>
      <c r="O224" s="672"/>
    </row>
    <row r="225" spans="1:15" x14ac:dyDescent="0.2">
      <c r="A225" s="594"/>
      <c r="B225" s="596"/>
      <c r="C225" s="599"/>
      <c r="D225" s="296" t="s">
        <v>23</v>
      </c>
      <c r="E225" s="299">
        <v>65</v>
      </c>
      <c r="F225" s="34" t="s">
        <v>14</v>
      </c>
      <c r="G225" s="34" t="s">
        <v>14</v>
      </c>
      <c r="H225" s="34" t="s">
        <v>1092</v>
      </c>
      <c r="I225" s="34" t="s">
        <v>1092</v>
      </c>
      <c r="J225" s="296"/>
      <c r="K225" s="562"/>
      <c r="L225" s="562"/>
      <c r="M225" s="704"/>
      <c r="N225" s="660"/>
      <c r="O225" s="705"/>
    </row>
    <row r="226" spans="1:15" x14ac:dyDescent="0.2">
      <c r="A226" s="595"/>
      <c r="B226" s="581" t="s">
        <v>1361</v>
      </c>
      <c r="C226" s="582"/>
      <c r="D226" s="582"/>
      <c r="E226" s="582"/>
      <c r="F226" s="582"/>
      <c r="G226" s="582"/>
      <c r="H226" s="582"/>
      <c r="I226" s="582"/>
      <c r="J226" s="582"/>
      <c r="K226" s="582"/>
      <c r="L226" s="582"/>
      <c r="M226" s="582"/>
      <c r="N226" s="582"/>
      <c r="O226" s="583"/>
    </row>
    <row r="227" spans="1:15" ht="15.75" x14ac:dyDescent="0.2">
      <c r="A227" s="556" t="s">
        <v>1093</v>
      </c>
      <c r="B227" s="557"/>
      <c r="C227" s="557"/>
      <c r="D227" s="557"/>
      <c r="E227" s="557"/>
      <c r="F227" s="557"/>
      <c r="G227" s="557"/>
      <c r="H227" s="557"/>
      <c r="I227" s="557"/>
      <c r="J227" s="557"/>
      <c r="K227" s="557"/>
      <c r="L227" s="557"/>
      <c r="M227" s="557"/>
      <c r="N227" s="557"/>
      <c r="O227" s="661"/>
    </row>
    <row r="228" spans="1:15" x14ac:dyDescent="0.2">
      <c r="A228" s="593">
        <v>35</v>
      </c>
      <c r="B228" s="585" t="s">
        <v>1094</v>
      </c>
      <c r="C228" s="597" t="s">
        <v>902</v>
      </c>
      <c r="D228" s="244" t="s">
        <v>423</v>
      </c>
      <c r="E228" s="245">
        <v>100</v>
      </c>
      <c r="F228" s="246" t="s">
        <v>14</v>
      </c>
      <c r="G228" s="246" t="s">
        <v>14</v>
      </c>
      <c r="H228" s="246" t="s">
        <v>948</v>
      </c>
      <c r="I228" s="246" t="s">
        <v>948</v>
      </c>
      <c r="J228" s="244"/>
      <c r="K228" s="560" t="s">
        <v>15</v>
      </c>
      <c r="L228" s="560" t="s">
        <v>97</v>
      </c>
      <c r="M228" s="702" t="s">
        <v>948</v>
      </c>
      <c r="N228" s="659" t="s">
        <v>18</v>
      </c>
      <c r="O228" s="671"/>
    </row>
    <row r="229" spans="1:15" x14ac:dyDescent="0.2">
      <c r="A229" s="594"/>
      <c r="B229" s="586"/>
      <c r="C229" s="598"/>
      <c r="D229" s="296" t="s">
        <v>1095</v>
      </c>
      <c r="E229" s="299">
        <v>69</v>
      </c>
      <c r="F229" s="34" t="s">
        <v>14</v>
      </c>
      <c r="G229" s="34" t="s">
        <v>14</v>
      </c>
      <c r="H229" s="34" t="s">
        <v>949</v>
      </c>
      <c r="I229" s="34" t="s">
        <v>949</v>
      </c>
      <c r="J229" s="296"/>
      <c r="K229" s="561"/>
      <c r="L229" s="561"/>
      <c r="M229" s="703"/>
      <c r="N229" s="674"/>
      <c r="O229" s="672"/>
    </row>
    <row r="230" spans="1:15" x14ac:dyDescent="0.2">
      <c r="A230" s="594"/>
      <c r="B230" s="586"/>
      <c r="C230" s="598"/>
      <c r="D230" s="296" t="s">
        <v>612</v>
      </c>
      <c r="E230" s="299">
        <v>67</v>
      </c>
      <c r="F230" s="34" t="s">
        <v>14</v>
      </c>
      <c r="G230" s="34" t="s">
        <v>14</v>
      </c>
      <c r="H230" s="34" t="s">
        <v>1091</v>
      </c>
      <c r="I230" s="34" t="s">
        <v>1091</v>
      </c>
      <c r="J230" s="296"/>
      <c r="K230" s="561"/>
      <c r="L230" s="561"/>
      <c r="M230" s="703"/>
      <c r="N230" s="674"/>
      <c r="O230" s="672"/>
    </row>
    <row r="231" spans="1:15" x14ac:dyDescent="0.2">
      <c r="A231" s="594"/>
      <c r="B231" s="596"/>
      <c r="C231" s="599"/>
      <c r="D231" s="296" t="s">
        <v>952</v>
      </c>
      <c r="E231" s="299">
        <v>46</v>
      </c>
      <c r="F231" s="34" t="s">
        <v>14</v>
      </c>
      <c r="G231" s="34" t="s">
        <v>14</v>
      </c>
      <c r="H231" s="34" t="s">
        <v>953</v>
      </c>
      <c r="I231" s="34" t="s">
        <v>953</v>
      </c>
      <c r="J231" s="296"/>
      <c r="K231" s="562"/>
      <c r="L231" s="562"/>
      <c r="M231" s="704"/>
      <c r="N231" s="674"/>
      <c r="O231" s="705"/>
    </row>
    <row r="232" spans="1:15" x14ac:dyDescent="0.2">
      <c r="A232" s="595"/>
      <c r="B232" s="581"/>
      <c r="C232" s="582"/>
      <c r="D232" s="582"/>
      <c r="E232" s="582"/>
      <c r="F232" s="582"/>
      <c r="G232" s="582"/>
      <c r="H232" s="582"/>
      <c r="I232" s="582"/>
      <c r="J232" s="582"/>
      <c r="K232" s="582"/>
      <c r="L232" s="582"/>
      <c r="M232" s="582"/>
      <c r="N232" s="582"/>
      <c r="O232" s="583"/>
    </row>
    <row r="233" spans="1:15" ht="15.75" x14ac:dyDescent="0.2">
      <c r="A233" s="556" t="s">
        <v>1096</v>
      </c>
      <c r="B233" s="557"/>
      <c r="C233" s="557"/>
      <c r="D233" s="557"/>
      <c r="E233" s="557"/>
      <c r="F233" s="557"/>
      <c r="G233" s="557"/>
      <c r="H233" s="557"/>
      <c r="I233" s="557"/>
      <c r="J233" s="557"/>
      <c r="K233" s="557"/>
      <c r="L233" s="557"/>
      <c r="M233" s="557"/>
      <c r="N233" s="557"/>
      <c r="O233" s="661"/>
    </row>
    <row r="234" spans="1:15" x14ac:dyDescent="0.2">
      <c r="A234" s="593">
        <v>36</v>
      </c>
      <c r="B234" s="585" t="s">
        <v>1097</v>
      </c>
      <c r="C234" s="597" t="s">
        <v>902</v>
      </c>
      <c r="D234" s="244" t="s">
        <v>378</v>
      </c>
      <c r="E234" s="245">
        <v>100</v>
      </c>
      <c r="F234" s="246" t="s">
        <v>14</v>
      </c>
      <c r="G234" s="246" t="s">
        <v>14</v>
      </c>
      <c r="H234" s="246" t="s">
        <v>1013</v>
      </c>
      <c r="I234" s="246" t="s">
        <v>1013</v>
      </c>
      <c r="J234" s="244"/>
      <c r="K234" s="560" t="s">
        <v>15</v>
      </c>
      <c r="L234" s="560" t="s">
        <v>97</v>
      </c>
      <c r="M234" s="702" t="s">
        <v>1013</v>
      </c>
      <c r="N234" s="659" t="s">
        <v>18</v>
      </c>
      <c r="O234" s="671"/>
    </row>
    <row r="235" spans="1:15" x14ac:dyDescent="0.2">
      <c r="A235" s="594"/>
      <c r="B235" s="586"/>
      <c r="C235" s="598"/>
      <c r="D235" s="296" t="s">
        <v>245</v>
      </c>
      <c r="E235" s="299">
        <v>79</v>
      </c>
      <c r="F235" s="34" t="s">
        <v>14</v>
      </c>
      <c r="G235" s="34" t="s">
        <v>14</v>
      </c>
      <c r="H235" s="34" t="s">
        <v>1046</v>
      </c>
      <c r="I235" s="34" t="s">
        <v>1046</v>
      </c>
      <c r="J235" s="296"/>
      <c r="K235" s="561"/>
      <c r="L235" s="561"/>
      <c r="M235" s="703"/>
      <c r="N235" s="674"/>
      <c r="O235" s="672"/>
    </row>
    <row r="236" spans="1:15" x14ac:dyDescent="0.2">
      <c r="A236" s="594"/>
      <c r="B236" s="586"/>
      <c r="C236" s="598"/>
      <c r="D236" s="296" t="s">
        <v>22</v>
      </c>
      <c r="E236" s="299">
        <v>72</v>
      </c>
      <c r="F236" s="34" t="s">
        <v>14</v>
      </c>
      <c r="G236" s="34" t="s">
        <v>14</v>
      </c>
      <c r="H236" s="34" t="s">
        <v>943</v>
      </c>
      <c r="I236" s="34" t="s">
        <v>943</v>
      </c>
      <c r="J236" s="296"/>
      <c r="K236" s="561"/>
      <c r="L236" s="561"/>
      <c r="M236" s="703"/>
      <c r="N236" s="674"/>
      <c r="O236" s="672"/>
    </row>
    <row r="237" spans="1:15" x14ac:dyDescent="0.2">
      <c r="A237" s="594"/>
      <c r="B237" s="586"/>
      <c r="C237" s="598"/>
      <c r="D237" s="296" t="s">
        <v>1098</v>
      </c>
      <c r="E237" s="299">
        <v>70</v>
      </c>
      <c r="F237" s="34" t="s">
        <v>14</v>
      </c>
      <c r="G237" s="34" t="s">
        <v>14</v>
      </c>
      <c r="H237" s="34" t="s">
        <v>1009</v>
      </c>
      <c r="I237" s="34" t="s">
        <v>1009</v>
      </c>
      <c r="J237" s="296"/>
      <c r="K237" s="561"/>
      <c r="L237" s="561"/>
      <c r="M237" s="703"/>
      <c r="N237" s="674"/>
      <c r="O237" s="672"/>
    </row>
    <row r="238" spans="1:15" x14ac:dyDescent="0.2">
      <c r="A238" s="594"/>
      <c r="B238" s="586"/>
      <c r="C238" s="598"/>
      <c r="D238" s="296" t="s">
        <v>250</v>
      </c>
      <c r="E238" s="299">
        <v>67</v>
      </c>
      <c r="F238" s="34" t="s">
        <v>14</v>
      </c>
      <c r="G238" s="34" t="s">
        <v>14</v>
      </c>
      <c r="H238" s="34" t="s">
        <v>957</v>
      </c>
      <c r="I238" s="34" t="s">
        <v>957</v>
      </c>
      <c r="J238" s="296"/>
      <c r="K238" s="561"/>
      <c r="L238" s="561"/>
      <c r="M238" s="703"/>
      <c r="N238" s="674"/>
      <c r="O238" s="672"/>
    </row>
    <row r="239" spans="1:15" x14ac:dyDescent="0.2">
      <c r="A239" s="594"/>
      <c r="B239" s="586"/>
      <c r="C239" s="598"/>
      <c r="D239" s="296" t="s">
        <v>1099</v>
      </c>
      <c r="E239" s="299">
        <v>67</v>
      </c>
      <c r="F239" s="34" t="s">
        <v>14</v>
      </c>
      <c r="G239" s="34" t="s">
        <v>14</v>
      </c>
      <c r="H239" s="34" t="s">
        <v>957</v>
      </c>
      <c r="I239" s="34" t="s">
        <v>957</v>
      </c>
      <c r="J239" s="296"/>
      <c r="K239" s="561"/>
      <c r="L239" s="561"/>
      <c r="M239" s="703"/>
      <c r="N239" s="674"/>
      <c r="O239" s="672"/>
    </row>
    <row r="240" spans="1:15" x14ac:dyDescent="0.2">
      <c r="A240" s="594"/>
      <c r="B240" s="586"/>
      <c r="C240" s="598"/>
      <c r="D240" s="296" t="s">
        <v>380</v>
      </c>
      <c r="E240" s="299">
        <v>62</v>
      </c>
      <c r="F240" s="34" t="s">
        <v>14</v>
      </c>
      <c r="G240" s="34" t="s">
        <v>14</v>
      </c>
      <c r="H240" s="34" t="s">
        <v>1010</v>
      </c>
      <c r="I240" s="34" t="s">
        <v>1010</v>
      </c>
      <c r="J240" s="296"/>
      <c r="K240" s="561"/>
      <c r="L240" s="561"/>
      <c r="M240" s="703"/>
      <c r="N240" s="674"/>
      <c r="O240" s="672"/>
    </row>
    <row r="241" spans="1:15" x14ac:dyDescent="0.2">
      <c r="A241" s="594"/>
      <c r="B241" s="596"/>
      <c r="C241" s="599"/>
      <c r="D241" s="296" t="s">
        <v>121</v>
      </c>
      <c r="E241" s="299">
        <v>61</v>
      </c>
      <c r="F241" s="34" t="s">
        <v>14</v>
      </c>
      <c r="G241" s="34" t="s">
        <v>14</v>
      </c>
      <c r="H241" s="34" t="s">
        <v>1011</v>
      </c>
      <c r="I241" s="34" t="s">
        <v>1011</v>
      </c>
      <c r="J241" s="296"/>
      <c r="K241" s="562"/>
      <c r="L241" s="562"/>
      <c r="M241" s="704"/>
      <c r="N241" s="660"/>
      <c r="O241" s="705"/>
    </row>
    <row r="242" spans="1:15" x14ac:dyDescent="0.2">
      <c r="A242" s="595"/>
      <c r="B242" s="581"/>
      <c r="C242" s="582"/>
      <c r="D242" s="582"/>
      <c r="E242" s="582"/>
      <c r="F242" s="582"/>
      <c r="G242" s="582"/>
      <c r="H242" s="582"/>
      <c r="I242" s="582"/>
      <c r="J242" s="582"/>
      <c r="K242" s="582"/>
      <c r="L242" s="582"/>
      <c r="M242" s="582"/>
      <c r="N242" s="582"/>
      <c r="O242" s="583"/>
    </row>
    <row r="244" spans="1:15" ht="15" x14ac:dyDescent="0.2">
      <c r="A244" s="23"/>
      <c r="F244" s="7"/>
      <c r="G244" s="8"/>
      <c r="H244" s="8"/>
      <c r="J244" s="9"/>
      <c r="K244" s="9"/>
      <c r="L244" s="9"/>
      <c r="M244" s="247"/>
      <c r="N244" s="11"/>
    </row>
    <row r="245" spans="1:15" ht="15" x14ac:dyDescent="0.2">
      <c r="F245" s="7"/>
      <c r="G245" s="8"/>
      <c r="H245" s="8"/>
      <c r="J245" s="9"/>
      <c r="K245" s="9"/>
      <c r="L245" s="9"/>
      <c r="M245" s="247"/>
      <c r="N245" s="11"/>
    </row>
    <row r="246" spans="1:15" ht="15" x14ac:dyDescent="0.2">
      <c r="F246" s="7"/>
      <c r="G246" s="8"/>
      <c r="H246" s="8"/>
      <c r="J246" s="9"/>
      <c r="K246" s="9"/>
      <c r="L246" s="9"/>
      <c r="M246" s="247"/>
      <c r="N246" s="11"/>
    </row>
    <row r="247" spans="1:15" ht="15" x14ac:dyDescent="0.2">
      <c r="F247" s="7"/>
      <c r="G247" s="8"/>
      <c r="H247" s="8"/>
      <c r="J247" s="9"/>
      <c r="K247" s="9"/>
      <c r="L247" s="9"/>
      <c r="M247" s="247"/>
      <c r="N247" s="11"/>
    </row>
    <row r="248" spans="1:15" ht="15" x14ac:dyDescent="0.2">
      <c r="F248" s="7"/>
      <c r="G248" s="8"/>
      <c r="H248" s="8"/>
      <c r="J248" s="9"/>
      <c r="K248" s="9"/>
      <c r="L248" s="9"/>
      <c r="M248" s="247"/>
      <c r="N248" s="11"/>
    </row>
    <row r="249" spans="1:15" ht="15" x14ac:dyDescent="0.2">
      <c r="F249" s="7"/>
      <c r="G249" s="8"/>
      <c r="H249" s="8"/>
      <c r="J249" s="9"/>
      <c r="K249" s="9"/>
      <c r="L249" s="9"/>
      <c r="M249" s="247"/>
      <c r="N249" s="11"/>
    </row>
    <row r="250" spans="1:15" ht="15" x14ac:dyDescent="0.2">
      <c r="F250" s="7"/>
      <c r="G250" s="8"/>
      <c r="H250" s="8"/>
      <c r="J250" s="9"/>
      <c r="K250" s="9"/>
      <c r="L250" s="9"/>
      <c r="M250" s="247"/>
      <c r="N250" s="11"/>
    </row>
    <row r="251" spans="1:15" ht="15" x14ac:dyDescent="0.2">
      <c r="F251" s="7"/>
      <c r="G251" s="8"/>
      <c r="H251" s="8"/>
      <c r="J251" s="9"/>
      <c r="K251" s="9"/>
      <c r="L251" s="9"/>
      <c r="M251" s="247"/>
      <c r="N251" s="11"/>
    </row>
  </sheetData>
  <mergeCells count="332">
    <mergeCell ref="B242:O242"/>
    <mergeCell ref="N228:N231"/>
    <mergeCell ref="O228:O231"/>
    <mergeCell ref="B232:O232"/>
    <mergeCell ref="A233:O233"/>
    <mergeCell ref="A234:A242"/>
    <mergeCell ref="B234:B241"/>
    <mergeCell ref="C234:C241"/>
    <mergeCell ref="K234:K241"/>
    <mergeCell ref="L234:L241"/>
    <mergeCell ref="M234:M241"/>
    <mergeCell ref="A227:O227"/>
    <mergeCell ref="A228:A232"/>
    <mergeCell ref="B228:B231"/>
    <mergeCell ref="C228:C231"/>
    <mergeCell ref="K228:K231"/>
    <mergeCell ref="L228:L231"/>
    <mergeCell ref="M228:M231"/>
    <mergeCell ref="N234:N241"/>
    <mergeCell ref="O234:O241"/>
    <mergeCell ref="A220:O220"/>
    <mergeCell ref="A221:A226"/>
    <mergeCell ref="B221:B225"/>
    <mergeCell ref="C221:C225"/>
    <mergeCell ref="K221:K225"/>
    <mergeCell ref="L221:L225"/>
    <mergeCell ref="M221:M225"/>
    <mergeCell ref="N221:N225"/>
    <mergeCell ref="O221:O225"/>
    <mergeCell ref="B226:O226"/>
    <mergeCell ref="A210:O210"/>
    <mergeCell ref="A211:A219"/>
    <mergeCell ref="B211:B218"/>
    <mergeCell ref="C211:C218"/>
    <mergeCell ref="K211:K218"/>
    <mergeCell ref="L211:L218"/>
    <mergeCell ref="M211:M218"/>
    <mergeCell ref="N211:N218"/>
    <mergeCell ref="O211:O218"/>
    <mergeCell ref="B219:O219"/>
    <mergeCell ref="A204:O204"/>
    <mergeCell ref="A205:A209"/>
    <mergeCell ref="B205:B208"/>
    <mergeCell ref="C205:C208"/>
    <mergeCell ref="K205:K208"/>
    <mergeCell ref="L205:L208"/>
    <mergeCell ref="M205:M208"/>
    <mergeCell ref="N205:N208"/>
    <mergeCell ref="O205:O208"/>
    <mergeCell ref="B209:O209"/>
    <mergeCell ref="A197:O197"/>
    <mergeCell ref="A198:A203"/>
    <mergeCell ref="B198:B202"/>
    <mergeCell ref="C198:C202"/>
    <mergeCell ref="K198:K202"/>
    <mergeCell ref="L198:L202"/>
    <mergeCell ref="M198:M202"/>
    <mergeCell ref="N198:N202"/>
    <mergeCell ref="O198:O202"/>
    <mergeCell ref="B203:O203"/>
    <mergeCell ref="A191:O191"/>
    <mergeCell ref="A192:A196"/>
    <mergeCell ref="B192:B195"/>
    <mergeCell ref="C192:C195"/>
    <mergeCell ref="K192:K195"/>
    <mergeCell ref="L192:L195"/>
    <mergeCell ref="M192:M195"/>
    <mergeCell ref="N192:N195"/>
    <mergeCell ref="O192:O195"/>
    <mergeCell ref="B196:O196"/>
    <mergeCell ref="A184:O184"/>
    <mergeCell ref="A185:A190"/>
    <mergeCell ref="B185:B189"/>
    <mergeCell ref="C185:C189"/>
    <mergeCell ref="K185:K189"/>
    <mergeCell ref="L185:L189"/>
    <mergeCell ref="M185:M189"/>
    <mergeCell ref="N185:N189"/>
    <mergeCell ref="O185:O189"/>
    <mergeCell ref="B190:O190"/>
    <mergeCell ref="A174:O174"/>
    <mergeCell ref="A175:A183"/>
    <mergeCell ref="B175:B182"/>
    <mergeCell ref="C175:C182"/>
    <mergeCell ref="K175:K182"/>
    <mergeCell ref="L175:L182"/>
    <mergeCell ref="M175:M182"/>
    <mergeCell ref="N175:N182"/>
    <mergeCell ref="O175:O182"/>
    <mergeCell ref="B183:O183"/>
    <mergeCell ref="A167:O167"/>
    <mergeCell ref="A168:A173"/>
    <mergeCell ref="B168:B172"/>
    <mergeCell ref="C168:C172"/>
    <mergeCell ref="K168:K172"/>
    <mergeCell ref="L168:L172"/>
    <mergeCell ref="M168:M172"/>
    <mergeCell ref="N168:N172"/>
    <mergeCell ref="O168:O172"/>
    <mergeCell ref="B173:O173"/>
    <mergeCell ref="A161:O161"/>
    <mergeCell ref="A162:A166"/>
    <mergeCell ref="B162:B165"/>
    <mergeCell ref="C162:C165"/>
    <mergeCell ref="K162:K165"/>
    <mergeCell ref="L162:L165"/>
    <mergeCell ref="M162:M165"/>
    <mergeCell ref="N162:N165"/>
    <mergeCell ref="O162:O165"/>
    <mergeCell ref="B166:O166"/>
    <mergeCell ref="A155:O155"/>
    <mergeCell ref="A156:A160"/>
    <mergeCell ref="B156:B159"/>
    <mergeCell ref="C156:C159"/>
    <mergeCell ref="K156:K159"/>
    <mergeCell ref="L156:L159"/>
    <mergeCell ref="M156:M159"/>
    <mergeCell ref="N156:N159"/>
    <mergeCell ref="O156:O159"/>
    <mergeCell ref="B160:O160"/>
    <mergeCell ref="A147:O147"/>
    <mergeCell ref="A148:A154"/>
    <mergeCell ref="B148:B153"/>
    <mergeCell ref="C148:C153"/>
    <mergeCell ref="K148:K153"/>
    <mergeCell ref="L148:L153"/>
    <mergeCell ref="M148:M153"/>
    <mergeCell ref="N148:N153"/>
    <mergeCell ref="O148:O153"/>
    <mergeCell ref="B154:O154"/>
    <mergeCell ref="A138:O138"/>
    <mergeCell ref="A139:A146"/>
    <mergeCell ref="B139:B145"/>
    <mergeCell ref="C139:C145"/>
    <mergeCell ref="K139:K145"/>
    <mergeCell ref="L139:L145"/>
    <mergeCell ref="M139:M145"/>
    <mergeCell ref="N139:N145"/>
    <mergeCell ref="O139:O145"/>
    <mergeCell ref="B146:O146"/>
    <mergeCell ref="A130:O130"/>
    <mergeCell ref="A131:A137"/>
    <mergeCell ref="B131:B135"/>
    <mergeCell ref="C131:C135"/>
    <mergeCell ref="K131:K135"/>
    <mergeCell ref="L131:L135"/>
    <mergeCell ref="M131:M135"/>
    <mergeCell ref="N131:N135"/>
    <mergeCell ref="O131:O135"/>
    <mergeCell ref="B137:O137"/>
    <mergeCell ref="A123:O123"/>
    <mergeCell ref="A124:A129"/>
    <mergeCell ref="B124:B128"/>
    <mergeCell ref="C124:C128"/>
    <mergeCell ref="K124:K128"/>
    <mergeCell ref="L124:L128"/>
    <mergeCell ref="M124:M128"/>
    <mergeCell ref="N124:N128"/>
    <mergeCell ref="O124:O128"/>
    <mergeCell ref="B129:O129"/>
    <mergeCell ref="A112:O112"/>
    <mergeCell ref="A113:A122"/>
    <mergeCell ref="B113:B121"/>
    <mergeCell ref="C113:C121"/>
    <mergeCell ref="K113:K121"/>
    <mergeCell ref="L113:L121"/>
    <mergeCell ref="M113:M121"/>
    <mergeCell ref="N113:N121"/>
    <mergeCell ref="O113:O121"/>
    <mergeCell ref="E121:G121"/>
    <mergeCell ref="B122:O122"/>
    <mergeCell ref="A104:O104"/>
    <mergeCell ref="A105:A111"/>
    <mergeCell ref="B105:B110"/>
    <mergeCell ref="C105:C110"/>
    <mergeCell ref="K105:K110"/>
    <mergeCell ref="L105:L110"/>
    <mergeCell ref="M105:M110"/>
    <mergeCell ref="N105:N110"/>
    <mergeCell ref="O105:O110"/>
    <mergeCell ref="B111:O111"/>
    <mergeCell ref="A98:O98"/>
    <mergeCell ref="A99:A103"/>
    <mergeCell ref="B99:B102"/>
    <mergeCell ref="C99:C102"/>
    <mergeCell ref="K99:K102"/>
    <mergeCell ref="L99:L102"/>
    <mergeCell ref="M99:M102"/>
    <mergeCell ref="N99:N102"/>
    <mergeCell ref="O99:O102"/>
    <mergeCell ref="B103:O103"/>
    <mergeCell ref="A92:O92"/>
    <mergeCell ref="A93:A97"/>
    <mergeCell ref="B93:B96"/>
    <mergeCell ref="C93:C96"/>
    <mergeCell ref="K93:K96"/>
    <mergeCell ref="L93:L96"/>
    <mergeCell ref="M93:M96"/>
    <mergeCell ref="N93:N96"/>
    <mergeCell ref="O93:O96"/>
    <mergeCell ref="E96:G96"/>
    <mergeCell ref="B97:O97"/>
    <mergeCell ref="A87:O87"/>
    <mergeCell ref="A88:A91"/>
    <mergeCell ref="B88:B91"/>
    <mergeCell ref="C88:C91"/>
    <mergeCell ref="K88:K91"/>
    <mergeCell ref="L88:L91"/>
    <mergeCell ref="M88:M91"/>
    <mergeCell ref="N88:N91"/>
    <mergeCell ref="O88:O91"/>
    <mergeCell ref="A81:O81"/>
    <mergeCell ref="A82:A86"/>
    <mergeCell ref="B82:B85"/>
    <mergeCell ref="C82:C85"/>
    <mergeCell ref="K82:K85"/>
    <mergeCell ref="L82:L85"/>
    <mergeCell ref="M82:M85"/>
    <mergeCell ref="N82:N85"/>
    <mergeCell ref="O82:O85"/>
    <mergeCell ref="B86:O86"/>
    <mergeCell ref="A75:O75"/>
    <mergeCell ref="A76:A80"/>
    <mergeCell ref="B76:B79"/>
    <mergeCell ref="C76:C79"/>
    <mergeCell ref="K76:K79"/>
    <mergeCell ref="L76:L79"/>
    <mergeCell ref="M76:M79"/>
    <mergeCell ref="N76:N79"/>
    <mergeCell ref="O76:O79"/>
    <mergeCell ref="B80:O80"/>
    <mergeCell ref="A69:O69"/>
    <mergeCell ref="A70:A74"/>
    <mergeCell ref="B70:B73"/>
    <mergeCell ref="C70:C73"/>
    <mergeCell ref="K70:K73"/>
    <mergeCell ref="L70:L73"/>
    <mergeCell ref="M70:M73"/>
    <mergeCell ref="N70:N73"/>
    <mergeCell ref="O70:O73"/>
    <mergeCell ref="B74:O74"/>
    <mergeCell ref="A63:O63"/>
    <mergeCell ref="A64:A68"/>
    <mergeCell ref="B64:B67"/>
    <mergeCell ref="C64:C67"/>
    <mergeCell ref="K64:K67"/>
    <mergeCell ref="L64:L67"/>
    <mergeCell ref="M64:M67"/>
    <mergeCell ref="N64:N67"/>
    <mergeCell ref="O64:O67"/>
    <mergeCell ref="B68:O68"/>
    <mergeCell ref="A52:O52"/>
    <mergeCell ref="A53:A62"/>
    <mergeCell ref="B53:B61"/>
    <mergeCell ref="C53:C61"/>
    <mergeCell ref="K53:K61"/>
    <mergeCell ref="L53:L61"/>
    <mergeCell ref="M53:M61"/>
    <mergeCell ref="N53:N61"/>
    <mergeCell ref="O53:O61"/>
    <mergeCell ref="B62:O62"/>
    <mergeCell ref="A47:O47"/>
    <mergeCell ref="A48:A51"/>
    <mergeCell ref="B48:B51"/>
    <mergeCell ref="C48:C51"/>
    <mergeCell ref="K48:K51"/>
    <mergeCell ref="L48:L51"/>
    <mergeCell ref="M48:M51"/>
    <mergeCell ref="N48:N51"/>
    <mergeCell ref="O48:O51"/>
    <mergeCell ref="A40:O40"/>
    <mergeCell ref="A41:A46"/>
    <mergeCell ref="B41:B45"/>
    <mergeCell ref="C41:C45"/>
    <mergeCell ref="K41:K45"/>
    <mergeCell ref="L41:L45"/>
    <mergeCell ref="M41:M45"/>
    <mergeCell ref="N41:N45"/>
    <mergeCell ref="O41:O45"/>
    <mergeCell ref="B46:O46"/>
    <mergeCell ref="A32:O32"/>
    <mergeCell ref="A33:A34"/>
    <mergeCell ref="B34:O34"/>
    <mergeCell ref="A35:O35"/>
    <mergeCell ref="A36:A39"/>
    <mergeCell ref="B36:B38"/>
    <mergeCell ref="C36:C38"/>
    <mergeCell ref="K36:K38"/>
    <mergeCell ref="L36:L38"/>
    <mergeCell ref="M36:M38"/>
    <mergeCell ref="N36:N38"/>
    <mergeCell ref="O36:O38"/>
    <mergeCell ref="B39:O39"/>
    <mergeCell ref="A27:O27"/>
    <mergeCell ref="A28:A31"/>
    <mergeCell ref="B28:B30"/>
    <mergeCell ref="C28:C30"/>
    <mergeCell ref="K28:K30"/>
    <mergeCell ref="L28:L30"/>
    <mergeCell ref="M28:M30"/>
    <mergeCell ref="N28:N30"/>
    <mergeCell ref="O28:O30"/>
    <mergeCell ref="B31:O31"/>
    <mergeCell ref="A21:O21"/>
    <mergeCell ref="A22:A23"/>
    <mergeCell ref="B23:O23"/>
    <mergeCell ref="A24:O24"/>
    <mergeCell ref="A25:A26"/>
    <mergeCell ref="B26:O26"/>
    <mergeCell ref="A14:O14"/>
    <mergeCell ref="A15:A20"/>
    <mergeCell ref="B15:B19"/>
    <mergeCell ref="C15:C19"/>
    <mergeCell ref="K15:K19"/>
    <mergeCell ref="L15:L19"/>
    <mergeCell ref="M15:M19"/>
    <mergeCell ref="N15:N19"/>
    <mergeCell ref="O15:O19"/>
    <mergeCell ref="B20:O20"/>
    <mergeCell ref="B7:O7"/>
    <mergeCell ref="A8:O8"/>
    <mergeCell ref="A9:A10"/>
    <mergeCell ref="B10:O10"/>
    <mergeCell ref="A11:O11"/>
    <mergeCell ref="A12:A13"/>
    <mergeCell ref="B13:O13"/>
    <mergeCell ref="A1:A5"/>
    <mergeCell ref="B1:O1"/>
    <mergeCell ref="B2:O2"/>
    <mergeCell ref="B3:O3"/>
    <mergeCell ref="B4:O4"/>
    <mergeCell ref="A6:O6"/>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4A491B-17BE-4F55-95E9-D758DE21B4DF}">
  <sheetPr>
    <pageSetUpPr fitToPage="1"/>
  </sheetPr>
  <dimension ref="A1:Q48"/>
  <sheetViews>
    <sheetView rightToLeft="1" zoomScale="112" zoomScaleNormal="112" zoomScaleSheetLayoutView="80" workbookViewId="0">
      <pane ySplit="6" topLeftCell="A7" activePane="bottomLeft" state="frozen"/>
      <selection pane="bottomLeft" activeCell="A48" sqref="A48:XFD48"/>
    </sheetView>
  </sheetViews>
  <sheetFormatPr defaultColWidth="8.75" defaultRowHeight="15" x14ac:dyDescent="0.2"/>
  <cols>
    <col min="1" max="1" width="4.25" customWidth="1"/>
    <col min="2" max="2" width="21.125" bestFit="1" customWidth="1"/>
    <col min="4" max="4" width="7.25" customWidth="1"/>
    <col min="5" max="5" width="7.75" customWidth="1"/>
    <col min="6" max="6" width="10.25" bestFit="1" customWidth="1"/>
    <col min="7" max="7" width="12.125" style="7" bestFit="1" customWidth="1"/>
    <col min="8" max="8" width="13.625" style="8" bestFit="1" customWidth="1"/>
    <col min="9" max="9" width="16" style="8" bestFit="1" customWidth="1"/>
    <col min="10" max="10" width="9" customWidth="1"/>
    <col min="11" max="11" width="12.875" style="9" customWidth="1"/>
    <col min="12" max="12" width="19.375" style="9" customWidth="1"/>
    <col min="13" max="13" width="15" style="9" customWidth="1"/>
    <col min="14" max="14" width="10.875" style="247" customWidth="1"/>
    <col min="15" max="15" width="13" style="11" customWidth="1"/>
  </cols>
  <sheetData>
    <row r="1" spans="1:17" ht="20.25" x14ac:dyDescent="0.2">
      <c r="A1" s="571"/>
      <c r="B1" s="572" t="s">
        <v>775</v>
      </c>
      <c r="C1" s="572"/>
      <c r="D1" s="572"/>
      <c r="E1" s="572"/>
      <c r="F1" s="572"/>
      <c r="G1" s="572"/>
      <c r="H1" s="572"/>
      <c r="I1" s="572"/>
      <c r="J1" s="572"/>
      <c r="K1" s="572"/>
      <c r="L1" s="572"/>
      <c r="M1" s="572"/>
      <c r="N1" s="572"/>
      <c r="O1" s="572"/>
    </row>
    <row r="2" spans="1:17" ht="14.25" x14ac:dyDescent="0.2">
      <c r="A2" s="571"/>
      <c r="B2" s="573" t="s">
        <v>792</v>
      </c>
      <c r="C2" s="573"/>
      <c r="D2" s="573"/>
      <c r="E2" s="573"/>
      <c r="F2" s="573"/>
      <c r="G2" s="573"/>
      <c r="H2" s="573"/>
      <c r="I2" s="573"/>
      <c r="J2" s="573"/>
      <c r="K2" s="573"/>
      <c r="L2" s="573"/>
      <c r="M2" s="573"/>
      <c r="N2" s="573"/>
      <c r="O2" s="573"/>
    </row>
    <row r="3" spans="1:17" ht="15.75" x14ac:dyDescent="0.2">
      <c r="A3" s="571"/>
      <c r="B3" s="574" t="s">
        <v>324</v>
      </c>
      <c r="C3" s="574"/>
      <c r="D3" s="574"/>
      <c r="E3" s="574"/>
      <c r="F3" s="574"/>
      <c r="G3" s="574"/>
      <c r="H3" s="574"/>
      <c r="I3" s="574"/>
      <c r="J3" s="574"/>
      <c r="K3" s="574"/>
      <c r="L3" s="574"/>
      <c r="M3" s="574"/>
      <c r="N3" s="574"/>
      <c r="O3" s="574"/>
    </row>
    <row r="4" spans="1:17" ht="14.25" x14ac:dyDescent="0.2">
      <c r="A4" s="571"/>
      <c r="B4" s="575" t="s">
        <v>52</v>
      </c>
      <c r="C4" s="575"/>
      <c r="D4" s="575"/>
      <c r="E4" s="575"/>
      <c r="F4" s="575"/>
      <c r="G4" s="575"/>
      <c r="H4" s="575"/>
      <c r="I4" s="575"/>
      <c r="J4" s="575"/>
      <c r="K4" s="575"/>
      <c r="L4" s="575"/>
      <c r="M4" s="575"/>
      <c r="N4" s="575"/>
      <c r="O4" s="575"/>
    </row>
    <row r="5" spans="1:17" ht="14.25" x14ac:dyDescent="0.2">
      <c r="A5" s="571"/>
      <c r="B5" s="575" t="s">
        <v>51</v>
      </c>
      <c r="C5" s="575"/>
      <c r="D5" s="575"/>
      <c r="E5" s="575"/>
      <c r="F5" s="575"/>
      <c r="G5" s="575"/>
      <c r="H5" s="575"/>
      <c r="I5" s="575"/>
      <c r="J5" s="575"/>
      <c r="K5" s="575"/>
      <c r="L5" s="575"/>
      <c r="M5" s="575"/>
      <c r="N5" s="575"/>
      <c r="O5" s="575"/>
    </row>
    <row r="6" spans="1:17" ht="46.5" customHeight="1" x14ac:dyDescent="0.2">
      <c r="A6" s="571"/>
      <c r="B6" s="220" t="s">
        <v>0</v>
      </c>
      <c r="C6" s="220" t="s">
        <v>1</v>
      </c>
      <c r="D6" s="222" t="s">
        <v>2</v>
      </c>
      <c r="E6" s="222" t="s">
        <v>3</v>
      </c>
      <c r="F6" s="222" t="s">
        <v>4</v>
      </c>
      <c r="G6" s="222" t="s">
        <v>5</v>
      </c>
      <c r="H6" s="2" t="s">
        <v>6</v>
      </c>
      <c r="I6" s="3" t="s">
        <v>7</v>
      </c>
      <c r="J6" s="222" t="s">
        <v>8</v>
      </c>
      <c r="K6" s="222" t="s">
        <v>9</v>
      </c>
      <c r="L6" s="222" t="s">
        <v>95</v>
      </c>
      <c r="M6" s="223" t="s">
        <v>729</v>
      </c>
      <c r="N6" s="222" t="s">
        <v>10</v>
      </c>
      <c r="O6" s="222" t="s">
        <v>11</v>
      </c>
    </row>
    <row r="7" spans="1:17" ht="15.75" x14ac:dyDescent="0.2">
      <c r="A7" s="556" t="s">
        <v>745</v>
      </c>
      <c r="B7" s="557"/>
      <c r="C7" s="557"/>
      <c r="D7" s="557"/>
      <c r="E7" s="557"/>
      <c r="F7" s="557"/>
      <c r="G7" s="557"/>
      <c r="H7" s="557"/>
      <c r="I7" s="557"/>
      <c r="J7" s="557"/>
      <c r="K7" s="557"/>
      <c r="L7" s="557"/>
      <c r="M7" s="557"/>
      <c r="N7" s="557"/>
      <c r="O7" s="661"/>
    </row>
    <row r="8" spans="1:17" ht="76.5" x14ac:dyDescent="0.2">
      <c r="A8" s="593">
        <v>1</v>
      </c>
      <c r="B8" s="255" t="s">
        <v>746</v>
      </c>
      <c r="C8" s="255" t="s">
        <v>117</v>
      </c>
      <c r="D8" s="172" t="s">
        <v>118</v>
      </c>
      <c r="E8" s="173">
        <v>100</v>
      </c>
      <c r="F8" s="174" t="s">
        <v>119</v>
      </c>
      <c r="G8" s="174"/>
      <c r="H8" s="250">
        <v>0.85</v>
      </c>
      <c r="I8" s="174"/>
      <c r="J8" s="172" t="s">
        <v>13</v>
      </c>
      <c r="K8" s="259" t="s">
        <v>722</v>
      </c>
      <c r="L8" s="259"/>
      <c r="M8" s="261"/>
      <c r="N8" s="258" t="s">
        <v>18</v>
      </c>
      <c r="O8" s="260">
        <v>171100752</v>
      </c>
      <c r="P8" s="247"/>
      <c r="Q8" s="11"/>
    </row>
    <row r="9" spans="1:17" ht="15" customHeight="1" x14ac:dyDescent="0.2">
      <c r="A9" s="595"/>
      <c r="B9" s="664" t="s">
        <v>747</v>
      </c>
      <c r="C9" s="664"/>
      <c r="D9" s="664"/>
      <c r="E9" s="664"/>
      <c r="F9" s="664"/>
      <c r="G9" s="664"/>
      <c r="H9" s="664"/>
      <c r="I9" s="664"/>
      <c r="J9" s="664"/>
      <c r="K9" s="664"/>
      <c r="L9" s="664"/>
      <c r="M9" s="664"/>
      <c r="N9" s="664"/>
      <c r="O9" s="664"/>
    </row>
    <row r="10" spans="1:17" ht="15.75" x14ac:dyDescent="0.2">
      <c r="A10" s="556" t="s">
        <v>748</v>
      </c>
      <c r="B10" s="557"/>
      <c r="C10" s="557"/>
      <c r="D10" s="557"/>
      <c r="E10" s="557"/>
      <c r="F10" s="557"/>
      <c r="G10" s="557"/>
      <c r="H10" s="557"/>
      <c r="I10" s="557"/>
      <c r="J10" s="557"/>
      <c r="K10" s="557"/>
      <c r="L10" s="557"/>
      <c r="M10" s="557"/>
      <c r="N10" s="557"/>
      <c r="O10" s="661"/>
    </row>
    <row r="11" spans="1:17" ht="42.75" x14ac:dyDescent="0.2">
      <c r="A11" s="593">
        <v>2</v>
      </c>
      <c r="B11" s="585" t="s">
        <v>749</v>
      </c>
      <c r="C11" s="597" t="s">
        <v>117</v>
      </c>
      <c r="D11" s="251" t="s">
        <v>750</v>
      </c>
      <c r="E11" s="252">
        <v>100</v>
      </c>
      <c r="F11" s="253" t="s">
        <v>12</v>
      </c>
      <c r="G11" s="253" t="s">
        <v>123</v>
      </c>
      <c r="H11" s="253">
        <f>200*117/100</f>
        <v>234</v>
      </c>
      <c r="I11" s="253">
        <f>H11*300</f>
        <v>70200</v>
      </c>
      <c r="J11" s="251" t="s">
        <v>13</v>
      </c>
      <c r="K11" s="560" t="s">
        <v>86</v>
      </c>
      <c r="L11" s="560" t="s">
        <v>789</v>
      </c>
      <c r="M11" s="657">
        <f>I11*0.88</f>
        <v>61776</v>
      </c>
      <c r="N11" s="659" t="s">
        <v>18</v>
      </c>
      <c r="O11" s="671">
        <v>2130202751</v>
      </c>
    </row>
    <row r="12" spans="1:17" ht="14.25" x14ac:dyDescent="0.2">
      <c r="A12" s="594"/>
      <c r="B12" s="586"/>
      <c r="C12" s="598"/>
      <c r="D12" s="221" t="s">
        <v>751</v>
      </c>
      <c r="E12" s="38">
        <v>84</v>
      </c>
      <c r="F12" s="249" t="s">
        <v>12</v>
      </c>
      <c r="G12" s="249" t="s">
        <v>123</v>
      </c>
      <c r="H12" s="249">
        <f>217.5*117/100</f>
        <v>254.47499999999999</v>
      </c>
      <c r="I12" s="249">
        <f>H12*300</f>
        <v>76342.5</v>
      </c>
      <c r="J12" s="248" t="s">
        <v>13</v>
      </c>
      <c r="K12" s="561"/>
      <c r="L12" s="561"/>
      <c r="M12" s="673"/>
      <c r="N12" s="674"/>
      <c r="O12" s="672"/>
    </row>
    <row r="13" spans="1:17" ht="38.25" x14ac:dyDescent="0.2">
      <c r="A13" s="594"/>
      <c r="B13" s="586"/>
      <c r="C13" s="598"/>
      <c r="D13" s="221" t="s">
        <v>752</v>
      </c>
      <c r="E13" s="38">
        <v>74</v>
      </c>
      <c r="F13" s="249" t="s">
        <v>12</v>
      </c>
      <c r="G13" s="249" t="s">
        <v>123</v>
      </c>
      <c r="H13" s="249">
        <f>1000*117/100</f>
        <v>1170</v>
      </c>
      <c r="I13" s="249">
        <f t="shared" ref="I13" si="0">H13*300</f>
        <v>351000</v>
      </c>
      <c r="J13" s="248" t="s">
        <v>13</v>
      </c>
      <c r="K13" s="562"/>
      <c r="L13" s="561"/>
      <c r="M13" s="673"/>
      <c r="N13" s="674"/>
      <c r="O13" s="672"/>
    </row>
    <row r="14" spans="1:17" ht="13.9" customHeight="1" x14ac:dyDescent="0.2">
      <c r="A14" s="595"/>
      <c r="B14" s="581"/>
      <c r="C14" s="582"/>
      <c r="D14" s="582"/>
      <c r="E14" s="582"/>
      <c r="F14" s="582"/>
      <c r="G14" s="582"/>
      <c r="H14" s="582"/>
      <c r="I14" s="582"/>
      <c r="J14" s="582"/>
      <c r="K14" s="582"/>
      <c r="L14" s="582"/>
      <c r="M14" s="582"/>
      <c r="N14" s="582"/>
      <c r="O14" s="583"/>
    </row>
    <row r="15" spans="1:17" ht="15.75" x14ac:dyDescent="0.2">
      <c r="A15" s="556" t="s">
        <v>754</v>
      </c>
      <c r="B15" s="557"/>
      <c r="C15" s="557"/>
      <c r="D15" s="557"/>
      <c r="E15" s="557"/>
      <c r="F15" s="557"/>
      <c r="G15" s="557"/>
      <c r="H15" s="557"/>
      <c r="I15" s="557"/>
      <c r="J15" s="557"/>
      <c r="K15" s="557"/>
      <c r="L15" s="557"/>
      <c r="M15" s="557"/>
      <c r="N15" s="557"/>
      <c r="O15" s="661"/>
    </row>
    <row r="16" spans="1:17" ht="28.5" x14ac:dyDescent="0.2">
      <c r="A16" s="593">
        <v>3</v>
      </c>
      <c r="B16" s="585" t="s">
        <v>753</v>
      </c>
      <c r="C16" s="597" t="s">
        <v>117</v>
      </c>
      <c r="D16" s="251" t="s">
        <v>755</v>
      </c>
      <c r="E16" s="252">
        <v>100</v>
      </c>
      <c r="F16" s="253" t="s">
        <v>14</v>
      </c>
      <c r="G16" s="253" t="s">
        <v>14</v>
      </c>
      <c r="H16" s="253">
        <f>68500*117/100</f>
        <v>80145</v>
      </c>
      <c r="I16" s="253">
        <f>H16</f>
        <v>80145</v>
      </c>
      <c r="J16" s="251" t="s">
        <v>13</v>
      </c>
      <c r="K16" s="560" t="s">
        <v>86</v>
      </c>
      <c r="L16" s="560" t="s">
        <v>790</v>
      </c>
      <c r="M16" s="657">
        <f>I16*0.88</f>
        <v>70527.600000000006</v>
      </c>
      <c r="N16" s="659" t="s">
        <v>18</v>
      </c>
      <c r="O16" s="671" t="s">
        <v>759</v>
      </c>
    </row>
    <row r="17" spans="1:15" ht="14.25" x14ac:dyDescent="0.2">
      <c r="A17" s="594"/>
      <c r="B17" s="586"/>
      <c r="C17" s="598"/>
      <c r="D17" s="221" t="s">
        <v>756</v>
      </c>
      <c r="E17" s="38">
        <v>75</v>
      </c>
      <c r="F17" s="34" t="s">
        <v>14</v>
      </c>
      <c r="G17" s="34" t="s">
        <v>14</v>
      </c>
      <c r="H17" s="34">
        <f>70000*117/100</f>
        <v>81900</v>
      </c>
      <c r="I17" s="34">
        <f>H17</f>
        <v>81900</v>
      </c>
      <c r="J17" s="221"/>
      <c r="K17" s="561"/>
      <c r="L17" s="561"/>
      <c r="M17" s="673"/>
      <c r="N17" s="674"/>
      <c r="O17" s="672"/>
    </row>
    <row r="18" spans="1:15" ht="14.25" x14ac:dyDescent="0.2">
      <c r="A18" s="594"/>
      <c r="B18" s="586"/>
      <c r="C18" s="598"/>
      <c r="D18" s="221" t="s">
        <v>757</v>
      </c>
      <c r="E18" s="38">
        <v>75</v>
      </c>
      <c r="F18" s="34" t="s">
        <v>14</v>
      </c>
      <c r="G18" s="34" t="s">
        <v>14</v>
      </c>
      <c r="H18" s="34">
        <f>77200*117/100</f>
        <v>90324</v>
      </c>
      <c r="I18" s="34">
        <f>H18</f>
        <v>90324</v>
      </c>
      <c r="J18" s="221"/>
      <c r="K18" s="561"/>
      <c r="L18" s="561"/>
      <c r="M18" s="673"/>
      <c r="N18" s="674"/>
      <c r="O18" s="672"/>
    </row>
    <row r="19" spans="1:15" ht="14.25" x14ac:dyDescent="0.2">
      <c r="A19" s="594"/>
      <c r="B19" s="586"/>
      <c r="C19" s="598"/>
      <c r="D19" s="221" t="s">
        <v>758</v>
      </c>
      <c r="E19" s="38">
        <v>60</v>
      </c>
      <c r="F19" s="34" t="s">
        <v>14</v>
      </c>
      <c r="G19" s="34" t="s">
        <v>14</v>
      </c>
      <c r="H19" s="34">
        <f>102390*117/100</f>
        <v>119796.3</v>
      </c>
      <c r="I19" s="34">
        <f>H19</f>
        <v>119796.3</v>
      </c>
      <c r="J19" s="221"/>
      <c r="K19" s="561"/>
      <c r="L19" s="561"/>
      <c r="M19" s="673"/>
      <c r="N19" s="674"/>
      <c r="O19" s="672"/>
    </row>
    <row r="20" spans="1:15" ht="14.25" x14ac:dyDescent="0.2">
      <c r="A20" s="594"/>
      <c r="B20" s="586"/>
      <c r="C20" s="598"/>
      <c r="D20" s="221" t="s">
        <v>744</v>
      </c>
      <c r="E20" s="38">
        <v>69</v>
      </c>
      <c r="F20" s="34" t="s">
        <v>14</v>
      </c>
      <c r="G20" s="34" t="s">
        <v>14</v>
      </c>
      <c r="H20" s="34">
        <f>102390*117/100</f>
        <v>119796.3</v>
      </c>
      <c r="I20" s="34">
        <f>H20</f>
        <v>119796.3</v>
      </c>
      <c r="J20" s="221"/>
      <c r="K20" s="562"/>
      <c r="L20" s="561"/>
      <c r="M20" s="673"/>
      <c r="N20" s="674"/>
      <c r="O20" s="672"/>
    </row>
    <row r="21" spans="1:15" ht="13.9" customHeight="1" x14ac:dyDescent="0.2">
      <c r="A21" s="595"/>
      <c r="B21" s="581"/>
      <c r="C21" s="582"/>
      <c r="D21" s="582"/>
      <c r="E21" s="582"/>
      <c r="F21" s="582"/>
      <c r="G21" s="582"/>
      <c r="H21" s="582"/>
      <c r="I21" s="582"/>
      <c r="J21" s="582"/>
      <c r="K21" s="582"/>
      <c r="L21" s="582"/>
      <c r="M21" s="582"/>
      <c r="N21" s="582"/>
      <c r="O21" s="583"/>
    </row>
    <row r="22" spans="1:15" ht="15.75" x14ac:dyDescent="0.2">
      <c r="A22" s="556" t="s">
        <v>760</v>
      </c>
      <c r="B22" s="557"/>
      <c r="C22" s="557"/>
      <c r="D22" s="557"/>
      <c r="E22" s="557"/>
      <c r="F22" s="557"/>
      <c r="G22" s="557"/>
      <c r="H22" s="557"/>
      <c r="I22" s="557"/>
      <c r="J22" s="557"/>
      <c r="K22" s="557"/>
      <c r="L22" s="557"/>
      <c r="M22" s="557"/>
      <c r="N22" s="557"/>
      <c r="O22" s="661"/>
    </row>
    <row r="23" spans="1:15" ht="26.45" customHeight="1" x14ac:dyDescent="0.2">
      <c r="A23" s="593">
        <v>4</v>
      </c>
      <c r="B23" s="585" t="s">
        <v>761</v>
      </c>
      <c r="C23" s="597" t="s">
        <v>94</v>
      </c>
      <c r="D23" s="244" t="s">
        <v>22</v>
      </c>
      <c r="E23" s="245">
        <v>100</v>
      </c>
      <c r="F23" s="246" t="s">
        <v>14</v>
      </c>
      <c r="G23" s="246" t="s">
        <v>14</v>
      </c>
      <c r="H23" s="246">
        <f>28400*117/100</f>
        <v>33228</v>
      </c>
      <c r="I23" s="246">
        <f>H23</f>
        <v>33228</v>
      </c>
      <c r="J23" s="244" t="s">
        <v>13</v>
      </c>
      <c r="K23" s="560" t="s">
        <v>86</v>
      </c>
      <c r="L23" s="560" t="s">
        <v>97</v>
      </c>
      <c r="M23" s="657">
        <f>I23</f>
        <v>33228</v>
      </c>
      <c r="N23" s="659" t="s">
        <v>18</v>
      </c>
      <c r="O23" s="671">
        <v>2830222751</v>
      </c>
    </row>
    <row r="24" spans="1:15" ht="38.25" x14ac:dyDescent="0.2">
      <c r="A24" s="594"/>
      <c r="B24" s="586"/>
      <c r="C24" s="598"/>
      <c r="D24" s="221" t="s">
        <v>763</v>
      </c>
      <c r="E24" s="38">
        <v>72</v>
      </c>
      <c r="F24" s="34" t="s">
        <v>14</v>
      </c>
      <c r="G24" s="34" t="s">
        <v>14</v>
      </c>
      <c r="H24" s="34">
        <f>34900*117/100</f>
        <v>40833</v>
      </c>
      <c r="I24" s="34">
        <f>H24</f>
        <v>40833</v>
      </c>
      <c r="J24" s="221"/>
      <c r="K24" s="561"/>
      <c r="L24" s="561"/>
      <c r="M24" s="673"/>
      <c r="N24" s="674"/>
      <c r="O24" s="672"/>
    </row>
    <row r="25" spans="1:15" ht="38.25" x14ac:dyDescent="0.2">
      <c r="A25" s="594"/>
      <c r="B25" s="586"/>
      <c r="C25" s="598"/>
      <c r="D25" s="221" t="s">
        <v>762</v>
      </c>
      <c r="E25" s="38">
        <v>71</v>
      </c>
      <c r="F25" s="34" t="s">
        <v>14</v>
      </c>
      <c r="G25" s="34" t="s">
        <v>14</v>
      </c>
      <c r="H25" s="34">
        <f>35500*117/100</f>
        <v>41535</v>
      </c>
      <c r="I25" s="34">
        <f>H25</f>
        <v>41535</v>
      </c>
      <c r="J25" s="221"/>
      <c r="K25" s="561"/>
      <c r="L25" s="561"/>
      <c r="M25" s="673"/>
      <c r="N25" s="674"/>
      <c r="O25" s="672"/>
    </row>
    <row r="26" spans="1:15" ht="13.9" customHeight="1" x14ac:dyDescent="0.2">
      <c r="A26" s="595"/>
      <c r="B26" s="581" t="s">
        <v>787</v>
      </c>
      <c r="C26" s="582"/>
      <c r="D26" s="582"/>
      <c r="E26" s="582"/>
      <c r="F26" s="582"/>
      <c r="G26" s="582"/>
      <c r="H26" s="582"/>
      <c r="I26" s="582"/>
      <c r="J26" s="582"/>
      <c r="K26" s="582"/>
      <c r="L26" s="582"/>
      <c r="M26" s="582"/>
      <c r="N26" s="582"/>
      <c r="O26" s="583"/>
    </row>
    <row r="27" spans="1:15" ht="15.75" x14ac:dyDescent="0.2">
      <c r="A27" s="556" t="s">
        <v>764</v>
      </c>
      <c r="B27" s="557"/>
      <c r="C27" s="557"/>
      <c r="D27" s="557"/>
      <c r="E27" s="557"/>
      <c r="F27" s="557"/>
      <c r="G27" s="557"/>
      <c r="H27" s="557"/>
      <c r="I27" s="557"/>
      <c r="J27" s="557"/>
      <c r="K27" s="557"/>
      <c r="L27" s="557"/>
      <c r="M27" s="557"/>
      <c r="N27" s="557"/>
      <c r="O27" s="661"/>
    </row>
    <row r="28" spans="1:15" ht="38.25" x14ac:dyDescent="0.2">
      <c r="A28" s="593">
        <v>5</v>
      </c>
      <c r="B28" s="255" t="s">
        <v>765</v>
      </c>
      <c r="C28" s="256" t="s">
        <v>79</v>
      </c>
      <c r="D28" s="16" t="s">
        <v>766</v>
      </c>
      <c r="E28" s="14">
        <v>100</v>
      </c>
      <c r="F28" s="15" t="s">
        <v>14</v>
      </c>
      <c r="G28" s="18" t="s">
        <v>14</v>
      </c>
      <c r="H28" s="18">
        <f>12000*117/100</f>
        <v>14040</v>
      </c>
      <c r="I28" s="18">
        <f>H28</f>
        <v>14040</v>
      </c>
      <c r="J28" s="13" t="s">
        <v>13</v>
      </c>
      <c r="K28" s="259" t="s">
        <v>116</v>
      </c>
      <c r="L28" s="259" t="s">
        <v>97</v>
      </c>
      <c r="M28" s="257">
        <f>I28</f>
        <v>14040</v>
      </c>
      <c r="N28" s="254" t="s">
        <v>18</v>
      </c>
      <c r="O28" s="260"/>
    </row>
    <row r="29" spans="1:15" ht="14.25" x14ac:dyDescent="0.2">
      <c r="A29" s="595"/>
      <c r="B29" s="581" t="s">
        <v>793</v>
      </c>
      <c r="C29" s="582"/>
      <c r="D29" s="582"/>
      <c r="E29" s="582"/>
      <c r="F29" s="582"/>
      <c r="G29" s="582"/>
      <c r="H29" s="582"/>
      <c r="I29" s="582"/>
      <c r="J29" s="582"/>
      <c r="K29" s="582"/>
      <c r="L29" s="582"/>
      <c r="M29" s="582"/>
      <c r="N29" s="582"/>
      <c r="O29" s="583"/>
    </row>
    <row r="30" spans="1:15" ht="15.75" x14ac:dyDescent="0.2">
      <c r="A30" s="556" t="s">
        <v>767</v>
      </c>
      <c r="B30" s="557"/>
      <c r="C30" s="557"/>
      <c r="D30" s="557"/>
      <c r="E30" s="557"/>
      <c r="F30" s="557"/>
      <c r="G30" s="557"/>
      <c r="H30" s="557"/>
      <c r="I30" s="557"/>
      <c r="J30" s="557"/>
      <c r="K30" s="557"/>
      <c r="L30" s="557"/>
      <c r="M30" s="557"/>
      <c r="N30" s="557"/>
      <c r="O30" s="661"/>
    </row>
    <row r="31" spans="1:15" ht="42.75" x14ac:dyDescent="0.2">
      <c r="A31" s="593">
        <v>6</v>
      </c>
      <c r="B31" s="585" t="s">
        <v>768</v>
      </c>
      <c r="C31" s="597" t="s">
        <v>777</v>
      </c>
      <c r="D31" s="244" t="s">
        <v>769</v>
      </c>
      <c r="E31" s="245">
        <v>100</v>
      </c>
      <c r="F31" s="246" t="s">
        <v>14</v>
      </c>
      <c r="G31" s="246" t="s">
        <v>14</v>
      </c>
      <c r="H31" s="246">
        <f>14000*117/100</f>
        <v>16380</v>
      </c>
      <c r="I31" s="246">
        <f>H31</f>
        <v>16380</v>
      </c>
      <c r="J31" s="244" t="s">
        <v>13</v>
      </c>
      <c r="K31" s="560" t="s">
        <v>86</v>
      </c>
      <c r="L31" s="560" t="s">
        <v>97</v>
      </c>
      <c r="M31" s="657">
        <f>I31</f>
        <v>16380</v>
      </c>
      <c r="N31" s="659" t="s">
        <v>18</v>
      </c>
      <c r="O31" s="671" t="s">
        <v>772</v>
      </c>
    </row>
    <row r="32" spans="1:15" ht="14.25" x14ac:dyDescent="0.2">
      <c r="A32" s="594"/>
      <c r="B32" s="586"/>
      <c r="C32" s="598"/>
      <c r="D32" s="221" t="s">
        <v>770</v>
      </c>
      <c r="E32" s="38">
        <v>78</v>
      </c>
      <c r="F32" s="34" t="s">
        <v>14</v>
      </c>
      <c r="G32" s="34" t="s">
        <v>14</v>
      </c>
      <c r="H32" s="34">
        <f>18000*117/100</f>
        <v>21060</v>
      </c>
      <c r="I32" s="34">
        <f>H32</f>
        <v>21060</v>
      </c>
      <c r="J32" s="221"/>
      <c r="K32" s="561"/>
      <c r="L32" s="561"/>
      <c r="M32" s="673"/>
      <c r="N32" s="674"/>
      <c r="O32" s="672"/>
    </row>
    <row r="33" spans="1:15" ht="25.5" x14ac:dyDescent="0.2">
      <c r="A33" s="594"/>
      <c r="B33" s="586"/>
      <c r="C33" s="598"/>
      <c r="D33" s="221" t="s">
        <v>771</v>
      </c>
      <c r="E33" s="38">
        <v>75</v>
      </c>
      <c r="F33" s="34" t="s">
        <v>14</v>
      </c>
      <c r="G33" s="34" t="s">
        <v>14</v>
      </c>
      <c r="H33" s="34">
        <f>19000*117/100</f>
        <v>22230</v>
      </c>
      <c r="I33" s="34">
        <f>H33</f>
        <v>22230</v>
      </c>
      <c r="J33" s="221"/>
      <c r="K33" s="561"/>
      <c r="L33" s="561"/>
      <c r="M33" s="673"/>
      <c r="N33" s="674"/>
      <c r="O33" s="672"/>
    </row>
    <row r="34" spans="1:15" ht="14.25" x14ac:dyDescent="0.2">
      <c r="A34" s="595"/>
      <c r="B34" s="581"/>
      <c r="C34" s="582"/>
      <c r="D34" s="582"/>
      <c r="E34" s="582"/>
      <c r="F34" s="582"/>
      <c r="G34" s="582"/>
      <c r="H34" s="582"/>
      <c r="I34" s="582"/>
      <c r="J34" s="582"/>
      <c r="K34" s="582"/>
      <c r="L34" s="582"/>
      <c r="M34" s="582"/>
      <c r="N34" s="582"/>
      <c r="O34" s="583"/>
    </row>
    <row r="35" spans="1:15" ht="15.75" x14ac:dyDescent="0.2">
      <c r="A35" s="556" t="s">
        <v>773</v>
      </c>
      <c r="B35" s="557"/>
      <c r="C35" s="557"/>
      <c r="D35" s="557"/>
      <c r="E35" s="557"/>
      <c r="F35" s="557"/>
      <c r="G35" s="557"/>
      <c r="H35" s="557"/>
      <c r="I35" s="557"/>
      <c r="J35" s="557"/>
      <c r="K35" s="557"/>
      <c r="L35" s="557"/>
      <c r="M35" s="557"/>
      <c r="N35" s="557"/>
      <c r="O35" s="661"/>
    </row>
    <row r="36" spans="1:15" ht="63.75" x14ac:dyDescent="0.2">
      <c r="A36" s="593">
        <v>7</v>
      </c>
      <c r="B36" s="221" t="s">
        <v>159</v>
      </c>
      <c r="C36" s="221" t="s">
        <v>621</v>
      </c>
      <c r="D36" s="13" t="s">
        <v>115</v>
      </c>
      <c r="E36" s="14">
        <v>100</v>
      </c>
      <c r="F36" s="15" t="s">
        <v>30</v>
      </c>
      <c r="G36" s="15" t="s">
        <v>31</v>
      </c>
      <c r="H36" s="15">
        <f>30000*117/100</f>
        <v>35100</v>
      </c>
      <c r="I36" s="15">
        <f>H36*3</f>
        <v>105300</v>
      </c>
      <c r="J36" s="13"/>
      <c r="K36" s="223" t="s">
        <v>116</v>
      </c>
      <c r="L36" s="223"/>
      <c r="M36" s="167">
        <f>I36</f>
        <v>105300</v>
      </c>
      <c r="N36" s="42" t="s">
        <v>18</v>
      </c>
      <c r="O36" s="169" t="s">
        <v>788</v>
      </c>
    </row>
    <row r="37" spans="1:15" ht="14.25" x14ac:dyDescent="0.2">
      <c r="A37" s="595"/>
      <c r="B37" s="581" t="s">
        <v>774</v>
      </c>
      <c r="C37" s="582"/>
      <c r="D37" s="582"/>
      <c r="E37" s="582"/>
      <c r="F37" s="582"/>
      <c r="G37" s="582"/>
      <c r="H37" s="582"/>
      <c r="I37" s="582"/>
      <c r="J37" s="582"/>
      <c r="K37" s="582"/>
      <c r="L37" s="582"/>
      <c r="M37" s="582"/>
      <c r="N37" s="582"/>
      <c r="O37" s="583"/>
    </row>
    <row r="38" spans="1:15" ht="15.75" x14ac:dyDescent="0.2">
      <c r="A38" s="556" t="s">
        <v>776</v>
      </c>
      <c r="B38" s="557"/>
      <c r="C38" s="557"/>
      <c r="D38" s="557"/>
      <c r="E38" s="557"/>
      <c r="F38" s="557"/>
      <c r="G38" s="557"/>
      <c r="H38" s="557"/>
      <c r="I38" s="557"/>
      <c r="J38" s="557"/>
      <c r="K38" s="557"/>
      <c r="L38" s="557"/>
      <c r="M38" s="557"/>
      <c r="N38" s="557"/>
      <c r="O38" s="661"/>
    </row>
    <row r="39" spans="1:15" ht="42.75" x14ac:dyDescent="0.2">
      <c r="A39" s="593">
        <v>8</v>
      </c>
      <c r="B39" s="585" t="s">
        <v>786</v>
      </c>
      <c r="C39" s="597" t="s">
        <v>76</v>
      </c>
      <c r="D39" s="251" t="s">
        <v>778</v>
      </c>
      <c r="E39" s="252">
        <v>92</v>
      </c>
      <c r="F39" s="253" t="s">
        <v>73</v>
      </c>
      <c r="G39" s="253" t="s">
        <v>784</v>
      </c>
      <c r="H39" s="253">
        <f>444.6</f>
        <v>444.6</v>
      </c>
      <c r="I39" s="253">
        <f>H39*8*31.5</f>
        <v>112039.20000000001</v>
      </c>
      <c r="J39" s="251" t="s">
        <v>13</v>
      </c>
      <c r="K39" s="560" t="s">
        <v>791</v>
      </c>
      <c r="L39" s="560" t="s">
        <v>97</v>
      </c>
      <c r="M39" s="657">
        <f>H39*6*31.5</f>
        <v>84029.400000000009</v>
      </c>
      <c r="N39" s="659" t="s">
        <v>18</v>
      </c>
      <c r="O39" s="671"/>
    </row>
    <row r="40" spans="1:15" ht="38.25" x14ac:dyDescent="0.2">
      <c r="A40" s="594"/>
      <c r="B40" s="586"/>
      <c r="C40" s="598"/>
      <c r="D40" s="221" t="s">
        <v>779</v>
      </c>
      <c r="E40" s="38">
        <v>79</v>
      </c>
      <c r="F40" s="34" t="s">
        <v>785</v>
      </c>
      <c r="G40" s="34"/>
      <c r="H40" s="34"/>
      <c r="I40" s="34"/>
      <c r="J40" s="221"/>
      <c r="K40" s="561"/>
      <c r="L40" s="561"/>
      <c r="M40" s="673"/>
      <c r="N40" s="674"/>
      <c r="O40" s="672"/>
    </row>
    <row r="41" spans="1:15" ht="38.25" x14ac:dyDescent="0.2">
      <c r="A41" s="594"/>
      <c r="B41" s="586"/>
      <c r="C41" s="598"/>
      <c r="D41" s="221" t="s">
        <v>780</v>
      </c>
      <c r="E41" s="38">
        <v>63</v>
      </c>
      <c r="F41" s="34" t="s">
        <v>785</v>
      </c>
      <c r="G41" s="34"/>
      <c r="H41" s="34"/>
      <c r="I41" s="34"/>
      <c r="J41" s="221"/>
      <c r="K41" s="561"/>
      <c r="L41" s="561"/>
      <c r="M41" s="673"/>
      <c r="N41" s="674"/>
      <c r="O41" s="672"/>
    </row>
    <row r="42" spans="1:15" ht="38.25" x14ac:dyDescent="0.2">
      <c r="A42" s="594"/>
      <c r="B42" s="586"/>
      <c r="C42" s="598"/>
      <c r="D42" s="221" t="s">
        <v>781</v>
      </c>
      <c r="E42" s="38">
        <v>74</v>
      </c>
      <c r="F42" s="34" t="s">
        <v>785</v>
      </c>
      <c r="G42" s="34"/>
      <c r="H42" s="34"/>
      <c r="I42" s="34"/>
      <c r="J42" s="221"/>
      <c r="K42" s="561"/>
      <c r="L42" s="561"/>
      <c r="M42" s="673"/>
      <c r="N42" s="674"/>
      <c r="O42" s="672"/>
    </row>
    <row r="43" spans="1:15" ht="38.25" x14ac:dyDescent="0.2">
      <c r="A43" s="594"/>
      <c r="B43" s="586"/>
      <c r="C43" s="598"/>
      <c r="D43" s="221" t="s">
        <v>782</v>
      </c>
      <c r="E43" s="38">
        <v>74</v>
      </c>
      <c r="F43" s="34" t="s">
        <v>785</v>
      </c>
      <c r="G43" s="34"/>
      <c r="H43" s="34"/>
      <c r="I43" s="34"/>
      <c r="J43" s="221"/>
      <c r="K43" s="561"/>
      <c r="L43" s="561"/>
      <c r="M43" s="673"/>
      <c r="N43" s="674"/>
      <c r="O43" s="672"/>
    </row>
    <row r="44" spans="1:15" ht="38.25" x14ac:dyDescent="0.2">
      <c r="A44" s="594"/>
      <c r="B44" s="586"/>
      <c r="C44" s="598"/>
      <c r="D44" s="221" t="s">
        <v>783</v>
      </c>
      <c r="E44" s="38">
        <v>80</v>
      </c>
      <c r="F44" s="34" t="s">
        <v>785</v>
      </c>
      <c r="G44" s="34"/>
      <c r="H44" s="34"/>
      <c r="I44" s="34"/>
      <c r="J44" s="221"/>
      <c r="K44" s="561"/>
      <c r="L44" s="561"/>
      <c r="M44" s="673"/>
      <c r="N44" s="674"/>
      <c r="O44" s="672"/>
    </row>
    <row r="45" spans="1:15" ht="14.25" x14ac:dyDescent="0.2">
      <c r="A45" s="595"/>
      <c r="B45" s="581" t="s">
        <v>794</v>
      </c>
      <c r="C45" s="582"/>
      <c r="D45" s="582"/>
      <c r="E45" s="582"/>
      <c r="F45" s="582"/>
      <c r="G45" s="582"/>
      <c r="H45" s="582"/>
      <c r="I45" s="582"/>
      <c r="J45" s="582"/>
      <c r="K45" s="582"/>
      <c r="L45" s="582"/>
      <c r="M45" s="582"/>
      <c r="N45" s="582"/>
      <c r="O45" s="583"/>
    </row>
    <row r="47" spans="1:15" ht="15.75" x14ac:dyDescent="0.2">
      <c r="A47" s="268"/>
      <c r="B47" s="269"/>
      <c r="C47" s="269"/>
      <c r="D47" s="269"/>
      <c r="E47" s="269"/>
      <c r="F47" s="269"/>
      <c r="G47" s="269"/>
      <c r="H47" s="269"/>
      <c r="I47" s="269"/>
      <c r="J47" s="269"/>
      <c r="K47" s="269"/>
      <c r="L47" s="269"/>
      <c r="M47" s="269"/>
      <c r="N47" s="269"/>
      <c r="O47" s="269"/>
    </row>
    <row r="48" spans="1:15" x14ac:dyDescent="0.2">
      <c r="B48" s="23"/>
    </row>
  </sheetData>
  <mergeCells count="65">
    <mergeCell ref="N31:N33"/>
    <mergeCell ref="O31:O33"/>
    <mergeCell ref="B34:O34"/>
    <mergeCell ref="A38:O38"/>
    <mergeCell ref="A39:A45"/>
    <mergeCell ref="B39:B44"/>
    <mergeCell ref="C39:C44"/>
    <mergeCell ref="K39:K44"/>
    <mergeCell ref="L39:L44"/>
    <mergeCell ref="M39:M44"/>
    <mergeCell ref="N39:N44"/>
    <mergeCell ref="O39:O44"/>
    <mergeCell ref="B45:O45"/>
    <mergeCell ref="A1:A6"/>
    <mergeCell ref="B1:O1"/>
    <mergeCell ref="B2:O2"/>
    <mergeCell ref="B3:O3"/>
    <mergeCell ref="B4:O4"/>
    <mergeCell ref="B5:O5"/>
    <mergeCell ref="N11:N13"/>
    <mergeCell ref="O11:O13"/>
    <mergeCell ref="B14:O14"/>
    <mergeCell ref="C16:C20"/>
    <mergeCell ref="K16:K20"/>
    <mergeCell ref="L16:L20"/>
    <mergeCell ref="M16:M20"/>
    <mergeCell ref="B11:B13"/>
    <mergeCell ref="C11:C13"/>
    <mergeCell ref="K11:K13"/>
    <mergeCell ref="L11:L13"/>
    <mergeCell ref="M11:M13"/>
    <mergeCell ref="B16:B20"/>
    <mergeCell ref="N16:N20"/>
    <mergeCell ref="A7:O7"/>
    <mergeCell ref="A8:A9"/>
    <mergeCell ref="B9:O9"/>
    <mergeCell ref="A22:O22"/>
    <mergeCell ref="A23:A26"/>
    <mergeCell ref="B23:B25"/>
    <mergeCell ref="C23:C25"/>
    <mergeCell ref="K23:K25"/>
    <mergeCell ref="L23:L25"/>
    <mergeCell ref="M23:M25"/>
    <mergeCell ref="A15:O15"/>
    <mergeCell ref="A16:A21"/>
    <mergeCell ref="O16:O20"/>
    <mergeCell ref="B21:O21"/>
    <mergeCell ref="A10:O10"/>
    <mergeCell ref="A11:A14"/>
    <mergeCell ref="N23:N25"/>
    <mergeCell ref="O23:O25"/>
    <mergeCell ref="B26:O26"/>
    <mergeCell ref="A27:O27"/>
    <mergeCell ref="A36:A37"/>
    <mergeCell ref="B37:O37"/>
    <mergeCell ref="A35:O35"/>
    <mergeCell ref="A28:A29"/>
    <mergeCell ref="B29:O29"/>
    <mergeCell ref="A30:O30"/>
    <mergeCell ref="A31:A34"/>
    <mergeCell ref="B31:B33"/>
    <mergeCell ref="C31:C33"/>
    <mergeCell ref="K31:K33"/>
    <mergeCell ref="L31:L33"/>
    <mergeCell ref="M31:M33"/>
  </mergeCells>
  <pageMargins left="0.25" right="0.25" top="0.75" bottom="0.75" header="0.3" footer="0.3"/>
  <pageSetup paperSize="9" scale="72" fitToHeight="0" orientation="landscape" r:id="rId1"/>
  <rowBreaks count="1" manualBreakCount="1">
    <brk id="26"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4FF5EC-B466-40B7-8524-AF5ED3DA7CE6}">
  <sheetPr>
    <pageSetUpPr fitToPage="1"/>
  </sheetPr>
  <dimension ref="A1:O28"/>
  <sheetViews>
    <sheetView rightToLeft="1" zoomScale="95" zoomScaleNormal="95" zoomScaleSheetLayoutView="80" workbookViewId="0">
      <pane ySplit="6" topLeftCell="A8" activePane="bottomLeft" state="frozen"/>
      <selection pane="bottomLeft" activeCell="A21" sqref="A21:XFD21"/>
    </sheetView>
  </sheetViews>
  <sheetFormatPr defaultColWidth="8.75" defaultRowHeight="15" x14ac:dyDescent="0.2"/>
  <cols>
    <col min="1" max="1" width="4.25" customWidth="1"/>
    <col min="2" max="2" width="21.125" style="6" bestFit="1" customWidth="1"/>
    <col min="4" max="4" width="7.25" customWidth="1"/>
    <col min="5" max="5" width="7.75" customWidth="1"/>
    <col min="6" max="6" width="10.25" bestFit="1" customWidth="1"/>
    <col min="7" max="7" width="12.125" style="7" bestFit="1" customWidth="1"/>
    <col min="8" max="8" width="13.625" style="8" bestFit="1" customWidth="1"/>
    <col min="9" max="9" width="16" style="8" bestFit="1" customWidth="1"/>
    <col min="10" max="10" width="9" customWidth="1"/>
    <col min="11" max="11" width="12.875" style="9" customWidth="1"/>
    <col min="12" max="12" width="19.375" style="9" customWidth="1"/>
    <col min="13" max="13" width="15" style="9" customWidth="1"/>
    <col min="14" max="14" width="10.875" style="10" customWidth="1"/>
    <col min="15" max="15" width="13" style="11" customWidth="1"/>
  </cols>
  <sheetData>
    <row r="1" spans="1:15" ht="20.25" x14ac:dyDescent="0.2">
      <c r="A1" s="571"/>
      <c r="B1" s="572" t="s">
        <v>736</v>
      </c>
      <c r="C1" s="572"/>
      <c r="D1" s="572"/>
      <c r="E1" s="572"/>
      <c r="F1" s="572"/>
      <c r="G1" s="572"/>
      <c r="H1" s="572"/>
      <c r="I1" s="572"/>
      <c r="J1" s="572"/>
      <c r="K1" s="572"/>
      <c r="L1" s="572"/>
      <c r="M1" s="572"/>
      <c r="N1" s="572"/>
      <c r="O1" s="572"/>
    </row>
    <row r="2" spans="1:15" ht="14.25" x14ac:dyDescent="0.2">
      <c r="A2" s="571"/>
      <c r="B2" s="573" t="s">
        <v>666</v>
      </c>
      <c r="C2" s="573"/>
      <c r="D2" s="573"/>
      <c r="E2" s="573"/>
      <c r="F2" s="573"/>
      <c r="G2" s="573"/>
      <c r="H2" s="573"/>
      <c r="I2" s="573"/>
      <c r="J2" s="573"/>
      <c r="K2" s="573"/>
      <c r="L2" s="573"/>
      <c r="M2" s="573"/>
      <c r="N2" s="573"/>
      <c r="O2" s="573"/>
    </row>
    <row r="3" spans="1:15" ht="15.75" x14ac:dyDescent="0.2">
      <c r="A3" s="571"/>
      <c r="B3" s="712" t="s">
        <v>324</v>
      </c>
      <c r="C3" s="712"/>
      <c r="D3" s="712"/>
      <c r="E3" s="712"/>
      <c r="F3" s="712"/>
      <c r="G3" s="712"/>
      <c r="H3" s="712"/>
      <c r="I3" s="712"/>
      <c r="J3" s="712"/>
      <c r="K3" s="712"/>
      <c r="L3" s="712"/>
      <c r="M3" s="712"/>
      <c r="N3" s="712"/>
      <c r="O3" s="712"/>
    </row>
    <row r="4" spans="1:15" ht="14.25" x14ac:dyDescent="0.2">
      <c r="A4" s="571"/>
      <c r="B4" s="713" t="s">
        <v>52</v>
      </c>
      <c r="C4" s="713"/>
      <c r="D4" s="713"/>
      <c r="E4" s="713"/>
      <c r="F4" s="713"/>
      <c r="G4" s="713"/>
      <c r="H4" s="713"/>
      <c r="I4" s="713"/>
      <c r="J4" s="713"/>
      <c r="K4" s="713"/>
      <c r="L4" s="713"/>
      <c r="M4" s="713"/>
      <c r="N4" s="713"/>
      <c r="O4" s="713"/>
    </row>
    <row r="5" spans="1:15" ht="14.25" x14ac:dyDescent="0.2">
      <c r="A5" s="571"/>
      <c r="B5" s="713" t="s">
        <v>51</v>
      </c>
      <c r="C5" s="713"/>
      <c r="D5" s="713"/>
      <c r="E5" s="713"/>
      <c r="F5" s="713"/>
      <c r="G5" s="713"/>
      <c r="H5" s="713"/>
      <c r="I5" s="713"/>
      <c r="J5" s="713"/>
      <c r="K5" s="713"/>
      <c r="L5" s="713"/>
      <c r="M5" s="713"/>
      <c r="N5" s="713"/>
      <c r="O5" s="713"/>
    </row>
    <row r="6" spans="1:15" ht="46.5" customHeight="1" x14ac:dyDescent="0.2">
      <c r="A6" s="571"/>
      <c r="B6" s="48" t="s">
        <v>0</v>
      </c>
      <c r="C6" s="220" t="s">
        <v>1</v>
      </c>
      <c r="D6" s="222" t="s">
        <v>2</v>
      </c>
      <c r="E6" s="222" t="s">
        <v>3</v>
      </c>
      <c r="F6" s="222" t="s">
        <v>4</v>
      </c>
      <c r="G6" s="222" t="s">
        <v>5</v>
      </c>
      <c r="H6" s="2" t="s">
        <v>6</v>
      </c>
      <c r="I6" s="3" t="s">
        <v>7</v>
      </c>
      <c r="J6" s="222" t="s">
        <v>8</v>
      </c>
      <c r="K6" s="222" t="s">
        <v>9</v>
      </c>
      <c r="L6" s="222" t="s">
        <v>95</v>
      </c>
      <c r="M6" s="223" t="s">
        <v>729</v>
      </c>
      <c r="N6" s="35" t="s">
        <v>10</v>
      </c>
      <c r="O6" s="222" t="s">
        <v>11</v>
      </c>
    </row>
    <row r="7" spans="1:15" ht="15.75" x14ac:dyDescent="0.2">
      <c r="A7" s="556" t="s">
        <v>738</v>
      </c>
      <c r="B7" s="557"/>
      <c r="C7" s="557"/>
      <c r="D7" s="557"/>
      <c r="E7" s="557"/>
      <c r="F7" s="557"/>
      <c r="G7" s="557"/>
      <c r="H7" s="557"/>
      <c r="I7" s="557"/>
      <c r="J7" s="557"/>
      <c r="K7" s="557"/>
      <c r="L7" s="557"/>
      <c r="M7" s="557"/>
      <c r="N7" s="557"/>
      <c r="O7" s="661"/>
    </row>
    <row r="8" spans="1:15" ht="71.25" x14ac:dyDescent="0.2">
      <c r="A8" s="593">
        <v>1</v>
      </c>
      <c r="B8" s="585" t="s">
        <v>694</v>
      </c>
      <c r="C8" s="597" t="s">
        <v>175</v>
      </c>
      <c r="D8" s="244" t="s">
        <v>695</v>
      </c>
      <c r="E8" s="245">
        <v>94</v>
      </c>
      <c r="F8" s="246" t="s">
        <v>14</v>
      </c>
      <c r="G8" s="246" t="s">
        <v>14</v>
      </c>
      <c r="H8" s="246">
        <f>66450*117/100</f>
        <v>77746.5</v>
      </c>
      <c r="I8" s="246">
        <f>H8</f>
        <v>77746.5</v>
      </c>
      <c r="J8" s="244" t="s">
        <v>13</v>
      </c>
      <c r="K8" s="714" t="s">
        <v>15</v>
      </c>
      <c r="L8" s="714" t="s">
        <v>97</v>
      </c>
      <c r="M8" s="657">
        <f>I8</f>
        <v>77746.5</v>
      </c>
      <c r="N8" s="659"/>
      <c r="O8" s="671"/>
    </row>
    <row r="9" spans="1:15" ht="14.25" x14ac:dyDescent="0.2">
      <c r="A9" s="594"/>
      <c r="B9" s="586"/>
      <c r="C9" s="598"/>
      <c r="D9" s="242" t="s">
        <v>696</v>
      </c>
      <c r="E9" s="4">
        <v>77</v>
      </c>
      <c r="F9" s="5" t="s">
        <v>14</v>
      </c>
      <c r="G9" s="5" t="s">
        <v>14</v>
      </c>
      <c r="H9" s="5">
        <f>98700*117/100</f>
        <v>115479</v>
      </c>
      <c r="I9" s="5">
        <f>H9</f>
        <v>115479</v>
      </c>
      <c r="J9" s="242" t="s">
        <v>13</v>
      </c>
      <c r="K9" s="715"/>
      <c r="L9" s="715"/>
      <c r="M9" s="673"/>
      <c r="N9" s="674"/>
      <c r="O9" s="672"/>
    </row>
    <row r="10" spans="1:15" ht="25.5" x14ac:dyDescent="0.2">
      <c r="A10" s="594"/>
      <c r="B10" s="586"/>
      <c r="C10" s="598"/>
      <c r="D10" s="243" t="s">
        <v>737</v>
      </c>
      <c r="E10" s="4">
        <v>64</v>
      </c>
      <c r="F10" s="5" t="s">
        <v>14</v>
      </c>
      <c r="G10" s="5" t="s">
        <v>14</v>
      </c>
      <c r="H10" s="5">
        <f>124000*117/100</f>
        <v>145080</v>
      </c>
      <c r="I10" s="5">
        <f>H10</f>
        <v>145080</v>
      </c>
      <c r="J10" s="243"/>
      <c r="K10" s="716"/>
      <c r="L10" s="715"/>
      <c r="M10" s="673"/>
      <c r="N10" s="674"/>
      <c r="O10" s="672"/>
    </row>
    <row r="11" spans="1:15" ht="13.9" customHeight="1" x14ac:dyDescent="0.2">
      <c r="A11" s="595"/>
      <c r="B11" s="717"/>
      <c r="C11" s="718"/>
      <c r="D11" s="718"/>
      <c r="E11" s="718"/>
      <c r="F11" s="718"/>
      <c r="G11" s="718"/>
      <c r="H11" s="718"/>
      <c r="I11" s="718"/>
      <c r="J11" s="718"/>
      <c r="K11" s="718"/>
      <c r="L11" s="718"/>
      <c r="M11" s="718"/>
      <c r="N11" s="718"/>
      <c r="O11" s="719"/>
    </row>
    <row r="12" spans="1:15" ht="15.75" x14ac:dyDescent="0.2">
      <c r="A12" s="556" t="s">
        <v>739</v>
      </c>
      <c r="B12" s="557"/>
      <c r="C12" s="557"/>
      <c r="D12" s="557"/>
      <c r="E12" s="557"/>
      <c r="F12" s="557"/>
      <c r="G12" s="557"/>
      <c r="H12" s="557"/>
      <c r="I12" s="557"/>
      <c r="J12" s="557"/>
      <c r="K12" s="557"/>
      <c r="L12" s="557"/>
      <c r="M12" s="557"/>
      <c r="N12" s="557"/>
      <c r="O12" s="661"/>
    </row>
    <row r="13" spans="1:15" ht="28.5" x14ac:dyDescent="0.2">
      <c r="A13" s="593">
        <v>2</v>
      </c>
      <c r="B13" s="585" t="s">
        <v>740</v>
      </c>
      <c r="C13" s="597" t="s">
        <v>175</v>
      </c>
      <c r="D13" s="244" t="s">
        <v>741</v>
      </c>
      <c r="E13" s="245">
        <v>100</v>
      </c>
      <c r="F13" s="246" t="s">
        <v>14</v>
      </c>
      <c r="G13" s="246" t="s">
        <v>14</v>
      </c>
      <c r="H13" s="246">
        <f>17097*117/100</f>
        <v>20003.490000000002</v>
      </c>
      <c r="I13" s="246">
        <f>H13</f>
        <v>20003.490000000002</v>
      </c>
      <c r="J13" s="244"/>
      <c r="K13" s="714" t="s">
        <v>15</v>
      </c>
      <c r="L13" s="714" t="s">
        <v>97</v>
      </c>
      <c r="M13" s="657">
        <f>I13</f>
        <v>20003.490000000002</v>
      </c>
      <c r="N13" s="659"/>
      <c r="O13" s="671"/>
    </row>
    <row r="14" spans="1:15" ht="14.25" x14ac:dyDescent="0.2">
      <c r="A14" s="594"/>
      <c r="B14" s="586"/>
      <c r="C14" s="598"/>
      <c r="D14" s="243" t="s">
        <v>93</v>
      </c>
      <c r="E14" s="4">
        <v>80</v>
      </c>
      <c r="F14" s="5" t="s">
        <v>14</v>
      </c>
      <c r="G14" s="5" t="s">
        <v>14</v>
      </c>
      <c r="H14" s="5">
        <f>23911*117/100</f>
        <v>27975.87</v>
      </c>
      <c r="I14" s="5">
        <f>H14</f>
        <v>27975.87</v>
      </c>
      <c r="J14" s="243"/>
      <c r="K14" s="715"/>
      <c r="L14" s="715"/>
      <c r="M14" s="673"/>
      <c r="N14" s="674"/>
      <c r="O14" s="672"/>
    </row>
    <row r="15" spans="1:15" ht="25.5" x14ac:dyDescent="0.2">
      <c r="A15" s="594"/>
      <c r="B15" s="586"/>
      <c r="C15" s="598"/>
      <c r="D15" s="243" t="s">
        <v>742</v>
      </c>
      <c r="E15" s="4">
        <v>79</v>
      </c>
      <c r="F15" s="5" t="s">
        <v>14</v>
      </c>
      <c r="G15" s="5" t="s">
        <v>14</v>
      </c>
      <c r="H15" s="5">
        <f>21890*117/100</f>
        <v>25611.3</v>
      </c>
      <c r="I15" s="5">
        <f>H15</f>
        <v>25611.3</v>
      </c>
      <c r="J15" s="243"/>
      <c r="K15" s="715"/>
      <c r="L15" s="715"/>
      <c r="M15" s="673"/>
      <c r="N15" s="674"/>
      <c r="O15" s="672"/>
    </row>
    <row r="16" spans="1:15" ht="14.25" x14ac:dyDescent="0.2">
      <c r="A16" s="594"/>
      <c r="B16" s="586"/>
      <c r="C16" s="598"/>
      <c r="D16" s="243" t="s">
        <v>743</v>
      </c>
      <c r="E16" s="4">
        <v>78</v>
      </c>
      <c r="F16" s="5" t="s">
        <v>14</v>
      </c>
      <c r="G16" s="5" t="s">
        <v>14</v>
      </c>
      <c r="H16" s="5">
        <f>24800*117/100</f>
        <v>29016</v>
      </c>
      <c r="I16" s="5">
        <f>H16</f>
        <v>29016</v>
      </c>
      <c r="J16" s="243"/>
      <c r="K16" s="715"/>
      <c r="L16" s="715"/>
      <c r="M16" s="673"/>
      <c r="N16" s="674"/>
      <c r="O16" s="672"/>
    </row>
    <row r="17" spans="1:15" ht="14.25" x14ac:dyDescent="0.2">
      <c r="A17" s="594"/>
      <c r="B17" s="586"/>
      <c r="C17" s="598"/>
      <c r="D17" s="243" t="s">
        <v>744</v>
      </c>
      <c r="E17" s="4">
        <v>69</v>
      </c>
      <c r="F17" s="5" t="s">
        <v>14</v>
      </c>
      <c r="G17" s="5" t="s">
        <v>14</v>
      </c>
      <c r="H17" s="5">
        <f>26400*117/100</f>
        <v>30888</v>
      </c>
      <c r="I17" s="5">
        <f>H17</f>
        <v>30888</v>
      </c>
      <c r="J17" s="243"/>
      <c r="K17" s="716"/>
      <c r="L17" s="715"/>
      <c r="M17" s="673"/>
      <c r="N17" s="674"/>
      <c r="O17" s="672"/>
    </row>
    <row r="18" spans="1:15" ht="13.9" customHeight="1" x14ac:dyDescent="0.2">
      <c r="A18" s="595"/>
      <c r="B18" s="717"/>
      <c r="C18" s="718"/>
      <c r="D18" s="718"/>
      <c r="E18" s="718"/>
      <c r="F18" s="718"/>
      <c r="G18" s="718"/>
      <c r="H18" s="718"/>
      <c r="I18" s="718"/>
      <c r="J18" s="718"/>
      <c r="K18" s="718"/>
      <c r="L18" s="718"/>
      <c r="M18" s="718"/>
      <c r="N18" s="718"/>
      <c r="O18" s="719"/>
    </row>
    <row r="19" spans="1:15" ht="15.75" x14ac:dyDescent="0.2">
      <c r="A19" s="20"/>
      <c r="B19" s="39"/>
      <c r="C19" s="39"/>
      <c r="D19" s="39"/>
      <c r="E19" s="39"/>
      <c r="F19" s="39"/>
      <c r="G19" s="39"/>
      <c r="H19" s="39"/>
      <c r="I19" s="39"/>
      <c r="J19" s="39"/>
      <c r="K19" s="39"/>
      <c r="L19" s="39"/>
      <c r="M19" s="39"/>
      <c r="N19" s="39"/>
      <c r="O19" s="39"/>
    </row>
    <row r="20" spans="1:15" ht="15.75" x14ac:dyDescent="0.2">
      <c r="A20" s="268"/>
      <c r="B20" s="269"/>
      <c r="C20" s="269"/>
      <c r="D20" s="269"/>
      <c r="E20" s="269"/>
      <c r="F20" s="269"/>
      <c r="G20" s="269"/>
      <c r="H20" s="269"/>
      <c r="I20" s="269"/>
      <c r="J20" s="269"/>
      <c r="K20" s="269"/>
      <c r="L20" s="269"/>
      <c r="M20" s="269"/>
      <c r="N20" s="269"/>
      <c r="O20" s="269"/>
    </row>
    <row r="21" spans="1:15" x14ac:dyDescent="0.2">
      <c r="B21" s="23"/>
      <c r="N21" s="247"/>
    </row>
    <row r="22" spans="1:15" x14ac:dyDescent="0.2">
      <c r="B22"/>
      <c r="N22" s="247"/>
    </row>
    <row r="23" spans="1:15" x14ac:dyDescent="0.2">
      <c r="B23"/>
      <c r="N23" s="247"/>
    </row>
    <row r="24" spans="1:15" x14ac:dyDescent="0.2">
      <c r="B24"/>
      <c r="N24" s="247"/>
    </row>
    <row r="25" spans="1:15" x14ac:dyDescent="0.2">
      <c r="B25"/>
      <c r="N25" s="247"/>
    </row>
    <row r="26" spans="1:15" x14ac:dyDescent="0.2">
      <c r="B26"/>
      <c r="N26" s="247"/>
    </row>
    <row r="27" spans="1:15" x14ac:dyDescent="0.2">
      <c r="B27"/>
      <c r="N27" s="247"/>
    </row>
    <row r="28" spans="1:15" x14ac:dyDescent="0.2">
      <c r="B28"/>
      <c r="N28" s="247"/>
    </row>
  </sheetData>
  <mergeCells count="26">
    <mergeCell ref="A12:O12"/>
    <mergeCell ref="A13:A18"/>
    <mergeCell ref="B13:B17"/>
    <mergeCell ref="C13:C17"/>
    <mergeCell ref="K13:K17"/>
    <mergeCell ref="L13:L17"/>
    <mergeCell ref="M13:M17"/>
    <mergeCell ref="N13:N17"/>
    <mergeCell ref="O13:O17"/>
    <mergeCell ref="B18:O18"/>
    <mergeCell ref="A7:O7"/>
    <mergeCell ref="A8:A11"/>
    <mergeCell ref="B8:B10"/>
    <mergeCell ref="C8:C10"/>
    <mergeCell ref="K8:K10"/>
    <mergeCell ref="L8:L10"/>
    <mergeCell ref="M8:M10"/>
    <mergeCell ref="N8:N10"/>
    <mergeCell ref="O8:O10"/>
    <mergeCell ref="B11:O11"/>
    <mergeCell ref="A1:A6"/>
    <mergeCell ref="B1:O1"/>
    <mergeCell ref="B2:O2"/>
    <mergeCell ref="B3:O3"/>
    <mergeCell ref="B4:O4"/>
    <mergeCell ref="B5:O5"/>
  </mergeCells>
  <pageMargins left="0.25" right="0.25" top="0.75" bottom="0.75" header="0.3" footer="0.3"/>
  <pageSetup paperSize="9" scale="72" fitToHeight="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2DEA5B-C533-42B4-85AB-4257E7D1B6CF}">
  <sheetPr>
    <pageSetUpPr fitToPage="1"/>
  </sheetPr>
  <dimension ref="A1:Q57"/>
  <sheetViews>
    <sheetView rightToLeft="1" zoomScale="95" zoomScaleNormal="95" workbookViewId="0">
      <pane ySplit="6" topLeftCell="A49" activePane="bottomLeft" state="frozen"/>
      <selection pane="bottomLeft" activeCell="A57" sqref="A57:XFD57"/>
    </sheetView>
  </sheetViews>
  <sheetFormatPr defaultColWidth="8.75" defaultRowHeight="15" x14ac:dyDescent="0.2"/>
  <cols>
    <col min="1" max="1" width="4.25" customWidth="1"/>
    <col min="2" max="2" width="21.125" style="6" bestFit="1" customWidth="1"/>
    <col min="4" max="4" width="7.25" customWidth="1"/>
    <col min="5" max="5" width="7.75" customWidth="1"/>
    <col min="6" max="6" width="10.25" bestFit="1" customWidth="1"/>
    <col min="7" max="7" width="12.125" style="7" bestFit="1" customWidth="1"/>
    <col min="8" max="8" width="13.625" style="8" bestFit="1" customWidth="1"/>
    <col min="9" max="9" width="16" style="8" bestFit="1" customWidth="1"/>
    <col min="10" max="10" width="9" customWidth="1"/>
    <col min="11" max="11" width="12.875" style="9" customWidth="1"/>
    <col min="12" max="12" width="19.375" style="9" customWidth="1"/>
    <col min="13" max="13" width="15" style="9" customWidth="1"/>
    <col min="14" max="14" width="10.875" style="10" customWidth="1"/>
    <col min="15" max="15" width="13" style="11" customWidth="1"/>
  </cols>
  <sheetData>
    <row r="1" spans="1:17" ht="20.25" x14ac:dyDescent="0.2">
      <c r="A1" s="571"/>
      <c r="B1" s="572" t="s">
        <v>724</v>
      </c>
      <c r="C1" s="572"/>
      <c r="D1" s="572"/>
      <c r="E1" s="572"/>
      <c r="F1" s="572"/>
      <c r="G1" s="572"/>
      <c r="H1" s="572"/>
      <c r="I1" s="572"/>
      <c r="J1" s="572"/>
      <c r="K1" s="572"/>
      <c r="L1" s="572"/>
      <c r="M1" s="572"/>
      <c r="N1" s="572"/>
      <c r="O1" s="572"/>
    </row>
    <row r="2" spans="1:17" ht="14.25" x14ac:dyDescent="0.2">
      <c r="A2" s="571"/>
      <c r="B2" s="573" t="s">
        <v>666</v>
      </c>
      <c r="C2" s="573"/>
      <c r="D2" s="573"/>
      <c r="E2" s="573"/>
      <c r="F2" s="573"/>
      <c r="G2" s="573"/>
      <c r="H2" s="573"/>
      <c r="I2" s="573"/>
      <c r="J2" s="573"/>
      <c r="K2" s="573"/>
      <c r="L2" s="573"/>
      <c r="M2" s="573"/>
      <c r="N2" s="573"/>
      <c r="O2" s="573"/>
    </row>
    <row r="3" spans="1:17" ht="15.75" x14ac:dyDescent="0.2">
      <c r="A3" s="571"/>
      <c r="B3" s="712" t="s">
        <v>324</v>
      </c>
      <c r="C3" s="712"/>
      <c r="D3" s="712"/>
      <c r="E3" s="712"/>
      <c r="F3" s="712"/>
      <c r="G3" s="712"/>
      <c r="H3" s="712"/>
      <c r="I3" s="712"/>
      <c r="J3" s="712"/>
      <c r="K3" s="712"/>
      <c r="L3" s="712"/>
      <c r="M3" s="712"/>
      <c r="N3" s="712"/>
      <c r="O3" s="712"/>
    </row>
    <row r="4" spans="1:17" ht="14.25" x14ac:dyDescent="0.2">
      <c r="A4" s="571"/>
      <c r="B4" s="713" t="s">
        <v>52</v>
      </c>
      <c r="C4" s="713"/>
      <c r="D4" s="713"/>
      <c r="E4" s="713"/>
      <c r="F4" s="713"/>
      <c r="G4" s="713"/>
      <c r="H4" s="713"/>
      <c r="I4" s="713"/>
      <c r="J4" s="713"/>
      <c r="K4" s="713"/>
      <c r="L4" s="713"/>
      <c r="M4" s="713"/>
      <c r="N4" s="713"/>
      <c r="O4" s="713"/>
    </row>
    <row r="5" spans="1:17" ht="14.25" x14ac:dyDescent="0.2">
      <c r="A5" s="571"/>
      <c r="B5" s="713" t="s">
        <v>51</v>
      </c>
      <c r="C5" s="713"/>
      <c r="D5" s="713"/>
      <c r="E5" s="713"/>
      <c r="F5" s="713"/>
      <c r="G5" s="713"/>
      <c r="H5" s="713"/>
      <c r="I5" s="713"/>
      <c r="J5" s="713"/>
      <c r="K5" s="713"/>
      <c r="L5" s="713"/>
      <c r="M5" s="713"/>
      <c r="N5" s="713"/>
      <c r="O5" s="713"/>
    </row>
    <row r="6" spans="1:17" ht="46.5" customHeight="1" x14ac:dyDescent="0.2">
      <c r="A6" s="571"/>
      <c r="B6" s="48" t="s">
        <v>0</v>
      </c>
      <c r="C6" s="220" t="s">
        <v>1</v>
      </c>
      <c r="D6" s="222" t="s">
        <v>2</v>
      </c>
      <c r="E6" s="222" t="s">
        <v>3</v>
      </c>
      <c r="F6" s="222" t="s">
        <v>4</v>
      </c>
      <c r="G6" s="222" t="s">
        <v>5</v>
      </c>
      <c r="H6" s="2" t="s">
        <v>6</v>
      </c>
      <c r="I6" s="3" t="s">
        <v>7</v>
      </c>
      <c r="J6" s="222" t="s">
        <v>8</v>
      </c>
      <c r="K6" s="222" t="s">
        <v>9</v>
      </c>
      <c r="L6" s="222" t="s">
        <v>95</v>
      </c>
      <c r="M6" s="223" t="s">
        <v>729</v>
      </c>
      <c r="N6" s="35" t="s">
        <v>10</v>
      </c>
      <c r="O6" s="222" t="s">
        <v>11</v>
      </c>
    </row>
    <row r="7" spans="1:17" ht="15.75" x14ac:dyDescent="0.2">
      <c r="A7" s="556" t="s">
        <v>668</v>
      </c>
      <c r="B7" s="557"/>
      <c r="C7" s="557"/>
      <c r="D7" s="557"/>
      <c r="E7" s="557"/>
      <c r="F7" s="557"/>
      <c r="G7" s="557"/>
      <c r="H7" s="557"/>
      <c r="I7" s="557"/>
      <c r="J7" s="557"/>
      <c r="K7" s="557"/>
      <c r="L7" s="557"/>
      <c r="M7" s="557"/>
      <c r="N7" s="557"/>
      <c r="O7" s="661"/>
    </row>
    <row r="8" spans="1:17" ht="117" x14ac:dyDescent="0.2">
      <c r="A8" s="720">
        <v>1</v>
      </c>
      <c r="B8" s="40" t="s">
        <v>721</v>
      </c>
      <c r="C8" s="40" t="s">
        <v>33</v>
      </c>
      <c r="D8" s="13" t="s">
        <v>34</v>
      </c>
      <c r="E8" s="14">
        <v>100</v>
      </c>
      <c r="F8" s="15" t="s">
        <v>14</v>
      </c>
      <c r="G8" s="15" t="s">
        <v>14</v>
      </c>
      <c r="H8" s="15">
        <f>61600</f>
        <v>61600</v>
      </c>
      <c r="I8" s="15">
        <f>H8</f>
        <v>61600</v>
      </c>
      <c r="J8" s="13" t="s">
        <v>13</v>
      </c>
      <c r="K8" s="214" t="s">
        <v>116</v>
      </c>
      <c r="L8" s="214" t="s">
        <v>730</v>
      </c>
      <c r="M8" s="57">
        <f>I8*0.88</f>
        <v>54208</v>
      </c>
      <c r="N8" s="216" t="s">
        <v>18</v>
      </c>
      <c r="O8" s="32" t="s">
        <v>99</v>
      </c>
    </row>
    <row r="9" spans="1:17" ht="14.25" x14ac:dyDescent="0.2">
      <c r="A9" s="721"/>
      <c r="B9" s="717" t="s">
        <v>726</v>
      </c>
      <c r="C9" s="718"/>
      <c r="D9" s="718"/>
      <c r="E9" s="718"/>
      <c r="F9" s="718"/>
      <c r="G9" s="718"/>
      <c r="H9" s="718"/>
      <c r="I9" s="718"/>
      <c r="J9" s="718"/>
      <c r="K9" s="718"/>
      <c r="L9" s="718"/>
      <c r="M9" s="718"/>
      <c r="N9" s="718"/>
      <c r="O9" s="719"/>
    </row>
    <row r="10" spans="1:17" s="10" customFormat="1" ht="15.75" x14ac:dyDescent="0.2">
      <c r="A10" s="556" t="s">
        <v>669</v>
      </c>
      <c r="B10" s="557"/>
      <c r="C10" s="557"/>
      <c r="D10" s="557"/>
      <c r="E10" s="557"/>
      <c r="F10" s="557"/>
      <c r="G10" s="557"/>
      <c r="H10" s="557"/>
      <c r="I10" s="557"/>
      <c r="J10" s="557"/>
      <c r="K10" s="557"/>
      <c r="L10" s="557"/>
      <c r="M10" s="557"/>
      <c r="N10" s="557"/>
      <c r="O10" s="661"/>
      <c r="P10"/>
      <c r="Q10"/>
    </row>
    <row r="11" spans="1:17" s="10" customFormat="1" ht="25.5" x14ac:dyDescent="0.2">
      <c r="A11" s="593">
        <v>2</v>
      </c>
      <c r="B11" s="585" t="s">
        <v>667</v>
      </c>
      <c r="C11" s="597" t="s">
        <v>79</v>
      </c>
      <c r="D11" s="13" t="s">
        <v>670</v>
      </c>
      <c r="E11" s="14">
        <v>91</v>
      </c>
      <c r="F11" s="15" t="s">
        <v>73</v>
      </c>
      <c r="G11" s="15" t="s">
        <v>671</v>
      </c>
      <c r="H11" s="15">
        <f>350*117/100*0.9</f>
        <v>368.55</v>
      </c>
      <c r="I11" s="15">
        <f>H11*240</f>
        <v>88452</v>
      </c>
      <c r="J11" s="13" t="s">
        <v>13</v>
      </c>
      <c r="K11" s="714" t="s">
        <v>15</v>
      </c>
      <c r="L11" s="714" t="s">
        <v>97</v>
      </c>
      <c r="M11" s="657">
        <f>I11</f>
        <v>88452</v>
      </c>
      <c r="N11" s="659" t="s">
        <v>18</v>
      </c>
      <c r="O11" s="671"/>
      <c r="P11"/>
      <c r="Q11"/>
    </row>
    <row r="12" spans="1:17" ht="25.5" x14ac:dyDescent="0.2">
      <c r="A12" s="594"/>
      <c r="B12" s="586"/>
      <c r="C12" s="598"/>
      <c r="D12" s="221" t="s">
        <v>706</v>
      </c>
      <c r="E12" s="38">
        <v>83</v>
      </c>
      <c r="F12" s="5" t="s">
        <v>73</v>
      </c>
      <c r="G12" s="5" t="s">
        <v>671</v>
      </c>
      <c r="H12" s="34">
        <f>350*117/100*0.98</f>
        <v>401.31</v>
      </c>
      <c r="I12" s="34">
        <f>H12*240</f>
        <v>96314.4</v>
      </c>
      <c r="J12" s="221" t="s">
        <v>13</v>
      </c>
      <c r="K12" s="715"/>
      <c r="L12" s="715"/>
      <c r="M12" s="673"/>
      <c r="N12" s="674"/>
      <c r="O12" s="672"/>
    </row>
    <row r="13" spans="1:17" s="10" customFormat="1" ht="51" x14ac:dyDescent="0.2">
      <c r="A13" s="594"/>
      <c r="B13" s="586"/>
      <c r="C13" s="598"/>
      <c r="D13" s="221" t="s">
        <v>707</v>
      </c>
      <c r="E13" s="38">
        <v>82</v>
      </c>
      <c r="F13" s="5" t="s">
        <v>73</v>
      </c>
      <c r="G13" s="5" t="s">
        <v>671</v>
      </c>
      <c r="H13" s="34">
        <f>350*117/100*0.8</f>
        <v>327.60000000000002</v>
      </c>
      <c r="I13" s="34">
        <f t="shared" ref="I13:I14" si="0">H13*240</f>
        <v>78624</v>
      </c>
      <c r="J13" s="221" t="s">
        <v>13</v>
      </c>
      <c r="K13" s="715"/>
      <c r="L13" s="715"/>
      <c r="M13" s="673"/>
      <c r="N13" s="674"/>
      <c r="O13" s="672"/>
      <c r="P13"/>
      <c r="Q13"/>
    </row>
    <row r="14" spans="1:17" s="10" customFormat="1" ht="51" x14ac:dyDescent="0.2">
      <c r="A14" s="594"/>
      <c r="B14" s="586"/>
      <c r="C14" s="598"/>
      <c r="D14" s="221" t="s">
        <v>708</v>
      </c>
      <c r="E14" s="38">
        <v>76</v>
      </c>
      <c r="F14" s="5" t="s">
        <v>73</v>
      </c>
      <c r="G14" s="5" t="s">
        <v>671</v>
      </c>
      <c r="H14" s="34">
        <f>350*117/100*0.88</f>
        <v>360.36</v>
      </c>
      <c r="I14" s="34">
        <f t="shared" si="0"/>
        <v>86486.400000000009</v>
      </c>
      <c r="J14" s="221" t="s">
        <v>13</v>
      </c>
      <c r="K14" s="715"/>
      <c r="L14" s="715"/>
      <c r="M14" s="673"/>
      <c r="N14" s="674"/>
      <c r="O14" s="672"/>
      <c r="P14"/>
      <c r="Q14"/>
    </row>
    <row r="15" spans="1:17" ht="14.25" x14ac:dyDescent="0.2">
      <c r="A15" s="595"/>
      <c r="B15" s="717"/>
      <c r="C15" s="718"/>
      <c r="D15" s="718"/>
      <c r="E15" s="718"/>
      <c r="F15" s="718"/>
      <c r="G15" s="718"/>
      <c r="H15" s="718"/>
      <c r="I15" s="718"/>
      <c r="J15" s="718"/>
      <c r="K15" s="718"/>
      <c r="L15" s="718"/>
      <c r="M15" s="718"/>
      <c r="N15" s="718"/>
      <c r="O15" s="719"/>
    </row>
    <row r="16" spans="1:17" ht="15.75" x14ac:dyDescent="0.2">
      <c r="A16" s="556" t="s">
        <v>672</v>
      </c>
      <c r="B16" s="557"/>
      <c r="C16" s="557"/>
      <c r="D16" s="557"/>
      <c r="E16" s="557"/>
      <c r="F16" s="557"/>
      <c r="G16" s="557"/>
      <c r="H16" s="557"/>
      <c r="I16" s="557"/>
      <c r="J16" s="557"/>
      <c r="K16" s="557"/>
      <c r="L16" s="557"/>
      <c r="M16" s="557"/>
      <c r="N16" s="557"/>
      <c r="O16" s="661"/>
    </row>
    <row r="17" spans="1:17" ht="25.5" x14ac:dyDescent="0.2">
      <c r="A17" s="593">
        <v>3</v>
      </c>
      <c r="B17" s="585" t="s">
        <v>689</v>
      </c>
      <c r="C17" s="597" t="s">
        <v>89</v>
      </c>
      <c r="D17" s="13" t="s">
        <v>50</v>
      </c>
      <c r="E17" s="14">
        <v>100</v>
      </c>
      <c r="F17" s="15" t="s">
        <v>14</v>
      </c>
      <c r="G17" s="15" t="s">
        <v>14</v>
      </c>
      <c r="H17" s="15">
        <f>11880*117/100</f>
        <v>13899.6</v>
      </c>
      <c r="I17" s="15">
        <f>H17</f>
        <v>13899.6</v>
      </c>
      <c r="J17" s="13" t="s">
        <v>13</v>
      </c>
      <c r="K17" s="714" t="s">
        <v>15</v>
      </c>
      <c r="L17" s="714" t="s">
        <v>97</v>
      </c>
      <c r="M17" s="657">
        <f>I17</f>
        <v>13899.6</v>
      </c>
      <c r="N17" s="659"/>
      <c r="O17" s="671">
        <v>246017</v>
      </c>
    </row>
    <row r="18" spans="1:17" ht="21" customHeight="1" x14ac:dyDescent="0.2">
      <c r="A18" s="594"/>
      <c r="B18" s="586"/>
      <c r="C18" s="598"/>
      <c r="D18" s="49" t="s">
        <v>691</v>
      </c>
      <c r="E18" s="4">
        <v>38</v>
      </c>
      <c r="F18" s="5" t="s">
        <v>14</v>
      </c>
      <c r="G18" s="5" t="s">
        <v>14</v>
      </c>
      <c r="H18" s="5">
        <f>100000*117/100</f>
        <v>117000</v>
      </c>
      <c r="I18" s="5">
        <f>H18</f>
        <v>117000</v>
      </c>
      <c r="J18" s="49" t="s">
        <v>13</v>
      </c>
      <c r="K18" s="715"/>
      <c r="L18" s="715"/>
      <c r="M18" s="673"/>
      <c r="N18" s="674"/>
      <c r="O18" s="672"/>
    </row>
    <row r="19" spans="1:17" ht="25.5" x14ac:dyDescent="0.2">
      <c r="A19" s="594"/>
      <c r="B19" s="586"/>
      <c r="C19" s="598"/>
      <c r="D19" s="49" t="s">
        <v>692</v>
      </c>
      <c r="E19" s="4">
        <v>39</v>
      </c>
      <c r="F19" s="5" t="s">
        <v>14</v>
      </c>
      <c r="G19" s="5" t="s">
        <v>14</v>
      </c>
      <c r="H19" s="5">
        <f>95000*117/100</f>
        <v>111150</v>
      </c>
      <c r="I19" s="5">
        <f>H19</f>
        <v>111150</v>
      </c>
      <c r="J19" s="49" t="s">
        <v>13</v>
      </c>
      <c r="K19" s="715"/>
      <c r="L19" s="715"/>
      <c r="M19" s="673"/>
      <c r="N19" s="674"/>
      <c r="O19" s="672"/>
    </row>
    <row r="20" spans="1:17" ht="28.9" customHeight="1" x14ac:dyDescent="0.2">
      <c r="A20" s="594"/>
      <c r="B20" s="586"/>
      <c r="C20" s="598"/>
      <c r="D20" s="221" t="s">
        <v>138</v>
      </c>
      <c r="E20" s="38">
        <v>34</v>
      </c>
      <c r="F20" s="34" t="s">
        <v>14</v>
      </c>
      <c r="G20" s="34" t="s">
        <v>14</v>
      </c>
      <c r="H20" s="34">
        <f>200000*117/100</f>
        <v>234000</v>
      </c>
      <c r="I20" s="34">
        <f>H20</f>
        <v>234000</v>
      </c>
      <c r="J20" s="221" t="s">
        <v>13</v>
      </c>
      <c r="K20" s="715"/>
      <c r="L20" s="715"/>
      <c r="M20" s="673"/>
      <c r="N20" s="674"/>
      <c r="O20" s="672"/>
    </row>
    <row r="21" spans="1:17" ht="13.9" customHeight="1" x14ac:dyDescent="0.2">
      <c r="A21" s="595"/>
      <c r="B21" s="717"/>
      <c r="C21" s="718"/>
      <c r="D21" s="718"/>
      <c r="E21" s="718"/>
      <c r="F21" s="718"/>
      <c r="G21" s="718"/>
      <c r="H21" s="718"/>
      <c r="I21" s="718"/>
      <c r="J21" s="718"/>
      <c r="K21" s="718"/>
      <c r="L21" s="718"/>
      <c r="M21" s="718"/>
      <c r="N21" s="718"/>
      <c r="O21" s="719"/>
    </row>
    <row r="22" spans="1:17" ht="15.75" x14ac:dyDescent="0.2">
      <c r="A22" s="556" t="s">
        <v>681</v>
      </c>
      <c r="B22" s="557"/>
      <c r="C22" s="557"/>
      <c r="D22" s="557"/>
      <c r="E22" s="557"/>
      <c r="F22" s="557"/>
      <c r="G22" s="557"/>
      <c r="H22" s="557"/>
      <c r="I22" s="557"/>
      <c r="J22" s="557"/>
      <c r="K22" s="557"/>
      <c r="L22" s="557"/>
      <c r="M22" s="557"/>
      <c r="N22" s="557"/>
      <c r="O22" s="661"/>
    </row>
    <row r="23" spans="1:17" ht="25.5" x14ac:dyDescent="0.2">
      <c r="A23" s="593">
        <v>4</v>
      </c>
      <c r="B23" s="585" t="s">
        <v>673</v>
      </c>
      <c r="C23" s="597" t="s">
        <v>175</v>
      </c>
      <c r="D23" s="224" t="s">
        <v>528</v>
      </c>
      <c r="E23" s="225">
        <v>100</v>
      </c>
      <c r="F23" s="226" t="s">
        <v>14</v>
      </c>
      <c r="G23" s="226" t="s">
        <v>14</v>
      </c>
      <c r="H23" s="226">
        <f>27157*117/100</f>
        <v>31773.69</v>
      </c>
      <c r="I23" s="226">
        <f>H23</f>
        <v>31773.69</v>
      </c>
      <c r="J23" s="224" t="s">
        <v>13</v>
      </c>
      <c r="K23" s="714" t="s">
        <v>722</v>
      </c>
      <c r="L23" s="714"/>
      <c r="M23" s="657"/>
      <c r="N23" s="659"/>
      <c r="O23" s="671">
        <v>2440142951</v>
      </c>
    </row>
    <row r="24" spans="1:17" ht="38.25" x14ac:dyDescent="0.2">
      <c r="A24" s="594"/>
      <c r="B24" s="586"/>
      <c r="C24" s="598"/>
      <c r="D24" s="221" t="s">
        <v>674</v>
      </c>
      <c r="E24" s="38">
        <v>91</v>
      </c>
      <c r="F24" s="34" t="s">
        <v>14</v>
      </c>
      <c r="G24" s="34" t="s">
        <v>14</v>
      </c>
      <c r="H24" s="34">
        <f>29744*117/100</f>
        <v>34800.480000000003</v>
      </c>
      <c r="I24" s="34">
        <f>H24</f>
        <v>34800.480000000003</v>
      </c>
      <c r="J24" s="221" t="s">
        <v>13</v>
      </c>
      <c r="K24" s="715"/>
      <c r="L24" s="715"/>
      <c r="M24" s="673"/>
      <c r="N24" s="674"/>
      <c r="O24" s="672"/>
    </row>
    <row r="25" spans="1:17" ht="14.25" x14ac:dyDescent="0.2">
      <c r="A25" s="595"/>
      <c r="B25" s="717" t="s">
        <v>688</v>
      </c>
      <c r="C25" s="718"/>
      <c r="D25" s="718"/>
      <c r="E25" s="718"/>
      <c r="F25" s="718"/>
      <c r="G25" s="718"/>
      <c r="H25" s="718"/>
      <c r="I25" s="718"/>
      <c r="J25" s="718"/>
      <c r="K25" s="718"/>
      <c r="L25" s="718"/>
      <c r="M25" s="718"/>
      <c r="N25" s="718"/>
      <c r="O25" s="719"/>
    </row>
    <row r="26" spans="1:17" ht="15.75" x14ac:dyDescent="0.2">
      <c r="A26" s="556" t="s">
        <v>682</v>
      </c>
      <c r="B26" s="557"/>
      <c r="C26" s="557"/>
      <c r="D26" s="557"/>
      <c r="E26" s="557"/>
      <c r="F26" s="557"/>
      <c r="G26" s="557"/>
      <c r="H26" s="557"/>
      <c r="I26" s="557"/>
      <c r="J26" s="557"/>
      <c r="K26" s="557"/>
      <c r="L26" s="557"/>
      <c r="M26" s="557"/>
      <c r="N26" s="557"/>
      <c r="O26" s="661"/>
    </row>
    <row r="27" spans="1:17" ht="48" x14ac:dyDescent="0.2">
      <c r="A27" s="720">
        <v>5</v>
      </c>
      <c r="B27" s="219" t="s">
        <v>133</v>
      </c>
      <c r="C27" s="213" t="s">
        <v>175</v>
      </c>
      <c r="D27" s="26" t="s">
        <v>675</v>
      </c>
      <c r="E27" s="27">
        <v>60</v>
      </c>
      <c r="F27" s="28" t="s">
        <v>14</v>
      </c>
      <c r="G27" s="28" t="s">
        <v>14</v>
      </c>
      <c r="H27" s="28">
        <f>14000*117/100</f>
        <v>16380</v>
      </c>
      <c r="I27" s="28">
        <f>H27</f>
        <v>16380</v>
      </c>
      <c r="J27" s="26" t="s">
        <v>13</v>
      </c>
      <c r="K27" s="236" t="s">
        <v>116</v>
      </c>
      <c r="L27" s="236" t="s">
        <v>594</v>
      </c>
      <c r="M27" s="57">
        <f>I27*0.88</f>
        <v>14414.4</v>
      </c>
      <c r="N27" s="216" t="s">
        <v>18</v>
      </c>
      <c r="O27" s="58" t="s">
        <v>676</v>
      </c>
    </row>
    <row r="28" spans="1:17" ht="14.25" x14ac:dyDescent="0.2">
      <c r="A28" s="721"/>
      <c r="B28" s="717" t="s">
        <v>677</v>
      </c>
      <c r="C28" s="718"/>
      <c r="D28" s="718"/>
      <c r="E28" s="718"/>
      <c r="F28" s="718"/>
      <c r="G28" s="718"/>
      <c r="H28" s="718"/>
      <c r="I28" s="718"/>
      <c r="J28" s="718"/>
      <c r="K28" s="718"/>
      <c r="L28" s="718"/>
      <c r="M28" s="718"/>
      <c r="N28" s="718"/>
      <c r="O28" s="719"/>
    </row>
    <row r="29" spans="1:17" ht="15.75" x14ac:dyDescent="0.2">
      <c r="A29" s="556" t="s">
        <v>680</v>
      </c>
      <c r="B29" s="557"/>
      <c r="C29" s="557"/>
      <c r="D29" s="557"/>
      <c r="E29" s="557"/>
      <c r="F29" s="557"/>
      <c r="G29" s="557"/>
      <c r="H29" s="557"/>
      <c r="I29" s="557"/>
      <c r="J29" s="557"/>
      <c r="K29" s="557"/>
      <c r="L29" s="557"/>
      <c r="M29" s="557"/>
      <c r="N29" s="557"/>
      <c r="O29" s="661"/>
    </row>
    <row r="30" spans="1:17" ht="89.25" x14ac:dyDescent="0.2">
      <c r="A30" s="593">
        <v>6</v>
      </c>
      <c r="B30" s="212" t="s">
        <v>678</v>
      </c>
      <c r="C30" s="227" t="s">
        <v>175</v>
      </c>
      <c r="D30" s="237" t="s">
        <v>679</v>
      </c>
      <c r="E30" s="238">
        <v>100</v>
      </c>
      <c r="F30" s="15" t="s">
        <v>14</v>
      </c>
      <c r="G30" s="15" t="s">
        <v>14</v>
      </c>
      <c r="H30" s="15">
        <f>25000*117/100</f>
        <v>29250</v>
      </c>
      <c r="I30" s="15">
        <f>H30</f>
        <v>29250</v>
      </c>
      <c r="J30" s="13" t="s">
        <v>13</v>
      </c>
      <c r="K30" s="236" t="s">
        <v>116</v>
      </c>
      <c r="L30" s="236" t="s">
        <v>732</v>
      </c>
      <c r="M30" s="215">
        <f>I30*0.88</f>
        <v>25740</v>
      </c>
      <c r="N30" s="217" t="s">
        <v>18</v>
      </c>
      <c r="O30" s="218">
        <v>44013</v>
      </c>
      <c r="P30" s="10"/>
      <c r="Q30" s="11"/>
    </row>
    <row r="31" spans="1:17" x14ac:dyDescent="0.2">
      <c r="A31" s="595"/>
      <c r="B31" s="581" t="s">
        <v>683</v>
      </c>
      <c r="C31" s="582"/>
      <c r="D31" s="582"/>
      <c r="E31" s="582"/>
      <c r="F31" s="582"/>
      <c r="G31" s="582"/>
      <c r="H31" s="582"/>
      <c r="I31" s="582"/>
      <c r="J31" s="582"/>
      <c r="K31" s="582"/>
      <c r="L31" s="582"/>
      <c r="M31" s="582"/>
      <c r="N31" s="582"/>
      <c r="O31" s="583"/>
      <c r="P31" s="10"/>
      <c r="Q31" s="11"/>
    </row>
    <row r="32" spans="1:17" ht="15.75" x14ac:dyDescent="0.2">
      <c r="A32" s="556" t="s">
        <v>686</v>
      </c>
      <c r="B32" s="557"/>
      <c r="C32" s="557"/>
      <c r="D32" s="557"/>
      <c r="E32" s="557"/>
      <c r="F32" s="557"/>
      <c r="G32" s="557"/>
      <c r="H32" s="557"/>
      <c r="I32" s="557"/>
      <c r="J32" s="557"/>
      <c r="K32" s="557"/>
      <c r="L32" s="557"/>
      <c r="M32" s="557"/>
      <c r="N32" s="557"/>
      <c r="O32" s="661"/>
    </row>
    <row r="33" spans="1:15" ht="48" x14ac:dyDescent="0.2">
      <c r="A33" s="720">
        <v>7</v>
      </c>
      <c r="B33" s="219" t="s">
        <v>173</v>
      </c>
      <c r="C33" s="213" t="s">
        <v>175</v>
      </c>
      <c r="D33" s="16" t="s">
        <v>174</v>
      </c>
      <c r="E33" s="14">
        <v>100</v>
      </c>
      <c r="F33" s="15" t="s">
        <v>12</v>
      </c>
      <c r="G33" s="18" t="s">
        <v>177</v>
      </c>
      <c r="H33" s="18">
        <f>192*117/100</f>
        <v>224.64</v>
      </c>
      <c r="I33" s="18">
        <f>H33*30*12</f>
        <v>80870.399999999994</v>
      </c>
      <c r="J33" s="13" t="s">
        <v>13</v>
      </c>
      <c r="K33" s="214" t="s">
        <v>116</v>
      </c>
      <c r="L33" s="214" t="s">
        <v>97</v>
      </c>
      <c r="M33" s="57">
        <f>I33</f>
        <v>80870.399999999994</v>
      </c>
      <c r="N33" s="216" t="s">
        <v>18</v>
      </c>
      <c r="O33" s="58"/>
    </row>
    <row r="34" spans="1:15" ht="14.25" x14ac:dyDescent="0.2">
      <c r="A34" s="721"/>
      <c r="B34" s="717" t="s">
        <v>687</v>
      </c>
      <c r="C34" s="718"/>
      <c r="D34" s="718"/>
      <c r="E34" s="718"/>
      <c r="F34" s="718"/>
      <c r="G34" s="718"/>
      <c r="H34" s="718"/>
      <c r="I34" s="718"/>
      <c r="J34" s="718"/>
      <c r="K34" s="718"/>
      <c r="L34" s="718"/>
      <c r="M34" s="718"/>
      <c r="N34" s="718"/>
      <c r="O34" s="719"/>
    </row>
    <row r="35" spans="1:15" ht="15.75" x14ac:dyDescent="0.2">
      <c r="A35" s="556" t="s">
        <v>690</v>
      </c>
      <c r="B35" s="557"/>
      <c r="C35" s="557"/>
      <c r="D35" s="557"/>
      <c r="E35" s="557"/>
      <c r="F35" s="557"/>
      <c r="G35" s="557"/>
      <c r="H35" s="557"/>
      <c r="I35" s="557"/>
      <c r="J35" s="557"/>
      <c r="K35" s="557"/>
      <c r="L35" s="557"/>
      <c r="M35" s="557"/>
      <c r="N35" s="557"/>
      <c r="O35" s="661"/>
    </row>
    <row r="36" spans="1:15" ht="71.25" x14ac:dyDescent="0.2">
      <c r="A36" s="593">
        <v>8</v>
      </c>
      <c r="B36" s="585" t="s">
        <v>694</v>
      </c>
      <c r="C36" s="597" t="s">
        <v>175</v>
      </c>
      <c r="D36" s="81" t="s">
        <v>695</v>
      </c>
      <c r="E36" s="82">
        <v>94</v>
      </c>
      <c r="F36" s="83" t="s">
        <v>14</v>
      </c>
      <c r="G36" s="83" t="s">
        <v>14</v>
      </c>
      <c r="H36" s="83">
        <f>66450*117/100</f>
        <v>77746.5</v>
      </c>
      <c r="I36" s="83">
        <f>H36</f>
        <v>77746.5</v>
      </c>
      <c r="J36" s="81" t="s">
        <v>13</v>
      </c>
      <c r="K36" s="714" t="s">
        <v>314</v>
      </c>
      <c r="L36" s="714" t="s">
        <v>735</v>
      </c>
      <c r="M36" s="657"/>
      <c r="N36" s="659"/>
      <c r="O36" s="671"/>
    </row>
    <row r="37" spans="1:15" ht="15" customHeight="1" x14ac:dyDescent="0.2">
      <c r="A37" s="594"/>
      <c r="B37" s="586"/>
      <c r="C37" s="598"/>
      <c r="D37" s="49" t="s">
        <v>696</v>
      </c>
      <c r="E37" s="4">
        <v>77</v>
      </c>
      <c r="F37" s="5" t="s">
        <v>14</v>
      </c>
      <c r="G37" s="5" t="s">
        <v>14</v>
      </c>
      <c r="H37" s="5">
        <f>98700*117/100</f>
        <v>115479</v>
      </c>
      <c r="I37" s="5">
        <f>H37</f>
        <v>115479</v>
      </c>
      <c r="J37" s="49" t="s">
        <v>13</v>
      </c>
      <c r="K37" s="716"/>
      <c r="L37" s="715"/>
      <c r="M37" s="673"/>
      <c r="N37" s="674"/>
      <c r="O37" s="672"/>
    </row>
    <row r="38" spans="1:15" ht="13.9" customHeight="1" x14ac:dyDescent="0.2">
      <c r="A38" s="595"/>
      <c r="B38" s="717"/>
      <c r="C38" s="718"/>
      <c r="D38" s="718"/>
      <c r="E38" s="718"/>
      <c r="F38" s="718"/>
      <c r="G38" s="718"/>
      <c r="H38" s="718"/>
      <c r="I38" s="718"/>
      <c r="J38" s="718"/>
      <c r="K38" s="718"/>
      <c r="L38" s="718"/>
      <c r="M38" s="718"/>
      <c r="N38" s="718"/>
      <c r="O38" s="719"/>
    </row>
    <row r="39" spans="1:15" ht="15.75" x14ac:dyDescent="0.2">
      <c r="A39" s="556" t="s">
        <v>693</v>
      </c>
      <c r="B39" s="557"/>
      <c r="C39" s="557"/>
      <c r="D39" s="557"/>
      <c r="E39" s="557"/>
      <c r="F39" s="557"/>
      <c r="G39" s="557"/>
      <c r="H39" s="557"/>
      <c r="I39" s="557"/>
      <c r="J39" s="557"/>
      <c r="K39" s="557"/>
      <c r="L39" s="557"/>
      <c r="M39" s="557"/>
      <c r="N39" s="557"/>
      <c r="O39" s="661"/>
    </row>
    <row r="40" spans="1:15" ht="48" x14ac:dyDescent="0.2">
      <c r="A40" s="720">
        <v>9</v>
      </c>
      <c r="B40" s="230" t="s">
        <v>697</v>
      </c>
      <c r="C40" s="227" t="s">
        <v>175</v>
      </c>
      <c r="D40" s="16" t="s">
        <v>698</v>
      </c>
      <c r="E40" s="14">
        <v>100</v>
      </c>
      <c r="F40" s="15" t="s">
        <v>12</v>
      </c>
      <c r="G40" s="18" t="s">
        <v>699</v>
      </c>
      <c r="H40" s="18">
        <f>240*117/100</f>
        <v>280.8</v>
      </c>
      <c r="I40" s="18">
        <f>H40*30*7</f>
        <v>58968</v>
      </c>
      <c r="J40" s="13" t="s">
        <v>13</v>
      </c>
      <c r="K40" s="236" t="s">
        <v>116</v>
      </c>
      <c r="L40" s="236" t="s">
        <v>97</v>
      </c>
      <c r="M40" s="57">
        <f>I40</f>
        <v>58968</v>
      </c>
      <c r="N40" s="229" t="s">
        <v>18</v>
      </c>
      <c r="O40" s="58"/>
    </row>
    <row r="41" spans="1:15" ht="14.25" x14ac:dyDescent="0.2">
      <c r="A41" s="721"/>
      <c r="B41" s="717" t="s">
        <v>700</v>
      </c>
      <c r="C41" s="718"/>
      <c r="D41" s="718"/>
      <c r="E41" s="718"/>
      <c r="F41" s="718"/>
      <c r="G41" s="718"/>
      <c r="H41" s="718"/>
      <c r="I41" s="718"/>
      <c r="J41" s="718"/>
      <c r="K41" s="718"/>
      <c r="L41" s="718"/>
      <c r="M41" s="718"/>
      <c r="N41" s="718"/>
      <c r="O41" s="719"/>
    </row>
    <row r="42" spans="1:15" ht="15.75" x14ac:dyDescent="0.2">
      <c r="A42" s="556" t="s">
        <v>701</v>
      </c>
      <c r="B42" s="557"/>
      <c r="C42" s="557"/>
      <c r="D42" s="557"/>
      <c r="E42" s="557"/>
      <c r="F42" s="557"/>
      <c r="G42" s="557"/>
      <c r="H42" s="557"/>
      <c r="I42" s="557"/>
      <c r="J42" s="557"/>
      <c r="K42" s="557"/>
      <c r="L42" s="557"/>
      <c r="M42" s="557"/>
      <c r="N42" s="557"/>
      <c r="O42" s="661"/>
    </row>
    <row r="43" spans="1:15" ht="48" x14ac:dyDescent="0.2">
      <c r="A43" s="720">
        <v>10</v>
      </c>
      <c r="B43" s="234" t="s">
        <v>718</v>
      </c>
      <c r="C43" s="231" t="s">
        <v>175</v>
      </c>
      <c r="D43" s="172" t="s">
        <v>719</v>
      </c>
      <c r="E43" s="173">
        <v>100</v>
      </c>
      <c r="F43" s="174" t="s">
        <v>14</v>
      </c>
      <c r="G43" s="174" t="s">
        <v>14</v>
      </c>
      <c r="H43" s="174">
        <f>72680*117/100</f>
        <v>85035.6</v>
      </c>
      <c r="I43" s="174">
        <f>H43</f>
        <v>85035.6</v>
      </c>
      <c r="J43" s="172" t="s">
        <v>13</v>
      </c>
      <c r="K43" s="232" t="s">
        <v>722</v>
      </c>
      <c r="L43" s="232"/>
      <c r="M43" s="57"/>
      <c r="N43" s="233" t="s">
        <v>18</v>
      </c>
      <c r="O43" s="58"/>
    </row>
    <row r="44" spans="1:15" ht="14.25" x14ac:dyDescent="0.2">
      <c r="A44" s="721"/>
      <c r="B44" s="717" t="s">
        <v>720</v>
      </c>
      <c r="C44" s="718"/>
      <c r="D44" s="718"/>
      <c r="E44" s="718"/>
      <c r="F44" s="718"/>
      <c r="G44" s="718"/>
      <c r="H44" s="718"/>
      <c r="I44" s="718"/>
      <c r="J44" s="718"/>
      <c r="K44" s="718"/>
      <c r="L44" s="718"/>
      <c r="M44" s="718"/>
      <c r="N44" s="718"/>
      <c r="O44" s="719"/>
    </row>
    <row r="45" spans="1:15" ht="15.75" x14ac:dyDescent="0.2">
      <c r="A45" s="556" t="s">
        <v>702</v>
      </c>
      <c r="B45" s="557"/>
      <c r="C45" s="557"/>
      <c r="D45" s="557"/>
      <c r="E45" s="557"/>
      <c r="F45" s="557"/>
      <c r="G45" s="557"/>
      <c r="H45" s="557"/>
      <c r="I45" s="557"/>
      <c r="J45" s="557"/>
      <c r="K45" s="557"/>
      <c r="L45" s="557"/>
      <c r="M45" s="557"/>
      <c r="N45" s="557"/>
      <c r="O45" s="661"/>
    </row>
    <row r="46" spans="1:15" ht="48" x14ac:dyDescent="0.2">
      <c r="A46" s="720">
        <v>11</v>
      </c>
      <c r="B46" s="219" t="s">
        <v>649</v>
      </c>
      <c r="C46" s="213" t="s">
        <v>175</v>
      </c>
      <c r="D46" s="31" t="s">
        <v>16</v>
      </c>
      <c r="E46" s="29">
        <v>100</v>
      </c>
      <c r="F46" s="30" t="s">
        <v>12</v>
      </c>
      <c r="G46" s="30" t="s">
        <v>684</v>
      </c>
      <c r="H46" s="30">
        <f>200*117/100*0.9</f>
        <v>210.6</v>
      </c>
      <c r="I46" s="30">
        <f>H46*100*3</f>
        <v>63180</v>
      </c>
      <c r="J46" s="31" t="s">
        <v>13</v>
      </c>
      <c r="K46" s="236" t="s">
        <v>116</v>
      </c>
      <c r="L46" s="236" t="s">
        <v>725</v>
      </c>
      <c r="M46" s="57">
        <f>I46</f>
        <v>63180</v>
      </c>
      <c r="N46" s="216" t="s">
        <v>18</v>
      </c>
      <c r="O46" s="58">
        <v>44014</v>
      </c>
    </row>
    <row r="47" spans="1:15" ht="14.25" x14ac:dyDescent="0.2">
      <c r="A47" s="721"/>
      <c r="B47" s="717" t="s">
        <v>685</v>
      </c>
      <c r="C47" s="718"/>
      <c r="D47" s="718"/>
      <c r="E47" s="718"/>
      <c r="F47" s="718"/>
      <c r="G47" s="718"/>
      <c r="H47" s="718"/>
      <c r="I47" s="718"/>
      <c r="J47" s="718"/>
      <c r="K47" s="718"/>
      <c r="L47" s="718"/>
      <c r="M47" s="718"/>
      <c r="N47" s="718"/>
      <c r="O47" s="719"/>
    </row>
    <row r="48" spans="1:15" ht="15.75" x14ac:dyDescent="0.2">
      <c r="A48" s="556" t="s">
        <v>710</v>
      </c>
      <c r="B48" s="557"/>
      <c r="C48" s="557"/>
      <c r="D48" s="557"/>
      <c r="E48" s="557"/>
      <c r="F48" s="557"/>
      <c r="G48" s="557"/>
      <c r="H48" s="557"/>
      <c r="I48" s="557"/>
      <c r="J48" s="557"/>
      <c r="K48" s="557"/>
      <c r="L48" s="557"/>
      <c r="M48" s="557"/>
      <c r="N48" s="557"/>
      <c r="O48" s="661"/>
    </row>
    <row r="49" spans="1:15" ht="63.75" x14ac:dyDescent="0.2">
      <c r="A49" s="720">
        <v>12</v>
      </c>
      <c r="B49" s="230" t="s">
        <v>634</v>
      </c>
      <c r="C49" s="227" t="s">
        <v>29</v>
      </c>
      <c r="D49" s="31" t="s">
        <v>703</v>
      </c>
      <c r="E49" s="29">
        <v>100</v>
      </c>
      <c r="F49" s="30" t="s">
        <v>12</v>
      </c>
      <c r="G49" s="30" t="s">
        <v>723</v>
      </c>
      <c r="H49" s="30">
        <f>170*117/100</f>
        <v>198.9</v>
      </c>
      <c r="I49" s="30">
        <f>H49*85*6</f>
        <v>101439</v>
      </c>
      <c r="J49" s="31" t="s">
        <v>13</v>
      </c>
      <c r="K49" s="228" t="s">
        <v>27</v>
      </c>
      <c r="L49" s="228" t="s">
        <v>727</v>
      </c>
      <c r="M49" s="57">
        <f>H49*250</f>
        <v>49725</v>
      </c>
      <c r="N49" s="229" t="s">
        <v>18</v>
      </c>
      <c r="O49" s="58" t="s">
        <v>705</v>
      </c>
    </row>
    <row r="50" spans="1:15" ht="14.25" x14ac:dyDescent="0.2">
      <c r="A50" s="721"/>
      <c r="B50" s="717" t="s">
        <v>704</v>
      </c>
      <c r="C50" s="718"/>
      <c r="D50" s="718"/>
      <c r="E50" s="718"/>
      <c r="F50" s="718"/>
      <c r="G50" s="718"/>
      <c r="H50" s="718"/>
      <c r="I50" s="718"/>
      <c r="J50" s="718"/>
      <c r="K50" s="718"/>
      <c r="L50" s="718"/>
      <c r="M50" s="718"/>
      <c r="N50" s="718"/>
      <c r="O50" s="719"/>
    </row>
    <row r="51" spans="1:15" ht="15.75" x14ac:dyDescent="0.2">
      <c r="A51" s="556" t="s">
        <v>716</v>
      </c>
      <c r="B51" s="557"/>
      <c r="C51" s="557"/>
      <c r="D51" s="557"/>
      <c r="E51" s="557"/>
      <c r="F51" s="557"/>
      <c r="G51" s="557"/>
      <c r="H51" s="557"/>
      <c r="I51" s="557"/>
      <c r="J51" s="557"/>
      <c r="K51" s="557"/>
      <c r="L51" s="557"/>
      <c r="M51" s="557"/>
      <c r="N51" s="557"/>
      <c r="O51" s="661"/>
    </row>
    <row r="52" spans="1:15" ht="52.9" customHeight="1" x14ac:dyDescent="0.2">
      <c r="A52" s="720">
        <v>13</v>
      </c>
      <c r="B52" s="723" t="s">
        <v>711</v>
      </c>
      <c r="C52" s="666" t="s">
        <v>88</v>
      </c>
      <c r="D52" s="724" t="s">
        <v>712</v>
      </c>
      <c r="E52" s="725">
        <v>100</v>
      </c>
      <c r="F52" s="30" t="s">
        <v>713</v>
      </c>
      <c r="G52" s="30" t="s">
        <v>714</v>
      </c>
      <c r="H52" s="30">
        <f>2800*117/100</f>
        <v>3276</v>
      </c>
      <c r="I52" s="726">
        <f>H52*4+H53*10</f>
        <v>18018</v>
      </c>
      <c r="J52" s="724" t="s">
        <v>13</v>
      </c>
      <c r="K52" s="727" t="s">
        <v>27</v>
      </c>
      <c r="L52" s="727" t="s">
        <v>728</v>
      </c>
      <c r="M52" s="728">
        <f>H52*4+350*1.17*10</f>
        <v>17199</v>
      </c>
      <c r="N52" s="729" t="s">
        <v>18</v>
      </c>
      <c r="O52" s="730"/>
    </row>
    <row r="53" spans="1:15" ht="15.6" customHeight="1" x14ac:dyDescent="0.2">
      <c r="A53" s="722"/>
      <c r="B53" s="723"/>
      <c r="C53" s="666"/>
      <c r="D53" s="724"/>
      <c r="E53" s="725"/>
      <c r="F53" s="30" t="s">
        <v>12</v>
      </c>
      <c r="G53" s="30" t="s">
        <v>87</v>
      </c>
      <c r="H53" s="30">
        <f>420*117/100</f>
        <v>491.4</v>
      </c>
      <c r="I53" s="726"/>
      <c r="J53" s="724"/>
      <c r="K53" s="727"/>
      <c r="L53" s="727"/>
      <c r="M53" s="728"/>
      <c r="N53" s="729"/>
      <c r="O53" s="730"/>
    </row>
    <row r="54" spans="1:15" ht="31.9" customHeight="1" x14ac:dyDescent="0.2">
      <c r="A54" s="721"/>
      <c r="B54" s="717" t="s">
        <v>715</v>
      </c>
      <c r="C54" s="718"/>
      <c r="D54" s="718"/>
      <c r="E54" s="718"/>
      <c r="F54" s="718"/>
      <c r="G54" s="718"/>
      <c r="H54" s="718"/>
      <c r="I54" s="718"/>
      <c r="J54" s="718"/>
      <c r="K54" s="718"/>
      <c r="L54" s="718"/>
      <c r="M54" s="718"/>
      <c r="N54" s="718"/>
      <c r="O54" s="719"/>
    </row>
    <row r="55" spans="1:15" ht="15.75" x14ac:dyDescent="0.2">
      <c r="A55" s="20"/>
      <c r="B55" s="39"/>
      <c r="C55" s="39"/>
      <c r="D55" s="39"/>
      <c r="E55" s="39"/>
      <c r="F55" s="39"/>
      <c r="G55" s="39"/>
      <c r="H55" s="39"/>
      <c r="I55" s="39"/>
      <c r="J55" s="39"/>
      <c r="K55" s="39"/>
      <c r="L55" s="39"/>
      <c r="M55" s="39"/>
      <c r="N55" s="39"/>
      <c r="O55" s="39"/>
    </row>
    <row r="56" spans="1:15" ht="15.75" x14ac:dyDescent="0.2">
      <c r="A56" s="188"/>
      <c r="B56" s="189"/>
      <c r="C56" s="189"/>
      <c r="D56" s="189"/>
      <c r="E56" s="189"/>
      <c r="F56" s="189"/>
      <c r="G56" s="189"/>
      <c r="H56" s="189"/>
      <c r="I56" s="189"/>
      <c r="J56" s="189"/>
      <c r="K56" s="189"/>
      <c r="L56" s="189"/>
      <c r="M56" s="189"/>
      <c r="N56" s="189"/>
      <c r="O56" s="189"/>
    </row>
    <row r="57" spans="1:15" x14ac:dyDescent="0.2">
      <c r="B57" s="23"/>
    </row>
  </sheetData>
  <mergeCells count="84">
    <mergeCell ref="A51:O51"/>
    <mergeCell ref="A52:A54"/>
    <mergeCell ref="B54:O54"/>
    <mergeCell ref="C52:C53"/>
    <mergeCell ref="B52:B53"/>
    <mergeCell ref="D52:D53"/>
    <mergeCell ref="E52:E53"/>
    <mergeCell ref="I52:I53"/>
    <mergeCell ref="J52:J53"/>
    <mergeCell ref="K52:K53"/>
    <mergeCell ref="L52:L53"/>
    <mergeCell ref="M52:M53"/>
    <mergeCell ref="N52:N53"/>
    <mergeCell ref="O52:O53"/>
    <mergeCell ref="A7:O7"/>
    <mergeCell ref="A8:A9"/>
    <mergeCell ref="B9:O9"/>
    <mergeCell ref="A1:A6"/>
    <mergeCell ref="B1:O1"/>
    <mergeCell ref="B2:O2"/>
    <mergeCell ref="B3:O3"/>
    <mergeCell ref="B4:O4"/>
    <mergeCell ref="B5:O5"/>
    <mergeCell ref="A10:O10"/>
    <mergeCell ref="A11:A15"/>
    <mergeCell ref="B11:B14"/>
    <mergeCell ref="C11:C14"/>
    <mergeCell ref="K11:K14"/>
    <mergeCell ref="L11:L14"/>
    <mergeCell ref="M11:M14"/>
    <mergeCell ref="N11:N14"/>
    <mergeCell ref="O11:O14"/>
    <mergeCell ref="B15:O15"/>
    <mergeCell ref="A22:O22"/>
    <mergeCell ref="A23:A25"/>
    <mergeCell ref="B23:B24"/>
    <mergeCell ref="C23:C24"/>
    <mergeCell ref="K23:K24"/>
    <mergeCell ref="L23:L24"/>
    <mergeCell ref="M23:M24"/>
    <mergeCell ref="N23:N24"/>
    <mergeCell ref="O23:O24"/>
    <mergeCell ref="B25:O25"/>
    <mergeCell ref="A35:O35"/>
    <mergeCell ref="A36:A38"/>
    <mergeCell ref="B36:B37"/>
    <mergeCell ref="C36:C37"/>
    <mergeCell ref="L36:L37"/>
    <mergeCell ref="K36:K37"/>
    <mergeCell ref="M36:M37"/>
    <mergeCell ref="N36:N37"/>
    <mergeCell ref="O36:O37"/>
    <mergeCell ref="B38:O38"/>
    <mergeCell ref="A33:A34"/>
    <mergeCell ref="B34:O34"/>
    <mergeCell ref="A26:O26"/>
    <mergeCell ref="A27:A28"/>
    <mergeCell ref="B28:O28"/>
    <mergeCell ref="A29:O29"/>
    <mergeCell ref="A30:A31"/>
    <mergeCell ref="B31:O31"/>
    <mergeCell ref="A32:O32"/>
    <mergeCell ref="A16:O16"/>
    <mergeCell ref="A17:A21"/>
    <mergeCell ref="B17:B20"/>
    <mergeCell ref="C17:C20"/>
    <mergeCell ref="K17:K20"/>
    <mergeCell ref="L17:L20"/>
    <mergeCell ref="M17:M20"/>
    <mergeCell ref="N17:N20"/>
    <mergeCell ref="O17:O20"/>
    <mergeCell ref="B21:O21"/>
    <mergeCell ref="B50:O50"/>
    <mergeCell ref="A48:O48"/>
    <mergeCell ref="A49:A50"/>
    <mergeCell ref="A45:O45"/>
    <mergeCell ref="A46:A47"/>
    <mergeCell ref="B47:O47"/>
    <mergeCell ref="A39:O39"/>
    <mergeCell ref="A40:A41"/>
    <mergeCell ref="B41:O41"/>
    <mergeCell ref="A42:O42"/>
    <mergeCell ref="A43:A44"/>
    <mergeCell ref="B44:O44"/>
  </mergeCells>
  <pageMargins left="0.25" right="0.25" top="0.75" bottom="0.75" header="0.3" footer="0.3"/>
  <pageSetup paperSize="9" scale="72" fitToHeight="0" orientation="landscape" r:id="rId1"/>
  <rowBreaks count="2" manualBreakCount="2">
    <brk id="25" max="16383" man="1"/>
    <brk id="47"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930679-2EE4-4A69-A63F-B1CA8B4E88ED}">
  <sheetPr>
    <pageSetUpPr fitToPage="1"/>
  </sheetPr>
  <dimension ref="A1:Q58"/>
  <sheetViews>
    <sheetView rightToLeft="1" zoomScale="99" zoomScaleNormal="99" workbookViewId="0">
      <selection activeCell="A58" sqref="A58:XFD58"/>
    </sheetView>
  </sheetViews>
  <sheetFormatPr defaultColWidth="8.75" defaultRowHeight="15" x14ac:dyDescent="0.2"/>
  <cols>
    <col min="1" max="1" width="4.25" customWidth="1"/>
    <col min="2" max="2" width="21.125" style="6" bestFit="1" customWidth="1"/>
    <col min="4" max="4" width="7.25" customWidth="1"/>
    <col min="5" max="5" width="7.75" customWidth="1"/>
    <col min="6" max="6" width="10.25" bestFit="1" customWidth="1"/>
    <col min="7" max="7" width="12.125" style="7" bestFit="1" customWidth="1"/>
    <col min="8" max="8" width="13.625" style="8" bestFit="1" customWidth="1"/>
    <col min="9" max="9" width="16" style="8" bestFit="1" customWidth="1"/>
    <col min="10" max="10" width="9" customWidth="1"/>
    <col min="11" max="11" width="12.875" style="9" customWidth="1"/>
    <col min="12" max="12" width="19.375" style="9" customWidth="1"/>
    <col min="13" max="13" width="15" style="9" customWidth="1"/>
    <col min="14" max="14" width="10.875" style="10" customWidth="1"/>
    <col min="15" max="15" width="13" style="11" customWidth="1"/>
  </cols>
  <sheetData>
    <row r="1" spans="1:17" ht="20.25" x14ac:dyDescent="0.2">
      <c r="A1" s="571"/>
      <c r="B1" s="572" t="s">
        <v>614</v>
      </c>
      <c r="C1" s="572"/>
      <c r="D1" s="572"/>
      <c r="E1" s="572"/>
      <c r="F1" s="572"/>
      <c r="G1" s="572"/>
      <c r="H1" s="572"/>
      <c r="I1" s="572"/>
      <c r="J1" s="572"/>
      <c r="K1" s="572"/>
      <c r="L1" s="572"/>
      <c r="M1" s="572"/>
      <c r="N1" s="572"/>
      <c r="O1" s="572"/>
    </row>
    <row r="2" spans="1:17" ht="14.25" x14ac:dyDescent="0.2">
      <c r="A2" s="571"/>
      <c r="B2" s="573" t="s">
        <v>131</v>
      </c>
      <c r="C2" s="573"/>
      <c r="D2" s="573"/>
      <c r="E2" s="573"/>
      <c r="F2" s="573"/>
      <c r="G2" s="573"/>
      <c r="H2" s="573"/>
      <c r="I2" s="573"/>
      <c r="J2" s="573"/>
      <c r="K2" s="573"/>
      <c r="L2" s="573"/>
      <c r="M2" s="573"/>
      <c r="N2" s="573"/>
      <c r="O2" s="573"/>
    </row>
    <row r="3" spans="1:17" ht="15.75" x14ac:dyDescent="0.2">
      <c r="A3" s="571"/>
      <c r="B3" s="712" t="s">
        <v>324</v>
      </c>
      <c r="C3" s="712"/>
      <c r="D3" s="712"/>
      <c r="E3" s="712"/>
      <c r="F3" s="712"/>
      <c r="G3" s="712"/>
      <c r="H3" s="712"/>
      <c r="I3" s="712"/>
      <c r="J3" s="712"/>
      <c r="K3" s="712"/>
      <c r="L3" s="712"/>
      <c r="M3" s="712"/>
      <c r="N3" s="712"/>
      <c r="O3" s="712"/>
    </row>
    <row r="4" spans="1:17" ht="14.25" x14ac:dyDescent="0.2">
      <c r="A4" s="571"/>
      <c r="B4" s="713" t="s">
        <v>52</v>
      </c>
      <c r="C4" s="713"/>
      <c r="D4" s="713"/>
      <c r="E4" s="713"/>
      <c r="F4" s="713"/>
      <c r="G4" s="713"/>
      <c r="H4" s="713"/>
      <c r="I4" s="713"/>
      <c r="J4" s="713"/>
      <c r="K4" s="713"/>
      <c r="L4" s="713"/>
      <c r="M4" s="713"/>
      <c r="N4" s="713"/>
      <c r="O4" s="713"/>
    </row>
    <row r="5" spans="1:17" ht="14.25" x14ac:dyDescent="0.2">
      <c r="A5" s="571"/>
      <c r="B5" s="713" t="s">
        <v>51</v>
      </c>
      <c r="C5" s="713"/>
      <c r="D5" s="713"/>
      <c r="E5" s="713"/>
      <c r="F5" s="713"/>
      <c r="G5" s="713"/>
      <c r="H5" s="713"/>
      <c r="I5" s="713"/>
      <c r="J5" s="713"/>
      <c r="K5" s="713"/>
      <c r="L5" s="713"/>
      <c r="M5" s="713"/>
      <c r="N5" s="713"/>
      <c r="O5" s="713"/>
    </row>
    <row r="6" spans="1:17" ht="46.5" customHeight="1" x14ac:dyDescent="0.2">
      <c r="A6" s="571"/>
      <c r="B6" s="48" t="s">
        <v>0</v>
      </c>
      <c r="C6" s="165" t="s">
        <v>1</v>
      </c>
      <c r="D6" s="168" t="s">
        <v>2</v>
      </c>
      <c r="E6" s="168" t="s">
        <v>3</v>
      </c>
      <c r="F6" s="168" t="s">
        <v>4</v>
      </c>
      <c r="G6" s="168" t="s">
        <v>5</v>
      </c>
      <c r="H6" s="2" t="s">
        <v>6</v>
      </c>
      <c r="I6" s="3" t="s">
        <v>7</v>
      </c>
      <c r="J6" s="168" t="s">
        <v>8</v>
      </c>
      <c r="K6" s="168" t="s">
        <v>9</v>
      </c>
      <c r="L6" s="168" t="s">
        <v>95</v>
      </c>
      <c r="M6" s="170" t="s">
        <v>96</v>
      </c>
      <c r="N6" s="35" t="s">
        <v>10</v>
      </c>
      <c r="O6" s="168" t="s">
        <v>11</v>
      </c>
    </row>
    <row r="7" spans="1:17" ht="15.75" x14ac:dyDescent="0.2">
      <c r="A7" s="556" t="s">
        <v>618</v>
      </c>
      <c r="B7" s="557"/>
      <c r="C7" s="557"/>
      <c r="D7" s="557"/>
      <c r="E7" s="557"/>
      <c r="F7" s="557"/>
      <c r="G7" s="557"/>
      <c r="H7" s="557"/>
      <c r="I7" s="557"/>
      <c r="J7" s="557"/>
      <c r="K7" s="557"/>
      <c r="L7" s="557"/>
      <c r="M7" s="557"/>
      <c r="N7" s="557"/>
      <c r="O7" s="661"/>
    </row>
    <row r="8" spans="1:17" ht="132" x14ac:dyDescent="0.2">
      <c r="A8" s="720">
        <v>1</v>
      </c>
      <c r="B8" s="164" t="s">
        <v>615</v>
      </c>
      <c r="C8" s="164" t="s">
        <v>616</v>
      </c>
      <c r="D8" s="31" t="s">
        <v>21</v>
      </c>
      <c r="E8" s="29">
        <v>100</v>
      </c>
      <c r="F8" s="30" t="s">
        <v>19</v>
      </c>
      <c r="G8" s="30" t="s">
        <v>20</v>
      </c>
      <c r="H8" s="30">
        <f>1500*117/100</f>
        <v>1755</v>
      </c>
      <c r="I8" s="30">
        <f>H8*30</f>
        <v>52650</v>
      </c>
      <c r="J8" s="31" t="s">
        <v>13</v>
      </c>
      <c r="K8" s="33" t="s">
        <v>734</v>
      </c>
      <c r="L8" s="191" t="s">
        <v>652</v>
      </c>
      <c r="M8" s="57">
        <f>1000*30*0.9*1.17</f>
        <v>31589.999999999996</v>
      </c>
      <c r="N8" s="163" t="s">
        <v>18</v>
      </c>
      <c r="O8" s="58">
        <v>253003</v>
      </c>
    </row>
    <row r="9" spans="1:17" ht="14.25" x14ac:dyDescent="0.2">
      <c r="A9" s="721"/>
      <c r="B9" s="717" t="s">
        <v>617</v>
      </c>
      <c r="C9" s="718"/>
      <c r="D9" s="718"/>
      <c r="E9" s="718"/>
      <c r="F9" s="718"/>
      <c r="G9" s="718"/>
      <c r="H9" s="718"/>
      <c r="I9" s="718"/>
      <c r="J9" s="718"/>
      <c r="K9" s="718"/>
      <c r="L9" s="718"/>
      <c r="M9" s="718"/>
      <c r="N9" s="718"/>
      <c r="O9" s="719"/>
    </row>
    <row r="10" spans="1:17" s="10" customFormat="1" ht="15.75" x14ac:dyDescent="0.2">
      <c r="A10" s="556" t="s">
        <v>620</v>
      </c>
      <c r="B10" s="557"/>
      <c r="C10" s="557"/>
      <c r="D10" s="557"/>
      <c r="E10" s="557"/>
      <c r="F10" s="557"/>
      <c r="G10" s="557"/>
      <c r="H10" s="557"/>
      <c r="I10" s="557"/>
      <c r="J10" s="557"/>
      <c r="K10" s="557"/>
      <c r="L10" s="557"/>
      <c r="M10" s="557"/>
      <c r="N10" s="557"/>
      <c r="O10" s="661"/>
      <c r="P10"/>
      <c r="Q10"/>
    </row>
    <row r="11" spans="1:17" s="10" customFormat="1" ht="63.75" x14ac:dyDescent="0.2">
      <c r="A11" s="593">
        <v>2</v>
      </c>
      <c r="B11" s="166" t="s">
        <v>159</v>
      </c>
      <c r="C11" s="166" t="s">
        <v>621</v>
      </c>
      <c r="D11" s="13" t="s">
        <v>115</v>
      </c>
      <c r="E11" s="14">
        <v>100</v>
      </c>
      <c r="F11" s="15" t="s">
        <v>30</v>
      </c>
      <c r="G11" s="15" t="s">
        <v>31</v>
      </c>
      <c r="H11" s="15">
        <f>30000*117/100</f>
        <v>35100</v>
      </c>
      <c r="I11" s="15">
        <f>H11*3</f>
        <v>105300</v>
      </c>
      <c r="J11" s="13"/>
      <c r="K11" s="170" t="s">
        <v>116</v>
      </c>
      <c r="L11" s="170" t="s">
        <v>97</v>
      </c>
      <c r="M11" s="167">
        <f>I11</f>
        <v>105300</v>
      </c>
      <c r="N11" s="42" t="s">
        <v>18</v>
      </c>
      <c r="O11" s="169">
        <v>1811000756</v>
      </c>
      <c r="P11"/>
      <c r="Q11"/>
    </row>
    <row r="12" spans="1:17" ht="14.25" x14ac:dyDescent="0.2">
      <c r="A12" s="595"/>
      <c r="B12" s="581" t="s">
        <v>619</v>
      </c>
      <c r="C12" s="582"/>
      <c r="D12" s="582"/>
      <c r="E12" s="582"/>
      <c r="F12" s="582"/>
      <c r="G12" s="582"/>
      <c r="H12" s="582"/>
      <c r="I12" s="582"/>
      <c r="J12" s="582"/>
      <c r="K12" s="582"/>
      <c r="L12" s="582"/>
      <c r="M12" s="582"/>
      <c r="N12" s="582"/>
      <c r="O12" s="583"/>
    </row>
    <row r="13" spans="1:17" s="10" customFormat="1" ht="15.75" x14ac:dyDescent="0.2">
      <c r="A13" s="556" t="s">
        <v>623</v>
      </c>
      <c r="B13" s="557"/>
      <c r="C13" s="557"/>
      <c r="D13" s="557"/>
      <c r="E13" s="557"/>
      <c r="F13" s="557"/>
      <c r="G13" s="557"/>
      <c r="H13" s="557"/>
      <c r="I13" s="557"/>
      <c r="J13" s="557"/>
      <c r="K13" s="557"/>
      <c r="L13" s="557"/>
      <c r="M13" s="557"/>
      <c r="N13" s="557"/>
      <c r="O13" s="661"/>
      <c r="P13"/>
      <c r="Q13"/>
    </row>
    <row r="14" spans="1:17" s="10" customFormat="1" ht="38.25" x14ac:dyDescent="0.2">
      <c r="A14" s="593">
        <v>3</v>
      </c>
      <c r="B14" s="585" t="s">
        <v>287</v>
      </c>
      <c r="C14" s="597" t="s">
        <v>288</v>
      </c>
      <c r="D14" s="26" t="s">
        <v>289</v>
      </c>
      <c r="E14" s="27">
        <v>100</v>
      </c>
      <c r="F14" s="28" t="s">
        <v>129</v>
      </c>
      <c r="G14" s="28" t="s">
        <v>317</v>
      </c>
      <c r="H14" s="28">
        <f>8000*117/100</f>
        <v>9360</v>
      </c>
      <c r="I14" s="28">
        <f>H14*12</f>
        <v>112320</v>
      </c>
      <c r="J14" s="26" t="s">
        <v>13</v>
      </c>
      <c r="K14" s="714" t="s">
        <v>15</v>
      </c>
      <c r="L14" s="714" t="s">
        <v>653</v>
      </c>
      <c r="M14" s="657">
        <f>I14</f>
        <v>112320</v>
      </c>
      <c r="N14" s="659" t="s">
        <v>18</v>
      </c>
      <c r="O14" s="671"/>
      <c r="P14"/>
      <c r="Q14"/>
    </row>
    <row r="15" spans="1:17" ht="38.25" x14ac:dyDescent="0.2">
      <c r="A15" s="594"/>
      <c r="B15" s="586"/>
      <c r="C15" s="598"/>
      <c r="D15" s="166" t="s">
        <v>290</v>
      </c>
      <c r="E15" s="38">
        <v>83</v>
      </c>
      <c r="F15" s="34" t="s">
        <v>129</v>
      </c>
      <c r="G15" s="34" t="s">
        <v>317</v>
      </c>
      <c r="H15" s="34">
        <f>8500*117/100</f>
        <v>9945</v>
      </c>
      <c r="I15" s="34">
        <f>H15*12</f>
        <v>119340</v>
      </c>
      <c r="J15" s="166" t="s">
        <v>13</v>
      </c>
      <c r="K15" s="715"/>
      <c r="L15" s="715"/>
      <c r="M15" s="673"/>
      <c r="N15" s="674"/>
      <c r="O15" s="672"/>
    </row>
    <row r="16" spans="1:17" s="10" customFormat="1" ht="25.5" x14ac:dyDescent="0.2">
      <c r="A16" s="594"/>
      <c r="B16" s="586"/>
      <c r="C16" s="598"/>
      <c r="D16" s="166" t="s">
        <v>174</v>
      </c>
      <c r="E16" s="38">
        <v>53</v>
      </c>
      <c r="F16" s="34" t="s">
        <v>129</v>
      </c>
      <c r="G16" s="34" t="s">
        <v>317</v>
      </c>
      <c r="H16" s="34">
        <f>11900*117/100</f>
        <v>13923</v>
      </c>
      <c r="I16" s="34">
        <f>H16*12</f>
        <v>167076</v>
      </c>
      <c r="J16" s="166" t="s">
        <v>13</v>
      </c>
      <c r="K16" s="715"/>
      <c r="L16" s="715"/>
      <c r="M16" s="673"/>
      <c r="N16" s="674"/>
      <c r="O16" s="672"/>
      <c r="P16"/>
      <c r="Q16"/>
    </row>
    <row r="17" spans="1:17" s="10" customFormat="1" ht="51" x14ac:dyDescent="0.2">
      <c r="A17" s="594"/>
      <c r="B17" s="586"/>
      <c r="C17" s="598"/>
      <c r="D17" s="166" t="s">
        <v>291</v>
      </c>
      <c r="E17" s="38">
        <v>52</v>
      </c>
      <c r="F17" s="34" t="s">
        <v>129</v>
      </c>
      <c r="G17" s="34" t="s">
        <v>317</v>
      </c>
      <c r="H17" s="34">
        <f>11990*117/100</f>
        <v>14028.3</v>
      </c>
      <c r="I17" s="34">
        <f>H17*12</f>
        <v>168339.59999999998</v>
      </c>
      <c r="J17" s="166" t="s">
        <v>13</v>
      </c>
      <c r="K17" s="715"/>
      <c r="L17" s="715"/>
      <c r="M17" s="673"/>
      <c r="N17" s="674"/>
      <c r="O17" s="672"/>
      <c r="P17"/>
      <c r="Q17"/>
    </row>
    <row r="18" spans="1:17" s="10" customFormat="1" x14ac:dyDescent="0.2">
      <c r="A18" s="594"/>
      <c r="B18" s="596"/>
      <c r="C18" s="599"/>
      <c r="D18" s="166" t="s">
        <v>74</v>
      </c>
      <c r="E18" s="38">
        <v>52</v>
      </c>
      <c r="F18" s="34" t="s">
        <v>129</v>
      </c>
      <c r="G18" s="34" t="s">
        <v>317</v>
      </c>
      <c r="H18" s="34">
        <f>12000*117/100</f>
        <v>14040</v>
      </c>
      <c r="I18" s="34">
        <f>H18*12</f>
        <v>168480</v>
      </c>
      <c r="J18" s="166" t="s">
        <v>13</v>
      </c>
      <c r="K18" s="716"/>
      <c r="L18" s="716"/>
      <c r="M18" s="658"/>
      <c r="N18" s="660"/>
      <c r="O18" s="705"/>
      <c r="P18"/>
      <c r="Q18"/>
    </row>
    <row r="19" spans="1:17" ht="14.25" x14ac:dyDescent="0.2">
      <c r="A19" s="595"/>
      <c r="B19" s="717" t="s">
        <v>622</v>
      </c>
      <c r="C19" s="718"/>
      <c r="D19" s="718"/>
      <c r="E19" s="718"/>
      <c r="F19" s="718"/>
      <c r="G19" s="718"/>
      <c r="H19" s="718"/>
      <c r="I19" s="718"/>
      <c r="J19" s="718"/>
      <c r="K19" s="718"/>
      <c r="L19" s="718"/>
      <c r="M19" s="718"/>
      <c r="N19" s="718"/>
      <c r="O19" s="719"/>
    </row>
    <row r="20" spans="1:17" ht="15.75" x14ac:dyDescent="0.2">
      <c r="A20" s="556" t="s">
        <v>624</v>
      </c>
      <c r="B20" s="557"/>
      <c r="C20" s="557"/>
      <c r="D20" s="557"/>
      <c r="E20" s="557"/>
      <c r="F20" s="557"/>
      <c r="G20" s="557"/>
      <c r="H20" s="557"/>
      <c r="I20" s="557"/>
      <c r="J20" s="557"/>
      <c r="K20" s="557"/>
      <c r="L20" s="557"/>
      <c r="M20" s="557"/>
      <c r="N20" s="557"/>
      <c r="O20" s="661"/>
    </row>
    <row r="21" spans="1:17" ht="38.25" x14ac:dyDescent="0.2">
      <c r="A21" s="593">
        <v>4</v>
      </c>
      <c r="B21" s="585" t="s">
        <v>625</v>
      </c>
      <c r="C21" s="597" t="s">
        <v>150</v>
      </c>
      <c r="D21" s="13" t="s">
        <v>83</v>
      </c>
      <c r="E21" s="14">
        <v>100</v>
      </c>
      <c r="F21" s="15" t="s">
        <v>626</v>
      </c>
      <c r="G21" s="15" t="s">
        <v>626</v>
      </c>
      <c r="H21" s="15">
        <f>400*117/100</f>
        <v>468</v>
      </c>
      <c r="I21" s="15">
        <f>15000*117/100*0.95</f>
        <v>16672.5</v>
      </c>
      <c r="J21" s="13" t="s">
        <v>13</v>
      </c>
      <c r="K21" s="714" t="s">
        <v>15</v>
      </c>
      <c r="L21" s="714" t="s">
        <v>97</v>
      </c>
      <c r="M21" s="657">
        <f>I21</f>
        <v>16672.5</v>
      </c>
      <c r="N21" s="659" t="s">
        <v>18</v>
      </c>
      <c r="O21" s="671"/>
    </row>
    <row r="22" spans="1:17" ht="25.5" x14ac:dyDescent="0.2">
      <c r="A22" s="594"/>
      <c r="B22" s="586"/>
      <c r="C22" s="598"/>
      <c r="D22" s="171" t="s">
        <v>627</v>
      </c>
      <c r="E22" s="38">
        <v>91</v>
      </c>
      <c r="F22" s="34" t="s">
        <v>14</v>
      </c>
      <c r="G22" s="34" t="s">
        <v>14</v>
      </c>
      <c r="H22" s="34">
        <f>20000</f>
        <v>20000</v>
      </c>
      <c r="I22" s="34">
        <f>H22</f>
        <v>20000</v>
      </c>
      <c r="J22" s="171" t="s">
        <v>13</v>
      </c>
      <c r="K22" s="715"/>
      <c r="L22" s="715"/>
      <c r="M22" s="673"/>
      <c r="N22" s="674"/>
      <c r="O22" s="672"/>
    </row>
    <row r="23" spans="1:17" ht="38.25" x14ac:dyDescent="0.2">
      <c r="A23" s="594"/>
      <c r="B23" s="596"/>
      <c r="C23" s="599"/>
      <c r="D23" s="171" t="s">
        <v>628</v>
      </c>
      <c r="E23" s="38">
        <v>48</v>
      </c>
      <c r="F23" s="34" t="s">
        <v>14</v>
      </c>
      <c r="G23" s="34" t="s">
        <v>14</v>
      </c>
      <c r="H23" s="34">
        <f>70200*117/100</f>
        <v>82134</v>
      </c>
      <c r="I23" s="34">
        <f>H23</f>
        <v>82134</v>
      </c>
      <c r="J23" s="171" t="s">
        <v>13</v>
      </c>
      <c r="K23" s="716"/>
      <c r="L23" s="716"/>
      <c r="M23" s="658"/>
      <c r="N23" s="660"/>
      <c r="O23" s="705"/>
    </row>
    <row r="24" spans="1:17" ht="14.25" x14ac:dyDescent="0.2">
      <c r="A24" s="595"/>
      <c r="B24" s="717" t="s">
        <v>629</v>
      </c>
      <c r="C24" s="718"/>
      <c r="D24" s="718"/>
      <c r="E24" s="718"/>
      <c r="F24" s="718"/>
      <c r="G24" s="718"/>
      <c r="H24" s="718"/>
      <c r="I24" s="718"/>
      <c r="J24" s="718"/>
      <c r="K24" s="718"/>
      <c r="L24" s="718"/>
      <c r="M24" s="718"/>
      <c r="N24" s="718"/>
      <c r="O24" s="719"/>
    </row>
    <row r="25" spans="1:17" ht="15.75" x14ac:dyDescent="0.2">
      <c r="A25" s="556" t="s">
        <v>630</v>
      </c>
      <c r="B25" s="557"/>
      <c r="C25" s="557"/>
      <c r="D25" s="557"/>
      <c r="E25" s="557"/>
      <c r="F25" s="557"/>
      <c r="G25" s="557"/>
      <c r="H25" s="557"/>
      <c r="I25" s="557"/>
      <c r="J25" s="557"/>
      <c r="K25" s="557"/>
      <c r="L25" s="557"/>
      <c r="M25" s="557"/>
      <c r="N25" s="557"/>
      <c r="O25" s="661"/>
    </row>
    <row r="26" spans="1:17" ht="48" x14ac:dyDescent="0.2">
      <c r="A26" s="720">
        <v>5</v>
      </c>
      <c r="B26" s="186" t="s">
        <v>638</v>
      </c>
      <c r="C26" s="180" t="s">
        <v>150</v>
      </c>
      <c r="D26" s="13" t="s">
        <v>83</v>
      </c>
      <c r="E26" s="14">
        <v>100</v>
      </c>
      <c r="F26" s="15" t="s">
        <v>626</v>
      </c>
      <c r="G26" s="15" t="s">
        <v>626</v>
      </c>
      <c r="H26" s="15">
        <f>400*117/100</f>
        <v>468</v>
      </c>
      <c r="I26" s="15">
        <f>15000*117/100*0.95</f>
        <v>16672.5</v>
      </c>
      <c r="J26" s="13" t="s">
        <v>13</v>
      </c>
      <c r="K26" s="181" t="s">
        <v>116</v>
      </c>
      <c r="L26" s="181" t="s">
        <v>97</v>
      </c>
      <c r="M26" s="57">
        <f>I26</f>
        <v>16672.5</v>
      </c>
      <c r="N26" s="182" t="s">
        <v>18</v>
      </c>
      <c r="O26" s="58"/>
    </row>
    <row r="27" spans="1:17" ht="14.25" x14ac:dyDescent="0.2">
      <c r="A27" s="721"/>
      <c r="B27" s="717" t="s">
        <v>639</v>
      </c>
      <c r="C27" s="718"/>
      <c r="D27" s="718"/>
      <c r="E27" s="718"/>
      <c r="F27" s="718"/>
      <c r="G27" s="718"/>
      <c r="H27" s="718"/>
      <c r="I27" s="718"/>
      <c r="J27" s="718"/>
      <c r="K27" s="718"/>
      <c r="L27" s="718"/>
      <c r="M27" s="718"/>
      <c r="N27" s="718"/>
      <c r="O27" s="719"/>
    </row>
    <row r="28" spans="1:17" ht="15.75" x14ac:dyDescent="0.2">
      <c r="A28" s="556" t="s">
        <v>643</v>
      </c>
      <c r="B28" s="557"/>
      <c r="C28" s="557"/>
      <c r="D28" s="557"/>
      <c r="E28" s="557"/>
      <c r="F28" s="557"/>
      <c r="G28" s="557"/>
      <c r="H28" s="557"/>
      <c r="I28" s="557"/>
      <c r="J28" s="557"/>
      <c r="K28" s="557"/>
      <c r="L28" s="557"/>
      <c r="M28" s="557"/>
      <c r="N28" s="557"/>
      <c r="O28" s="661"/>
    </row>
    <row r="29" spans="1:17" ht="52.9" customHeight="1" x14ac:dyDescent="0.2">
      <c r="A29" s="593">
        <v>6</v>
      </c>
      <c r="B29" s="585" t="s">
        <v>298</v>
      </c>
      <c r="C29" s="585" t="s">
        <v>150</v>
      </c>
      <c r="D29" s="734" t="s">
        <v>299</v>
      </c>
      <c r="E29" s="736">
        <v>100</v>
      </c>
      <c r="F29" s="196" t="s">
        <v>303</v>
      </c>
      <c r="G29" s="18" t="s">
        <v>302</v>
      </c>
      <c r="H29" s="197">
        <f>420*117/100</f>
        <v>491.4</v>
      </c>
      <c r="I29" s="738">
        <f>(H29*40)+(H30*137.5)</f>
        <v>80788.5</v>
      </c>
      <c r="J29" s="734" t="s">
        <v>13</v>
      </c>
      <c r="K29" s="560" t="s">
        <v>116</v>
      </c>
      <c r="L29" s="560" t="s">
        <v>97</v>
      </c>
      <c r="M29" s="657">
        <f>I29</f>
        <v>80788.5</v>
      </c>
      <c r="N29" s="740" t="s">
        <v>18</v>
      </c>
      <c r="O29" s="568">
        <v>161700581</v>
      </c>
      <c r="P29" s="10"/>
      <c r="Q29" s="11"/>
    </row>
    <row r="30" spans="1:17" ht="52.9" customHeight="1" x14ac:dyDescent="0.2">
      <c r="A30" s="594"/>
      <c r="B30" s="596"/>
      <c r="C30" s="596"/>
      <c r="D30" s="735"/>
      <c r="E30" s="737"/>
      <c r="F30" s="196" t="s">
        <v>304</v>
      </c>
      <c r="G30" s="18" t="s">
        <v>301</v>
      </c>
      <c r="H30" s="197">
        <f>380*117/100</f>
        <v>444.6</v>
      </c>
      <c r="I30" s="739"/>
      <c r="J30" s="735"/>
      <c r="K30" s="562"/>
      <c r="L30" s="562"/>
      <c r="M30" s="658"/>
      <c r="N30" s="741"/>
      <c r="O30" s="570"/>
      <c r="P30" s="10"/>
      <c r="Q30" s="11"/>
    </row>
    <row r="31" spans="1:17" ht="26.45" customHeight="1" x14ac:dyDescent="0.2">
      <c r="A31" s="595"/>
      <c r="B31" s="581" t="s">
        <v>640</v>
      </c>
      <c r="C31" s="582"/>
      <c r="D31" s="582"/>
      <c r="E31" s="582"/>
      <c r="F31" s="582"/>
      <c r="G31" s="582"/>
      <c r="H31" s="582"/>
      <c r="I31" s="582"/>
      <c r="J31" s="582"/>
      <c r="K31" s="582"/>
      <c r="L31" s="582"/>
      <c r="M31" s="582"/>
      <c r="N31" s="582"/>
      <c r="O31" s="583"/>
      <c r="P31" s="10"/>
      <c r="Q31" s="11"/>
    </row>
    <row r="32" spans="1:17" ht="15.75" x14ac:dyDescent="0.2">
      <c r="A32" s="556" t="s">
        <v>632</v>
      </c>
      <c r="B32" s="557"/>
      <c r="C32" s="557"/>
      <c r="D32" s="557"/>
      <c r="E32" s="557"/>
      <c r="F32" s="557"/>
      <c r="G32" s="557"/>
      <c r="H32" s="557"/>
      <c r="I32" s="557"/>
      <c r="J32" s="557"/>
      <c r="K32" s="557"/>
      <c r="L32" s="557"/>
      <c r="M32" s="557"/>
      <c r="N32" s="557"/>
      <c r="O32" s="661"/>
    </row>
    <row r="33" spans="1:15" ht="51" x14ac:dyDescent="0.2">
      <c r="A33" s="720">
        <v>7</v>
      </c>
      <c r="B33" s="178" t="s">
        <v>649</v>
      </c>
      <c r="C33" s="177" t="s">
        <v>88</v>
      </c>
      <c r="D33" s="172" t="s">
        <v>16</v>
      </c>
      <c r="E33" s="173">
        <v>100</v>
      </c>
      <c r="F33" s="174" t="s">
        <v>12</v>
      </c>
      <c r="G33" s="174" t="s">
        <v>631</v>
      </c>
      <c r="H33" s="174">
        <f>200*117/100*0.9</f>
        <v>210.6</v>
      </c>
      <c r="I33" s="174">
        <f>H33*100*6</f>
        <v>126360</v>
      </c>
      <c r="J33" s="172" t="s">
        <v>13</v>
      </c>
      <c r="K33" s="175" t="s">
        <v>650</v>
      </c>
      <c r="L33" s="175" t="s">
        <v>651</v>
      </c>
      <c r="M33" s="57"/>
      <c r="N33" s="176" t="s">
        <v>18</v>
      </c>
      <c r="O33" s="58"/>
    </row>
    <row r="34" spans="1:15" ht="14.25" x14ac:dyDescent="0.2">
      <c r="A34" s="721"/>
      <c r="B34" s="717" t="s">
        <v>642</v>
      </c>
      <c r="C34" s="718"/>
      <c r="D34" s="718"/>
      <c r="E34" s="718"/>
      <c r="F34" s="718"/>
      <c r="G34" s="718"/>
      <c r="H34" s="718"/>
      <c r="I34" s="718"/>
      <c r="J34" s="718"/>
      <c r="K34" s="718"/>
      <c r="L34" s="718"/>
      <c r="M34" s="718"/>
      <c r="N34" s="718"/>
      <c r="O34" s="719"/>
    </row>
    <row r="35" spans="1:15" ht="15.75" x14ac:dyDescent="0.2">
      <c r="A35" s="556" t="s">
        <v>633</v>
      </c>
      <c r="B35" s="557"/>
      <c r="C35" s="557"/>
      <c r="D35" s="557"/>
      <c r="E35" s="557"/>
      <c r="F35" s="557"/>
      <c r="G35" s="557"/>
      <c r="H35" s="557"/>
      <c r="I35" s="557"/>
      <c r="J35" s="557"/>
      <c r="K35" s="557"/>
      <c r="L35" s="557"/>
      <c r="M35" s="557"/>
      <c r="N35" s="557"/>
      <c r="O35" s="661"/>
    </row>
    <row r="36" spans="1:15" ht="38.25" x14ac:dyDescent="0.2">
      <c r="A36" s="720">
        <v>8</v>
      </c>
      <c r="B36" s="186" t="s">
        <v>634</v>
      </c>
      <c r="C36" s="180" t="s">
        <v>29</v>
      </c>
      <c r="D36" s="16" t="s">
        <v>636</v>
      </c>
      <c r="E36" s="17">
        <v>100</v>
      </c>
      <c r="F36" s="18" t="s">
        <v>12</v>
      </c>
      <c r="G36" s="18" t="s">
        <v>637</v>
      </c>
      <c r="H36" s="18">
        <f>185*117/100</f>
        <v>216.45</v>
      </c>
      <c r="I36" s="18">
        <f>H36*40*4</f>
        <v>34632</v>
      </c>
      <c r="J36" s="16" t="s">
        <v>13</v>
      </c>
      <c r="K36" s="181" t="s">
        <v>116</v>
      </c>
      <c r="L36" s="181" t="s">
        <v>97</v>
      </c>
      <c r="M36" s="57">
        <f>I36</f>
        <v>34632</v>
      </c>
      <c r="N36" s="182" t="s">
        <v>733</v>
      </c>
      <c r="O36" s="58"/>
    </row>
    <row r="37" spans="1:15" ht="14.25" x14ac:dyDescent="0.2">
      <c r="A37" s="721"/>
      <c r="B37" s="717" t="s">
        <v>635</v>
      </c>
      <c r="C37" s="718"/>
      <c r="D37" s="718"/>
      <c r="E37" s="718"/>
      <c r="F37" s="718"/>
      <c r="G37" s="718"/>
      <c r="H37" s="718"/>
      <c r="I37" s="718"/>
      <c r="J37" s="718"/>
      <c r="K37" s="718"/>
      <c r="L37" s="718"/>
      <c r="M37" s="718"/>
      <c r="N37" s="718"/>
      <c r="O37" s="719"/>
    </row>
    <row r="38" spans="1:15" ht="15.75" x14ac:dyDescent="0.2">
      <c r="A38" s="556" t="s">
        <v>644</v>
      </c>
      <c r="B38" s="557"/>
      <c r="C38" s="557"/>
      <c r="D38" s="557"/>
      <c r="E38" s="557"/>
      <c r="F38" s="557"/>
      <c r="G38" s="557"/>
      <c r="H38" s="557"/>
      <c r="I38" s="557"/>
      <c r="J38" s="557"/>
      <c r="K38" s="557"/>
      <c r="L38" s="557"/>
      <c r="M38" s="557"/>
      <c r="N38" s="557"/>
      <c r="O38" s="661"/>
    </row>
    <row r="39" spans="1:15" ht="25.5" x14ac:dyDescent="0.2">
      <c r="A39" s="593">
        <v>9</v>
      </c>
      <c r="B39" s="585" t="s">
        <v>645</v>
      </c>
      <c r="C39" s="597" t="s">
        <v>646</v>
      </c>
      <c r="D39" s="13" t="s">
        <v>647</v>
      </c>
      <c r="E39" s="14">
        <v>96</v>
      </c>
      <c r="F39" s="15" t="s">
        <v>14</v>
      </c>
      <c r="G39" s="15" t="s">
        <v>14</v>
      </c>
      <c r="H39" s="15">
        <f>14800*117/100</f>
        <v>17316</v>
      </c>
      <c r="I39" s="15">
        <f>H39</f>
        <v>17316</v>
      </c>
      <c r="J39" s="13" t="s">
        <v>13</v>
      </c>
      <c r="K39" s="714" t="s">
        <v>15</v>
      </c>
      <c r="L39" s="714" t="s">
        <v>97</v>
      </c>
      <c r="M39" s="657">
        <f>I39</f>
        <v>17316</v>
      </c>
      <c r="N39" s="659" t="s">
        <v>18</v>
      </c>
      <c r="O39" s="671"/>
    </row>
    <row r="40" spans="1:15" ht="14.25" x14ac:dyDescent="0.2">
      <c r="A40" s="594"/>
      <c r="B40" s="586"/>
      <c r="C40" s="598"/>
      <c r="D40" s="49" t="s">
        <v>90</v>
      </c>
      <c r="E40" s="4">
        <v>91</v>
      </c>
      <c r="F40" s="5" t="s">
        <v>14</v>
      </c>
      <c r="G40" s="5" t="s">
        <v>14</v>
      </c>
      <c r="H40" s="5">
        <f>14000*117/100</f>
        <v>16380</v>
      </c>
      <c r="I40" s="5">
        <f>H40</f>
        <v>16380</v>
      </c>
      <c r="J40" s="49" t="s">
        <v>13</v>
      </c>
      <c r="K40" s="715"/>
      <c r="L40" s="715"/>
      <c r="M40" s="673"/>
      <c r="N40" s="674"/>
      <c r="O40" s="672"/>
    </row>
    <row r="41" spans="1:15" ht="25.5" x14ac:dyDescent="0.2">
      <c r="A41" s="594"/>
      <c r="B41" s="596"/>
      <c r="C41" s="599"/>
      <c r="D41" s="187" t="s">
        <v>648</v>
      </c>
      <c r="E41" s="38">
        <v>34</v>
      </c>
      <c r="F41" s="34" t="s">
        <v>14</v>
      </c>
      <c r="G41" s="34" t="s">
        <v>14</v>
      </c>
      <c r="H41" s="34">
        <f>98000*117/100</f>
        <v>114660</v>
      </c>
      <c r="I41" s="34">
        <f>H41</f>
        <v>114660</v>
      </c>
      <c r="J41" s="187" t="s">
        <v>13</v>
      </c>
      <c r="K41" s="716"/>
      <c r="L41" s="716"/>
      <c r="M41" s="658"/>
      <c r="N41" s="660"/>
      <c r="O41" s="705"/>
    </row>
    <row r="42" spans="1:15" ht="13.9" customHeight="1" x14ac:dyDescent="0.2">
      <c r="A42" s="595"/>
      <c r="B42" s="717" t="s">
        <v>629</v>
      </c>
      <c r="C42" s="718"/>
      <c r="D42" s="718"/>
      <c r="E42" s="718"/>
      <c r="F42" s="718"/>
      <c r="G42" s="718"/>
      <c r="H42" s="718"/>
      <c r="I42" s="718"/>
      <c r="J42" s="718"/>
      <c r="K42" s="718"/>
      <c r="L42" s="718"/>
      <c r="M42" s="718"/>
      <c r="N42" s="718"/>
      <c r="O42" s="719"/>
    </row>
    <row r="43" spans="1:15" ht="15.75" x14ac:dyDescent="0.2">
      <c r="A43" s="556" t="s">
        <v>654</v>
      </c>
      <c r="B43" s="557"/>
      <c r="C43" s="557"/>
      <c r="D43" s="557"/>
      <c r="E43" s="557"/>
      <c r="F43" s="557"/>
      <c r="G43" s="557"/>
      <c r="H43" s="557"/>
      <c r="I43" s="557"/>
      <c r="J43" s="557"/>
      <c r="K43" s="557"/>
      <c r="L43" s="557"/>
      <c r="M43" s="557"/>
      <c r="N43" s="557"/>
      <c r="O43" s="661"/>
    </row>
    <row r="44" spans="1:15" ht="26.45" customHeight="1" x14ac:dyDescent="0.2">
      <c r="A44" s="593">
        <v>10</v>
      </c>
      <c r="B44" s="585" t="s">
        <v>102</v>
      </c>
      <c r="C44" s="585" t="s">
        <v>103</v>
      </c>
      <c r="D44" s="13" t="s">
        <v>658</v>
      </c>
      <c r="E44" s="14">
        <v>92</v>
      </c>
      <c r="F44" s="15" t="s">
        <v>104</v>
      </c>
      <c r="G44" s="15" t="s">
        <v>24</v>
      </c>
      <c r="H44" s="15">
        <f>230</f>
        <v>230</v>
      </c>
      <c r="I44" s="22">
        <f>H44*90*12</f>
        <v>248400</v>
      </c>
      <c r="J44" s="13" t="s">
        <v>13</v>
      </c>
      <c r="K44" s="560" t="s">
        <v>15</v>
      </c>
      <c r="L44" s="742" t="s">
        <v>659</v>
      </c>
      <c r="M44" s="745">
        <f>I44</f>
        <v>248400</v>
      </c>
      <c r="N44" s="731" t="s">
        <v>18</v>
      </c>
      <c r="O44" s="568"/>
    </row>
    <row r="45" spans="1:15" ht="26.45" customHeight="1" x14ac:dyDescent="0.2">
      <c r="A45" s="594"/>
      <c r="B45" s="586"/>
      <c r="C45" s="586"/>
      <c r="D45" s="49" t="s">
        <v>74</v>
      </c>
      <c r="E45" s="4">
        <v>88</v>
      </c>
      <c r="F45" s="5" t="s">
        <v>104</v>
      </c>
      <c r="G45" s="5" t="s">
        <v>24</v>
      </c>
      <c r="H45" s="5">
        <f>175*117/100</f>
        <v>204.75</v>
      </c>
      <c r="I45" s="198">
        <f>H45*90*12</f>
        <v>221130</v>
      </c>
      <c r="J45" s="49" t="s">
        <v>13</v>
      </c>
      <c r="K45" s="561"/>
      <c r="L45" s="743"/>
      <c r="M45" s="746"/>
      <c r="N45" s="732"/>
      <c r="O45" s="569"/>
    </row>
    <row r="46" spans="1:15" ht="25.5" x14ac:dyDescent="0.2">
      <c r="A46" s="594"/>
      <c r="B46" s="586"/>
      <c r="C46" s="586"/>
      <c r="D46" s="192" t="s">
        <v>655</v>
      </c>
      <c r="E46" s="38">
        <v>89</v>
      </c>
      <c r="F46" s="34" t="s">
        <v>104</v>
      </c>
      <c r="G46" s="34" t="s">
        <v>24</v>
      </c>
      <c r="H46" s="34">
        <f>210*117/100</f>
        <v>245.7</v>
      </c>
      <c r="I46" s="198">
        <f>H46*90*12</f>
        <v>265356</v>
      </c>
      <c r="J46" s="192" t="s">
        <v>13</v>
      </c>
      <c r="K46" s="561"/>
      <c r="L46" s="743"/>
      <c r="M46" s="746"/>
      <c r="N46" s="732"/>
      <c r="O46" s="569"/>
    </row>
    <row r="47" spans="1:15" ht="25.5" x14ac:dyDescent="0.2">
      <c r="A47" s="594"/>
      <c r="B47" s="596"/>
      <c r="C47" s="596"/>
      <c r="D47" s="192" t="s">
        <v>656</v>
      </c>
      <c r="E47" s="38">
        <v>83</v>
      </c>
      <c r="F47" s="34" t="s">
        <v>104</v>
      </c>
      <c r="G47" s="34" t="s">
        <v>24</v>
      </c>
      <c r="H47" s="34">
        <f>230*117/100</f>
        <v>269.10000000000002</v>
      </c>
      <c r="I47" s="198">
        <f>H47*90*12</f>
        <v>290628.00000000006</v>
      </c>
      <c r="J47" s="192" t="s">
        <v>13</v>
      </c>
      <c r="K47" s="562"/>
      <c r="L47" s="744"/>
      <c r="M47" s="747"/>
      <c r="N47" s="733"/>
      <c r="O47" s="570"/>
    </row>
    <row r="48" spans="1:15" ht="13.9" customHeight="1" x14ac:dyDescent="0.2">
      <c r="A48" s="595"/>
      <c r="B48" s="581" t="s">
        <v>657</v>
      </c>
      <c r="C48" s="582"/>
      <c r="D48" s="582"/>
      <c r="E48" s="582"/>
      <c r="F48" s="582"/>
      <c r="G48" s="582"/>
      <c r="H48" s="582"/>
      <c r="I48" s="582"/>
      <c r="J48" s="582"/>
      <c r="K48" s="582"/>
      <c r="L48" s="582"/>
      <c r="M48" s="582"/>
      <c r="N48" s="582"/>
      <c r="O48" s="583"/>
    </row>
    <row r="49" spans="1:15" ht="15.75" x14ac:dyDescent="0.2">
      <c r="A49" s="556" t="s">
        <v>660</v>
      </c>
      <c r="B49" s="557"/>
      <c r="C49" s="557"/>
      <c r="D49" s="557"/>
      <c r="E49" s="557"/>
      <c r="F49" s="557"/>
      <c r="G49" s="557"/>
      <c r="H49" s="557"/>
      <c r="I49" s="557"/>
      <c r="J49" s="557"/>
      <c r="K49" s="557"/>
      <c r="L49" s="557"/>
      <c r="M49" s="557"/>
      <c r="N49" s="557"/>
      <c r="O49" s="661"/>
    </row>
    <row r="50" spans="1:15" ht="51" x14ac:dyDescent="0.2">
      <c r="A50" s="593">
        <v>11</v>
      </c>
      <c r="B50" s="207" t="s">
        <v>663</v>
      </c>
      <c r="C50" s="207" t="s">
        <v>29</v>
      </c>
      <c r="D50" s="16" t="s">
        <v>661</v>
      </c>
      <c r="E50" s="17">
        <v>100</v>
      </c>
      <c r="F50" s="18" t="s">
        <v>73</v>
      </c>
      <c r="G50" s="18" t="s">
        <v>302</v>
      </c>
      <c r="H50" s="60">
        <f>500*1.17</f>
        <v>585</v>
      </c>
      <c r="I50" s="18">
        <f>H50*40</f>
        <v>23400</v>
      </c>
      <c r="J50" s="16" t="s">
        <v>13</v>
      </c>
      <c r="K50" s="209" t="s">
        <v>116</v>
      </c>
      <c r="L50" s="209" t="s">
        <v>97</v>
      </c>
      <c r="M50" s="208">
        <f>I50</f>
        <v>23400</v>
      </c>
      <c r="N50" s="210" t="s">
        <v>18</v>
      </c>
      <c r="O50" s="211"/>
    </row>
    <row r="51" spans="1:15" ht="13.9" customHeight="1" x14ac:dyDescent="0.2">
      <c r="A51" s="595"/>
      <c r="B51" s="581" t="s">
        <v>662</v>
      </c>
      <c r="C51" s="582"/>
      <c r="D51" s="582"/>
      <c r="E51" s="582"/>
      <c r="F51" s="582"/>
      <c r="G51" s="582"/>
      <c r="H51" s="582"/>
      <c r="I51" s="582"/>
      <c r="J51" s="582"/>
      <c r="K51" s="582"/>
      <c r="L51" s="582"/>
      <c r="M51" s="582"/>
      <c r="N51" s="582"/>
      <c r="O51" s="583"/>
    </row>
    <row r="52" spans="1:15" ht="15.75" x14ac:dyDescent="0.2">
      <c r="A52" s="20"/>
      <c r="B52" s="39"/>
      <c r="C52" s="39"/>
      <c r="D52" s="39"/>
      <c r="E52" s="39"/>
      <c r="F52" s="39"/>
      <c r="G52" s="39"/>
      <c r="H52" s="39"/>
      <c r="I52" s="39"/>
      <c r="J52" s="39"/>
      <c r="K52" s="39"/>
      <c r="L52" s="39"/>
      <c r="M52" s="39"/>
    </row>
    <row r="53" spans="1:15" ht="15.75" x14ac:dyDescent="0.2">
      <c r="A53" s="556" t="s">
        <v>141</v>
      </c>
      <c r="B53" s="557"/>
      <c r="C53" s="557"/>
      <c r="D53" s="557"/>
      <c r="E53" s="557"/>
      <c r="F53" s="557"/>
      <c r="G53" s="557"/>
      <c r="H53" s="557"/>
      <c r="I53" s="557"/>
      <c r="J53" s="557"/>
      <c r="K53" s="557"/>
      <c r="L53" s="557"/>
      <c r="M53" s="557"/>
      <c r="N53" s="557"/>
      <c r="O53" s="661"/>
    </row>
    <row r="54" spans="1:15" ht="51" x14ac:dyDescent="0.2">
      <c r="A54" s="593">
        <v>9</v>
      </c>
      <c r="B54" s="179" t="s">
        <v>179</v>
      </c>
      <c r="C54" s="179" t="s">
        <v>29</v>
      </c>
      <c r="D54" s="16" t="s">
        <v>84</v>
      </c>
      <c r="E54" s="17">
        <v>100</v>
      </c>
      <c r="F54" s="18" t="s">
        <v>14</v>
      </c>
      <c r="G54" s="18" t="s">
        <v>14</v>
      </c>
      <c r="H54" s="60">
        <f>(71500+72000+271575)*1.17</f>
        <v>485637.74999999994</v>
      </c>
      <c r="I54" s="18">
        <f>H54</f>
        <v>485637.74999999994</v>
      </c>
      <c r="J54" s="16" t="s">
        <v>13</v>
      </c>
      <c r="K54" s="183" t="s">
        <v>116</v>
      </c>
      <c r="L54" s="183" t="s">
        <v>130</v>
      </c>
      <c r="M54" s="190">
        <f>I54</f>
        <v>485637.74999999994</v>
      </c>
      <c r="N54" s="185" t="s">
        <v>18</v>
      </c>
      <c r="O54" s="184" t="s">
        <v>85</v>
      </c>
    </row>
    <row r="55" spans="1:15" ht="13.9" customHeight="1" x14ac:dyDescent="0.2">
      <c r="A55" s="595"/>
      <c r="B55" s="581" t="s">
        <v>641</v>
      </c>
      <c r="C55" s="582"/>
      <c r="D55" s="582"/>
      <c r="E55" s="582"/>
      <c r="F55" s="582"/>
      <c r="G55" s="582"/>
      <c r="H55" s="582"/>
      <c r="I55" s="582"/>
      <c r="J55" s="582"/>
      <c r="K55" s="582"/>
      <c r="L55" s="582"/>
      <c r="M55" s="582"/>
      <c r="N55" s="582"/>
      <c r="O55" s="583"/>
    </row>
    <row r="56" spans="1:15" ht="15.75" x14ac:dyDescent="0.2">
      <c r="A56" s="20"/>
      <c r="B56" s="39"/>
      <c r="C56" s="39"/>
      <c r="D56" s="39"/>
      <c r="E56" s="39"/>
      <c r="F56" s="39"/>
      <c r="G56" s="39"/>
      <c r="H56" s="39"/>
      <c r="I56" s="39"/>
      <c r="J56" s="39"/>
      <c r="K56" s="39"/>
      <c r="L56" s="39"/>
      <c r="M56" s="39"/>
      <c r="N56" s="39"/>
      <c r="O56" s="39"/>
    </row>
    <row r="57" spans="1:15" ht="15.75" x14ac:dyDescent="0.2">
      <c r="A57" s="188"/>
      <c r="B57" s="189"/>
      <c r="C57" s="189"/>
      <c r="D57" s="189"/>
      <c r="E57" s="189"/>
      <c r="F57" s="189"/>
      <c r="G57" s="189"/>
      <c r="H57" s="189"/>
      <c r="I57" s="189"/>
      <c r="J57" s="189"/>
      <c r="K57" s="189"/>
      <c r="L57" s="189"/>
      <c r="M57" s="189"/>
      <c r="N57" s="189"/>
      <c r="O57" s="189"/>
    </row>
    <row r="58" spans="1:15" x14ac:dyDescent="0.2">
      <c r="B58" s="23"/>
    </row>
  </sheetData>
  <mergeCells count="81">
    <mergeCell ref="A49:O49"/>
    <mergeCell ref="A50:A51"/>
    <mergeCell ref="B51:O51"/>
    <mergeCell ref="A54:A55"/>
    <mergeCell ref="B55:O55"/>
    <mergeCell ref="A53:O53"/>
    <mergeCell ref="A38:O38"/>
    <mergeCell ref="A39:A42"/>
    <mergeCell ref="B39:B41"/>
    <mergeCell ref="O39:O41"/>
    <mergeCell ref="B42:O42"/>
    <mergeCell ref="C39:C41"/>
    <mergeCell ref="K39:K41"/>
    <mergeCell ref="L39:L41"/>
    <mergeCell ref="M39:M41"/>
    <mergeCell ref="N39:N41"/>
    <mergeCell ref="A43:O43"/>
    <mergeCell ref="A44:A48"/>
    <mergeCell ref="B44:B47"/>
    <mergeCell ref="B31:O31"/>
    <mergeCell ref="A35:O35"/>
    <mergeCell ref="A36:A37"/>
    <mergeCell ref="B37:O37"/>
    <mergeCell ref="A32:O32"/>
    <mergeCell ref="A33:A34"/>
    <mergeCell ref="B34:O34"/>
    <mergeCell ref="O44:O47"/>
    <mergeCell ref="B48:O48"/>
    <mergeCell ref="C44:C47"/>
    <mergeCell ref="K44:K47"/>
    <mergeCell ref="L44:L47"/>
    <mergeCell ref="M44:M47"/>
    <mergeCell ref="A28:O28"/>
    <mergeCell ref="A29:A31"/>
    <mergeCell ref="B29:B30"/>
    <mergeCell ref="C29:C30"/>
    <mergeCell ref="D29:D30"/>
    <mergeCell ref="E29:E30"/>
    <mergeCell ref="I29:I30"/>
    <mergeCell ref="J29:J30"/>
    <mergeCell ref="K29:K30"/>
    <mergeCell ref="L29:L30"/>
    <mergeCell ref="M29:M30"/>
    <mergeCell ref="N29:N30"/>
    <mergeCell ref="O29:O30"/>
    <mergeCell ref="N21:N23"/>
    <mergeCell ref="O21:O23"/>
    <mergeCell ref="B24:O24"/>
    <mergeCell ref="A25:O25"/>
    <mergeCell ref="A26:A27"/>
    <mergeCell ref="B27:O27"/>
    <mergeCell ref="B21:B23"/>
    <mergeCell ref="C21:C23"/>
    <mergeCell ref="K21:K23"/>
    <mergeCell ref="L21:L23"/>
    <mergeCell ref="M21:M23"/>
    <mergeCell ref="A7:O7"/>
    <mergeCell ref="A8:A9"/>
    <mergeCell ref="B9:O9"/>
    <mergeCell ref="A1:A6"/>
    <mergeCell ref="B1:O1"/>
    <mergeCell ref="B2:O2"/>
    <mergeCell ref="B3:O3"/>
    <mergeCell ref="B4:O4"/>
    <mergeCell ref="B5:O5"/>
    <mergeCell ref="N44:N47"/>
    <mergeCell ref="B19:O19"/>
    <mergeCell ref="A10:O10"/>
    <mergeCell ref="A11:A12"/>
    <mergeCell ref="B12:O12"/>
    <mergeCell ref="A13:O13"/>
    <mergeCell ref="A14:A19"/>
    <mergeCell ref="B14:B18"/>
    <mergeCell ref="C14:C18"/>
    <mergeCell ref="K14:K18"/>
    <mergeCell ref="L14:L18"/>
    <mergeCell ref="M14:M18"/>
    <mergeCell ref="N14:N18"/>
    <mergeCell ref="O14:O18"/>
    <mergeCell ref="A20:O20"/>
    <mergeCell ref="A21:A24"/>
  </mergeCells>
  <pageMargins left="0.25" right="0.25" top="0.75" bottom="0.75" header="0.3" footer="0.3"/>
  <pageSetup paperSize="9" scale="72"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3E726-5789-400E-A573-1E6D753B2953}">
  <sheetPr>
    <pageSetUpPr fitToPage="1"/>
  </sheetPr>
  <dimension ref="A1:Q83"/>
  <sheetViews>
    <sheetView rightToLeft="1" zoomScale="102" zoomScaleNormal="102" workbookViewId="0">
      <selection activeCell="A83" sqref="A83:XFD83"/>
    </sheetView>
  </sheetViews>
  <sheetFormatPr defaultColWidth="8.75" defaultRowHeight="15" x14ac:dyDescent="0.2"/>
  <cols>
    <col min="1" max="1" width="4.25" customWidth="1"/>
    <col min="2" max="2" width="21.125" style="6" bestFit="1" customWidth="1"/>
    <col min="4" max="4" width="7.25" customWidth="1"/>
    <col min="5" max="5" width="7.75" customWidth="1"/>
    <col min="6" max="6" width="10.25" bestFit="1" customWidth="1"/>
    <col min="7" max="7" width="12.125" style="7" bestFit="1" customWidth="1"/>
    <col min="8" max="8" width="13.625" style="8" bestFit="1" customWidth="1"/>
    <col min="9" max="9" width="16" style="8" bestFit="1" customWidth="1"/>
    <col min="10" max="10" width="9" customWidth="1"/>
    <col min="11" max="11" width="12.875" style="9" customWidth="1"/>
    <col min="12" max="12" width="19.375" style="9" customWidth="1"/>
    <col min="13" max="13" width="15" style="9" customWidth="1"/>
    <col min="14" max="14" width="10.875" style="10" customWidth="1"/>
    <col min="15" max="15" width="13" style="11" customWidth="1"/>
  </cols>
  <sheetData>
    <row r="1" spans="1:15" ht="20.25" x14ac:dyDescent="0.2">
      <c r="A1" s="571"/>
      <c r="B1" s="572" t="s">
        <v>595</v>
      </c>
      <c r="C1" s="572"/>
      <c r="D1" s="572"/>
      <c r="E1" s="572"/>
      <c r="F1" s="572"/>
      <c r="G1" s="572"/>
      <c r="H1" s="572"/>
      <c r="I1" s="572"/>
      <c r="J1" s="572"/>
      <c r="K1" s="572"/>
      <c r="L1" s="572"/>
      <c r="M1" s="572"/>
      <c r="N1" s="572"/>
      <c r="O1" s="572"/>
    </row>
    <row r="2" spans="1:15" ht="14.25" x14ac:dyDescent="0.2">
      <c r="A2" s="571"/>
      <c r="B2" s="573" t="s">
        <v>131</v>
      </c>
      <c r="C2" s="573"/>
      <c r="D2" s="573"/>
      <c r="E2" s="573"/>
      <c r="F2" s="573"/>
      <c r="G2" s="573"/>
      <c r="H2" s="573"/>
      <c r="I2" s="573"/>
      <c r="J2" s="573"/>
      <c r="K2" s="573"/>
      <c r="L2" s="573"/>
      <c r="M2" s="573"/>
      <c r="N2" s="573"/>
      <c r="O2" s="573"/>
    </row>
    <row r="3" spans="1:15" ht="15.75" x14ac:dyDescent="0.2">
      <c r="A3" s="571"/>
      <c r="B3" s="712" t="s">
        <v>101</v>
      </c>
      <c r="C3" s="712"/>
      <c r="D3" s="712"/>
      <c r="E3" s="712"/>
      <c r="F3" s="712"/>
      <c r="G3" s="712"/>
      <c r="H3" s="712"/>
      <c r="I3" s="712"/>
      <c r="J3" s="712"/>
      <c r="K3" s="712"/>
      <c r="L3" s="712"/>
      <c r="M3" s="712"/>
      <c r="N3" s="712"/>
      <c r="O3" s="712"/>
    </row>
    <row r="4" spans="1:15" ht="14.25" x14ac:dyDescent="0.2">
      <c r="A4" s="571"/>
      <c r="B4" s="713" t="s">
        <v>52</v>
      </c>
      <c r="C4" s="713"/>
      <c r="D4" s="713"/>
      <c r="E4" s="713"/>
      <c r="F4" s="713"/>
      <c r="G4" s="713"/>
      <c r="H4" s="713"/>
      <c r="I4" s="713"/>
      <c r="J4" s="713"/>
      <c r="K4" s="713"/>
      <c r="L4" s="713"/>
      <c r="M4" s="713"/>
      <c r="N4" s="713"/>
      <c r="O4" s="713"/>
    </row>
    <row r="5" spans="1:15" ht="14.25" x14ac:dyDescent="0.2">
      <c r="A5" s="571"/>
      <c r="B5" s="713" t="s">
        <v>51</v>
      </c>
      <c r="C5" s="713"/>
      <c r="D5" s="713"/>
      <c r="E5" s="713"/>
      <c r="F5" s="713"/>
      <c r="G5" s="713"/>
      <c r="H5" s="713"/>
      <c r="I5" s="713"/>
      <c r="J5" s="713"/>
      <c r="K5" s="713"/>
      <c r="L5" s="713"/>
      <c r="M5" s="713"/>
      <c r="N5" s="713"/>
      <c r="O5" s="713"/>
    </row>
    <row r="6" spans="1:15" ht="46.5" customHeight="1" x14ac:dyDescent="0.2">
      <c r="A6" s="571"/>
      <c r="B6" s="48" t="s">
        <v>0</v>
      </c>
      <c r="C6" s="143" t="s">
        <v>1</v>
      </c>
      <c r="D6" s="145" t="s">
        <v>2</v>
      </c>
      <c r="E6" s="145" t="s">
        <v>3</v>
      </c>
      <c r="F6" s="145" t="s">
        <v>4</v>
      </c>
      <c r="G6" s="145" t="s">
        <v>5</v>
      </c>
      <c r="H6" s="2" t="s">
        <v>6</v>
      </c>
      <c r="I6" s="3" t="s">
        <v>7</v>
      </c>
      <c r="J6" s="145" t="s">
        <v>8</v>
      </c>
      <c r="K6" s="145" t="s">
        <v>9</v>
      </c>
      <c r="L6" s="145" t="s">
        <v>95</v>
      </c>
      <c r="M6" s="146" t="s">
        <v>96</v>
      </c>
      <c r="N6" s="35" t="s">
        <v>10</v>
      </c>
      <c r="O6" s="145" t="s">
        <v>11</v>
      </c>
    </row>
    <row r="7" spans="1:15" ht="15.75" x14ac:dyDescent="0.2">
      <c r="A7" s="556" t="s">
        <v>514</v>
      </c>
      <c r="B7" s="557"/>
      <c r="C7" s="557"/>
      <c r="D7" s="557"/>
      <c r="E7" s="557"/>
      <c r="F7" s="557"/>
      <c r="G7" s="557"/>
      <c r="H7" s="557"/>
      <c r="I7" s="557"/>
      <c r="J7" s="557"/>
      <c r="K7" s="557"/>
      <c r="L7" s="557"/>
      <c r="M7" s="557"/>
      <c r="N7" s="557"/>
      <c r="O7" s="661"/>
    </row>
    <row r="8" spans="1:15" ht="51" x14ac:dyDescent="0.2">
      <c r="A8" s="720">
        <v>1</v>
      </c>
      <c r="B8" s="142" t="s">
        <v>515</v>
      </c>
      <c r="C8" s="142" t="s">
        <v>88</v>
      </c>
      <c r="D8" s="13" t="s">
        <v>70</v>
      </c>
      <c r="E8" s="14">
        <v>100</v>
      </c>
      <c r="F8" s="15" t="s">
        <v>14</v>
      </c>
      <c r="G8" s="15" t="s">
        <v>14</v>
      </c>
      <c r="H8" s="15">
        <f>71352*117/100</f>
        <v>83481.84</v>
      </c>
      <c r="I8" s="22">
        <f>H8</f>
        <v>83481.84</v>
      </c>
      <c r="J8" s="13" t="s">
        <v>13</v>
      </c>
      <c r="K8" s="138" t="s">
        <v>116</v>
      </c>
      <c r="L8" s="138" t="s">
        <v>97</v>
      </c>
      <c r="M8" s="57">
        <f>I8</f>
        <v>83481.84</v>
      </c>
      <c r="N8" s="140" t="s">
        <v>18</v>
      </c>
      <c r="O8" s="58" t="s">
        <v>516</v>
      </c>
    </row>
    <row r="9" spans="1:15" ht="14.25" x14ac:dyDescent="0.2">
      <c r="A9" s="721"/>
      <c r="B9" s="717"/>
      <c r="C9" s="718"/>
      <c r="D9" s="718"/>
      <c r="E9" s="718"/>
      <c r="F9" s="718"/>
      <c r="G9" s="718"/>
      <c r="H9" s="718"/>
      <c r="I9" s="718"/>
      <c r="J9" s="718"/>
      <c r="K9" s="718"/>
      <c r="L9" s="718"/>
      <c r="M9" s="718"/>
      <c r="N9" s="718"/>
      <c r="O9" s="719"/>
    </row>
    <row r="10" spans="1:15" ht="15.75" x14ac:dyDescent="0.2">
      <c r="A10" s="751" t="s">
        <v>517</v>
      </c>
      <c r="B10" s="752"/>
      <c r="C10" s="752"/>
      <c r="D10" s="752"/>
      <c r="E10" s="752"/>
      <c r="F10" s="752"/>
      <c r="G10" s="752"/>
      <c r="H10" s="752"/>
      <c r="I10" s="752"/>
      <c r="J10" s="752"/>
      <c r="K10" s="752"/>
      <c r="L10" s="752"/>
      <c r="M10" s="752"/>
      <c r="N10" s="752"/>
      <c r="O10" s="753"/>
    </row>
    <row r="11" spans="1:15" ht="25.5" x14ac:dyDescent="0.2">
      <c r="A11" s="754">
        <v>2</v>
      </c>
      <c r="B11" s="757" t="s">
        <v>518</v>
      </c>
      <c r="C11" s="757" t="s">
        <v>175</v>
      </c>
      <c r="D11" s="159" t="s">
        <v>519</v>
      </c>
      <c r="E11" s="159">
        <v>100</v>
      </c>
      <c r="F11" s="159" t="s">
        <v>358</v>
      </c>
      <c r="G11" s="159" t="s">
        <v>520</v>
      </c>
      <c r="H11" s="158">
        <v>3.5000000000000003E-2</v>
      </c>
      <c r="I11" s="160">
        <f>H11*4700000*117/100</f>
        <v>192465.00000000003</v>
      </c>
      <c r="J11" s="159"/>
      <c r="K11" s="760" t="s">
        <v>72</v>
      </c>
      <c r="L11" s="760" t="s">
        <v>602</v>
      </c>
      <c r="M11" s="763">
        <f>3.3%*4700000*117/100</f>
        <v>181467</v>
      </c>
      <c r="N11" s="766" t="s">
        <v>18</v>
      </c>
      <c r="O11" s="748" t="s">
        <v>524</v>
      </c>
    </row>
    <row r="12" spans="1:15" ht="25.5" x14ac:dyDescent="0.2">
      <c r="A12" s="755"/>
      <c r="B12" s="758"/>
      <c r="C12" s="758"/>
      <c r="D12" s="136" t="s">
        <v>521</v>
      </c>
      <c r="E12" s="136">
        <v>94</v>
      </c>
      <c r="F12" s="136" t="s">
        <v>358</v>
      </c>
      <c r="G12" s="154" t="s">
        <v>520</v>
      </c>
      <c r="H12" s="133">
        <v>3.85E-2</v>
      </c>
      <c r="I12" s="153">
        <f>H12*4700000*117/100</f>
        <v>211711.5</v>
      </c>
      <c r="J12" s="136"/>
      <c r="K12" s="761"/>
      <c r="L12" s="761"/>
      <c r="M12" s="764">
        <f>L12*4700000*117/100</f>
        <v>0</v>
      </c>
      <c r="N12" s="767"/>
      <c r="O12" s="749"/>
    </row>
    <row r="13" spans="1:15" ht="25.5" x14ac:dyDescent="0.2">
      <c r="A13" s="755"/>
      <c r="B13" s="758"/>
      <c r="C13" s="758"/>
      <c r="D13" s="136" t="s">
        <v>522</v>
      </c>
      <c r="E13" s="136">
        <v>87</v>
      </c>
      <c r="F13" s="136" t="s">
        <v>358</v>
      </c>
      <c r="G13" s="154" t="s">
        <v>520</v>
      </c>
      <c r="H13" s="133">
        <v>3.8899999999999997E-2</v>
      </c>
      <c r="I13" s="153">
        <f>H13*4700000*117/100</f>
        <v>213911.1</v>
      </c>
      <c r="J13" s="136" t="s">
        <v>13</v>
      </c>
      <c r="K13" s="761"/>
      <c r="L13" s="761"/>
      <c r="M13" s="764">
        <f>L13*4700000*117/100</f>
        <v>0</v>
      </c>
      <c r="N13" s="767"/>
      <c r="O13" s="749"/>
    </row>
    <row r="14" spans="1:15" ht="25.5" x14ac:dyDescent="0.2">
      <c r="A14" s="755"/>
      <c r="B14" s="759"/>
      <c r="C14" s="759"/>
      <c r="D14" s="136" t="s">
        <v>523</v>
      </c>
      <c r="E14" s="136">
        <v>73</v>
      </c>
      <c r="F14" s="136" t="s">
        <v>358</v>
      </c>
      <c r="G14" s="154" t="s">
        <v>520</v>
      </c>
      <c r="H14" s="133">
        <v>4.4999999999999998E-2</v>
      </c>
      <c r="I14" s="153">
        <f>H14*4700000*117/100</f>
        <v>247455</v>
      </c>
      <c r="J14" s="136"/>
      <c r="K14" s="762"/>
      <c r="L14" s="762"/>
      <c r="M14" s="765">
        <f>L14*4700000*117/100</f>
        <v>0</v>
      </c>
      <c r="N14" s="768"/>
      <c r="O14" s="750"/>
    </row>
    <row r="15" spans="1:15" ht="14.45" customHeight="1" x14ac:dyDescent="0.2">
      <c r="A15" s="756"/>
      <c r="B15" s="769"/>
      <c r="C15" s="770"/>
      <c r="D15" s="770"/>
      <c r="E15" s="770"/>
      <c r="F15" s="770"/>
      <c r="G15" s="770"/>
      <c r="H15" s="770"/>
      <c r="I15" s="770"/>
      <c r="J15" s="770"/>
      <c r="K15" s="770"/>
      <c r="L15" s="770"/>
      <c r="M15" s="770"/>
      <c r="N15" s="770"/>
      <c r="O15" s="771"/>
    </row>
    <row r="16" spans="1:15" ht="15.75" x14ac:dyDescent="0.2">
      <c r="A16" s="556" t="s">
        <v>525</v>
      </c>
      <c r="B16" s="557"/>
      <c r="C16" s="557"/>
      <c r="D16" s="557"/>
      <c r="E16" s="557"/>
      <c r="F16" s="557"/>
      <c r="G16" s="557"/>
      <c r="H16" s="557"/>
      <c r="I16" s="557"/>
      <c r="J16" s="557"/>
      <c r="K16" s="557"/>
      <c r="L16" s="557"/>
      <c r="M16" s="557"/>
      <c r="N16" s="557"/>
      <c r="O16" s="661"/>
    </row>
    <row r="17" spans="1:17" ht="38.25" x14ac:dyDescent="0.2">
      <c r="A17" s="593">
        <v>3</v>
      </c>
      <c r="B17" s="585" t="s">
        <v>526</v>
      </c>
      <c r="C17" s="585" t="s">
        <v>175</v>
      </c>
      <c r="D17" s="239" t="s">
        <v>527</v>
      </c>
      <c r="E17" s="240">
        <v>85</v>
      </c>
      <c r="F17" s="241" t="s">
        <v>14</v>
      </c>
      <c r="G17" s="241" t="s">
        <v>14</v>
      </c>
      <c r="H17" s="241">
        <f>53770*117/100</f>
        <v>62910.9</v>
      </c>
      <c r="I17" s="241">
        <f>H17</f>
        <v>62910.9</v>
      </c>
      <c r="J17" s="239" t="s">
        <v>13</v>
      </c>
      <c r="K17" s="714" t="s">
        <v>15</v>
      </c>
      <c r="L17" s="714" t="s">
        <v>732</v>
      </c>
      <c r="M17" s="657">
        <f>I18*0.88</f>
        <v>92664</v>
      </c>
      <c r="N17" s="659" t="s">
        <v>18</v>
      </c>
      <c r="O17" s="671"/>
    </row>
    <row r="18" spans="1:17" ht="25.5" x14ac:dyDescent="0.2">
      <c r="A18" s="594"/>
      <c r="B18" s="586"/>
      <c r="C18" s="586"/>
      <c r="D18" s="13" t="s">
        <v>528</v>
      </c>
      <c r="E18" s="14">
        <v>72</v>
      </c>
      <c r="F18" s="15" t="s">
        <v>14</v>
      </c>
      <c r="G18" s="15" t="s">
        <v>14</v>
      </c>
      <c r="H18" s="15">
        <f>90000*117/100</f>
        <v>105300</v>
      </c>
      <c r="I18" s="15">
        <f>H18</f>
        <v>105300</v>
      </c>
      <c r="J18" s="13" t="s">
        <v>13</v>
      </c>
      <c r="K18" s="715"/>
      <c r="L18" s="715"/>
      <c r="M18" s="673"/>
      <c r="N18" s="674"/>
      <c r="O18" s="672"/>
    </row>
    <row r="19" spans="1:17" ht="38.25" x14ac:dyDescent="0.2">
      <c r="A19" s="594"/>
      <c r="B19" s="596"/>
      <c r="C19" s="596"/>
      <c r="D19" s="144" t="s">
        <v>529</v>
      </c>
      <c r="E19" s="38">
        <v>68</v>
      </c>
      <c r="F19" s="34" t="s">
        <v>14</v>
      </c>
      <c r="G19" s="34" t="s">
        <v>14</v>
      </c>
      <c r="H19" s="34">
        <f>100000*117/100</f>
        <v>117000</v>
      </c>
      <c r="I19" s="34">
        <f>H19</f>
        <v>117000</v>
      </c>
      <c r="J19" s="144" t="s">
        <v>13</v>
      </c>
      <c r="K19" s="716"/>
      <c r="L19" s="716"/>
      <c r="M19" s="658"/>
      <c r="N19" s="660"/>
      <c r="O19" s="705"/>
    </row>
    <row r="20" spans="1:17" ht="14.25" x14ac:dyDescent="0.2">
      <c r="A20" s="595"/>
      <c r="B20" s="717" t="s">
        <v>731</v>
      </c>
      <c r="C20" s="718"/>
      <c r="D20" s="718"/>
      <c r="E20" s="718"/>
      <c r="F20" s="718"/>
      <c r="G20" s="718"/>
      <c r="H20" s="718"/>
      <c r="I20" s="718"/>
      <c r="J20" s="718"/>
      <c r="K20" s="718"/>
      <c r="L20" s="718"/>
      <c r="M20" s="718"/>
      <c r="N20" s="718"/>
      <c r="O20" s="719"/>
    </row>
    <row r="21" spans="1:17" ht="15.75" x14ac:dyDescent="0.2">
      <c r="A21" s="556" t="s">
        <v>531</v>
      </c>
      <c r="B21" s="557"/>
      <c r="C21" s="557"/>
      <c r="D21" s="557"/>
      <c r="E21" s="557"/>
      <c r="F21" s="557"/>
      <c r="G21" s="557"/>
      <c r="H21" s="557"/>
      <c r="I21" s="557"/>
      <c r="J21" s="557"/>
      <c r="K21" s="557"/>
      <c r="L21" s="557"/>
      <c r="M21" s="557"/>
      <c r="N21" s="557"/>
      <c r="O21" s="661"/>
      <c r="P21" s="10"/>
      <c r="Q21" s="11"/>
    </row>
    <row r="22" spans="1:17" ht="38.25" x14ac:dyDescent="0.2">
      <c r="A22" s="593">
        <v>4</v>
      </c>
      <c r="B22" s="585" t="s">
        <v>478</v>
      </c>
      <c r="C22" s="585" t="s">
        <v>479</v>
      </c>
      <c r="D22" s="124" t="s">
        <v>480</v>
      </c>
      <c r="E22" s="125">
        <v>100</v>
      </c>
      <c r="F22" s="98" t="s">
        <v>12</v>
      </c>
      <c r="G22" s="98" t="s">
        <v>481</v>
      </c>
      <c r="H22" s="98">
        <f>250*117/100</f>
        <v>292.5</v>
      </c>
      <c r="I22" s="98">
        <f>H22*70*8</f>
        <v>163800</v>
      </c>
      <c r="J22" s="124"/>
      <c r="K22" s="560" t="s">
        <v>186</v>
      </c>
      <c r="L22" s="560"/>
      <c r="M22" s="657"/>
      <c r="N22" s="731" t="s">
        <v>604</v>
      </c>
      <c r="O22" s="671"/>
    </row>
    <row r="23" spans="1:17" ht="38.25" x14ac:dyDescent="0.2">
      <c r="A23" s="594"/>
      <c r="B23" s="586"/>
      <c r="C23" s="586"/>
      <c r="D23" s="19" t="s">
        <v>482</v>
      </c>
      <c r="E23" s="24">
        <v>94</v>
      </c>
      <c r="F23" s="34" t="s">
        <v>12</v>
      </c>
      <c r="G23" s="12" t="s">
        <v>481</v>
      </c>
      <c r="H23" s="12">
        <f>250*117/100</f>
        <v>292.5</v>
      </c>
      <c r="I23" s="12">
        <f>H23*70*8</f>
        <v>163800</v>
      </c>
      <c r="J23" s="144"/>
      <c r="K23" s="561"/>
      <c r="L23" s="561"/>
      <c r="M23" s="673"/>
      <c r="N23" s="732"/>
      <c r="O23" s="672"/>
    </row>
    <row r="24" spans="1:17" ht="38.25" x14ac:dyDescent="0.2">
      <c r="A24" s="594"/>
      <c r="B24" s="596"/>
      <c r="C24" s="596"/>
      <c r="D24" s="144" t="s">
        <v>483</v>
      </c>
      <c r="E24" s="38">
        <v>90</v>
      </c>
      <c r="F24" s="34" t="s">
        <v>12</v>
      </c>
      <c r="G24" s="12" t="s">
        <v>481</v>
      </c>
      <c r="H24" s="12">
        <f>290*117/100</f>
        <v>339.3</v>
      </c>
      <c r="I24" s="12">
        <f>H24*70*8</f>
        <v>190008</v>
      </c>
      <c r="J24" s="144"/>
      <c r="K24" s="562"/>
      <c r="L24" s="562"/>
      <c r="M24" s="658"/>
      <c r="N24" s="733"/>
      <c r="O24" s="705"/>
    </row>
    <row r="25" spans="1:17" ht="14.25" x14ac:dyDescent="0.2">
      <c r="A25" s="595"/>
      <c r="B25" s="581" t="s">
        <v>530</v>
      </c>
      <c r="C25" s="582"/>
      <c r="D25" s="582"/>
      <c r="E25" s="582"/>
      <c r="F25" s="582"/>
      <c r="G25" s="582"/>
      <c r="H25" s="582"/>
      <c r="I25" s="582"/>
      <c r="J25" s="582"/>
      <c r="K25" s="582"/>
      <c r="L25" s="582"/>
      <c r="M25" s="582"/>
      <c r="N25" s="582"/>
      <c r="O25" s="583"/>
    </row>
    <row r="26" spans="1:17" ht="15.75" x14ac:dyDescent="0.2">
      <c r="A26" s="751" t="s">
        <v>532</v>
      </c>
      <c r="B26" s="752"/>
      <c r="C26" s="752"/>
      <c r="D26" s="752"/>
      <c r="E26" s="752"/>
      <c r="F26" s="752"/>
      <c r="G26" s="752"/>
      <c r="H26" s="752"/>
      <c r="I26" s="752"/>
      <c r="J26" s="752"/>
      <c r="K26" s="752"/>
      <c r="L26" s="752"/>
      <c r="M26" s="752"/>
      <c r="N26" s="752"/>
      <c r="O26" s="753"/>
    </row>
    <row r="27" spans="1:17" ht="27" customHeight="1" x14ac:dyDescent="0.2">
      <c r="A27" s="754">
        <v>5</v>
      </c>
      <c r="B27" s="757" t="s">
        <v>596</v>
      </c>
      <c r="C27" s="757" t="s">
        <v>533</v>
      </c>
      <c r="D27" s="16" t="s">
        <v>534</v>
      </c>
      <c r="E27" s="17">
        <v>100</v>
      </c>
      <c r="F27" s="18" t="s">
        <v>78</v>
      </c>
      <c r="G27" s="18"/>
      <c r="H27" s="158">
        <v>0.1</v>
      </c>
      <c r="I27" s="18"/>
      <c r="J27" s="16" t="s">
        <v>13</v>
      </c>
      <c r="K27" s="760" t="s">
        <v>598</v>
      </c>
      <c r="L27" s="760" t="s">
        <v>97</v>
      </c>
      <c r="M27" s="763" t="s">
        <v>664</v>
      </c>
      <c r="N27" s="766" t="s">
        <v>18</v>
      </c>
      <c r="O27" s="748"/>
    </row>
    <row r="28" spans="1:17" ht="25.5" x14ac:dyDescent="0.2">
      <c r="A28" s="755"/>
      <c r="B28" s="758"/>
      <c r="C28" s="758"/>
      <c r="D28" s="13" t="s">
        <v>535</v>
      </c>
      <c r="E28" s="14">
        <v>100</v>
      </c>
      <c r="F28" s="18" t="s">
        <v>78</v>
      </c>
      <c r="G28" s="15"/>
      <c r="H28" s="158">
        <v>0.1</v>
      </c>
      <c r="I28" s="15"/>
      <c r="J28" s="13" t="s">
        <v>13</v>
      </c>
      <c r="K28" s="761"/>
      <c r="L28" s="761"/>
      <c r="M28" s="764"/>
      <c r="N28" s="767"/>
      <c r="O28" s="749"/>
    </row>
    <row r="29" spans="1:17" ht="25.5" x14ac:dyDescent="0.2">
      <c r="A29" s="755"/>
      <c r="B29" s="759"/>
      <c r="C29" s="759"/>
      <c r="D29" s="16" t="s">
        <v>77</v>
      </c>
      <c r="E29" s="14">
        <v>100</v>
      </c>
      <c r="F29" s="18" t="s">
        <v>78</v>
      </c>
      <c r="G29" s="15"/>
      <c r="H29" s="158">
        <v>0.1</v>
      </c>
      <c r="I29" s="15"/>
      <c r="J29" s="13" t="s">
        <v>13</v>
      </c>
      <c r="K29" s="762"/>
      <c r="L29" s="762"/>
      <c r="M29" s="765"/>
      <c r="N29" s="768"/>
      <c r="O29" s="750"/>
    </row>
    <row r="30" spans="1:17" ht="14.45" customHeight="1" x14ac:dyDescent="0.2">
      <c r="A30" s="756"/>
      <c r="B30" s="581" t="s">
        <v>537</v>
      </c>
      <c r="C30" s="582"/>
      <c r="D30" s="582"/>
      <c r="E30" s="582"/>
      <c r="F30" s="582"/>
      <c r="G30" s="582"/>
      <c r="H30" s="582"/>
      <c r="I30" s="582"/>
      <c r="J30" s="582"/>
      <c r="K30" s="582"/>
      <c r="L30" s="582"/>
      <c r="M30" s="582"/>
      <c r="N30" s="582"/>
      <c r="O30" s="583"/>
    </row>
    <row r="31" spans="1:17" ht="15.75" x14ac:dyDescent="0.2">
      <c r="A31" s="751" t="s">
        <v>538</v>
      </c>
      <c r="B31" s="752"/>
      <c r="C31" s="752"/>
      <c r="D31" s="752"/>
      <c r="E31" s="752"/>
      <c r="F31" s="752"/>
      <c r="G31" s="752"/>
      <c r="H31" s="752"/>
      <c r="I31" s="752"/>
      <c r="J31" s="752"/>
      <c r="K31" s="752"/>
      <c r="L31" s="752"/>
      <c r="M31" s="752"/>
      <c r="N31" s="752"/>
      <c r="O31" s="753"/>
    </row>
    <row r="32" spans="1:17" ht="27" customHeight="1" x14ac:dyDescent="0.2">
      <c r="A32" s="754">
        <v>6</v>
      </c>
      <c r="B32" s="757" t="s">
        <v>597</v>
      </c>
      <c r="C32" s="757" t="s">
        <v>79</v>
      </c>
      <c r="D32" s="16" t="s">
        <v>77</v>
      </c>
      <c r="E32" s="17">
        <v>100</v>
      </c>
      <c r="F32" s="18" t="s">
        <v>78</v>
      </c>
      <c r="G32" s="18"/>
      <c r="H32" s="25">
        <v>0.1</v>
      </c>
      <c r="I32" s="18"/>
      <c r="J32" s="16" t="s">
        <v>13</v>
      </c>
      <c r="K32" s="760" t="s">
        <v>598</v>
      </c>
      <c r="L32" s="760" t="s">
        <v>97</v>
      </c>
      <c r="M32" s="763" t="s">
        <v>599</v>
      </c>
      <c r="N32" s="766" t="s">
        <v>18</v>
      </c>
      <c r="O32" s="748"/>
    </row>
    <row r="33" spans="1:15" ht="38.25" x14ac:dyDescent="0.2">
      <c r="A33" s="755"/>
      <c r="B33" s="758"/>
      <c r="C33" s="758"/>
      <c r="D33" s="13" t="s">
        <v>80</v>
      </c>
      <c r="E33" s="14">
        <v>95</v>
      </c>
      <c r="F33" s="18" t="s">
        <v>78</v>
      </c>
      <c r="G33" s="15"/>
      <c r="H33" s="25">
        <v>0.1</v>
      </c>
      <c r="I33" s="15"/>
      <c r="J33" s="13"/>
      <c r="K33" s="761"/>
      <c r="L33" s="761"/>
      <c r="M33" s="764"/>
      <c r="N33" s="767"/>
      <c r="O33" s="749"/>
    </row>
    <row r="34" spans="1:15" ht="38.25" x14ac:dyDescent="0.2">
      <c r="A34" s="755"/>
      <c r="B34" s="758"/>
      <c r="C34" s="758"/>
      <c r="D34" s="13" t="s">
        <v>81</v>
      </c>
      <c r="E34" s="14">
        <v>95</v>
      </c>
      <c r="F34" s="18" t="s">
        <v>78</v>
      </c>
      <c r="G34" s="15"/>
      <c r="H34" s="25">
        <v>0.1</v>
      </c>
      <c r="I34" s="15"/>
      <c r="J34" s="13"/>
      <c r="K34" s="761"/>
      <c r="L34" s="761"/>
      <c r="M34" s="764"/>
      <c r="N34" s="767"/>
      <c r="O34" s="749"/>
    </row>
    <row r="35" spans="1:15" ht="25.5" x14ac:dyDescent="0.2">
      <c r="A35" s="755"/>
      <c r="B35" s="759"/>
      <c r="C35" s="759"/>
      <c r="D35" s="13" t="s">
        <v>82</v>
      </c>
      <c r="E35" s="14">
        <v>95</v>
      </c>
      <c r="F35" s="18" t="s">
        <v>78</v>
      </c>
      <c r="G35" s="15"/>
      <c r="H35" s="25">
        <v>0.1</v>
      </c>
      <c r="I35" s="15"/>
      <c r="J35" s="13"/>
      <c r="K35" s="762"/>
      <c r="L35" s="762"/>
      <c r="M35" s="765"/>
      <c r="N35" s="768"/>
      <c r="O35" s="750"/>
    </row>
    <row r="36" spans="1:15" ht="14.45" customHeight="1" x14ac:dyDescent="0.2">
      <c r="A36" s="756"/>
      <c r="B36" s="581" t="s">
        <v>539</v>
      </c>
      <c r="C36" s="582"/>
      <c r="D36" s="582"/>
      <c r="E36" s="582"/>
      <c r="F36" s="582"/>
      <c r="G36" s="582"/>
      <c r="H36" s="582"/>
      <c r="I36" s="582"/>
      <c r="J36" s="582"/>
      <c r="K36" s="582"/>
      <c r="L36" s="582"/>
      <c r="M36" s="582"/>
      <c r="N36" s="582"/>
      <c r="O36" s="583"/>
    </row>
    <row r="37" spans="1:15" ht="15.75" x14ac:dyDescent="0.2">
      <c r="A37" s="556" t="s">
        <v>540</v>
      </c>
      <c r="B37" s="557"/>
      <c r="C37" s="557"/>
      <c r="D37" s="557"/>
      <c r="E37" s="557"/>
      <c r="F37" s="557"/>
      <c r="G37" s="557"/>
      <c r="H37" s="557"/>
      <c r="I37" s="557"/>
      <c r="J37" s="557"/>
      <c r="K37" s="557"/>
      <c r="L37" s="557"/>
      <c r="M37" s="557"/>
      <c r="N37" s="557"/>
      <c r="O37" s="661"/>
    </row>
    <row r="38" spans="1:15" ht="51" x14ac:dyDescent="0.2">
      <c r="A38" s="720">
        <v>7</v>
      </c>
      <c r="B38" s="195" t="s">
        <v>541</v>
      </c>
      <c r="C38" s="195" t="s">
        <v>542</v>
      </c>
      <c r="D38" s="16" t="s">
        <v>536</v>
      </c>
      <c r="E38" s="17">
        <v>100</v>
      </c>
      <c r="F38" s="18" t="s">
        <v>543</v>
      </c>
      <c r="G38" s="18" t="s">
        <v>193</v>
      </c>
      <c r="H38" s="18">
        <f>1300*117/100</f>
        <v>1521</v>
      </c>
      <c r="I38" s="18">
        <f>H38*12</f>
        <v>18252</v>
      </c>
      <c r="J38" s="16" t="s">
        <v>13</v>
      </c>
      <c r="K38" s="193" t="s">
        <v>116</v>
      </c>
      <c r="L38" s="193" t="s">
        <v>97</v>
      </c>
      <c r="M38" s="57">
        <f>I38</f>
        <v>18252</v>
      </c>
      <c r="N38" s="194" t="s">
        <v>18</v>
      </c>
      <c r="O38" s="58">
        <v>1931000751</v>
      </c>
    </row>
    <row r="39" spans="1:15" ht="13.9" customHeight="1" x14ac:dyDescent="0.2">
      <c r="A39" s="721"/>
      <c r="B39" s="717"/>
      <c r="C39" s="718"/>
      <c r="D39" s="718"/>
      <c r="E39" s="718"/>
      <c r="F39" s="718"/>
      <c r="G39" s="718"/>
      <c r="H39" s="718"/>
      <c r="I39" s="718"/>
      <c r="J39" s="718"/>
      <c r="K39" s="718"/>
      <c r="L39" s="718"/>
      <c r="M39" s="718"/>
      <c r="N39" s="718"/>
      <c r="O39" s="719"/>
    </row>
    <row r="40" spans="1:15" ht="15.75" x14ac:dyDescent="0.2">
      <c r="A40" s="556" t="s">
        <v>544</v>
      </c>
      <c r="B40" s="557"/>
      <c r="C40" s="557"/>
      <c r="D40" s="557"/>
      <c r="E40" s="557"/>
      <c r="F40" s="557"/>
      <c r="G40" s="557"/>
      <c r="H40" s="557"/>
      <c r="I40" s="557"/>
      <c r="J40" s="557"/>
      <c r="K40" s="557"/>
      <c r="L40" s="557"/>
      <c r="M40" s="557"/>
      <c r="N40" s="557"/>
      <c r="O40" s="661"/>
    </row>
    <row r="41" spans="1:15" ht="43.15" customHeight="1" x14ac:dyDescent="0.2">
      <c r="A41" s="593">
        <v>8</v>
      </c>
      <c r="B41" s="585" t="s">
        <v>545</v>
      </c>
      <c r="C41" s="585" t="s">
        <v>127</v>
      </c>
      <c r="D41" s="26" t="s">
        <v>546</v>
      </c>
      <c r="E41" s="27">
        <v>85</v>
      </c>
      <c r="F41" s="28" t="s">
        <v>547</v>
      </c>
      <c r="G41" s="28" t="s">
        <v>14</v>
      </c>
      <c r="H41" s="28">
        <f>65150*117/100</f>
        <v>76225.5</v>
      </c>
      <c r="I41" s="28">
        <f>H41</f>
        <v>76225.5</v>
      </c>
      <c r="J41" s="26" t="s">
        <v>13</v>
      </c>
      <c r="K41" s="714" t="s">
        <v>15</v>
      </c>
      <c r="L41" s="714" t="s">
        <v>606</v>
      </c>
      <c r="M41" s="657">
        <f>I41*0.88</f>
        <v>67078.44</v>
      </c>
      <c r="N41" s="659" t="s">
        <v>18</v>
      </c>
      <c r="O41" s="671"/>
    </row>
    <row r="42" spans="1:15" ht="34.15" customHeight="1" x14ac:dyDescent="0.2">
      <c r="A42" s="594"/>
      <c r="B42" s="596"/>
      <c r="C42" s="596"/>
      <c r="D42" s="144" t="s">
        <v>548</v>
      </c>
      <c r="E42" s="38">
        <v>72</v>
      </c>
      <c r="F42" s="34" t="s">
        <v>547</v>
      </c>
      <c r="G42" s="34" t="s">
        <v>14</v>
      </c>
      <c r="H42" s="34">
        <f>69000*117/100</f>
        <v>80730</v>
      </c>
      <c r="I42" s="34">
        <f>H42</f>
        <v>80730</v>
      </c>
      <c r="J42" s="144" t="s">
        <v>13</v>
      </c>
      <c r="K42" s="716"/>
      <c r="L42" s="716"/>
      <c r="M42" s="658"/>
      <c r="N42" s="660"/>
      <c r="O42" s="705"/>
    </row>
    <row r="43" spans="1:15" ht="14.25" x14ac:dyDescent="0.2">
      <c r="A43" s="595"/>
      <c r="B43" s="717" t="s">
        <v>549</v>
      </c>
      <c r="C43" s="718"/>
      <c r="D43" s="718"/>
      <c r="E43" s="718"/>
      <c r="F43" s="718"/>
      <c r="G43" s="718"/>
      <c r="H43" s="718"/>
      <c r="I43" s="718"/>
      <c r="J43" s="718"/>
      <c r="K43" s="718"/>
      <c r="L43" s="718"/>
      <c r="M43" s="718"/>
      <c r="N43" s="718"/>
      <c r="O43" s="719"/>
    </row>
    <row r="44" spans="1:15" ht="15.75" x14ac:dyDescent="0.2">
      <c r="A44" s="556" t="s">
        <v>550</v>
      </c>
      <c r="B44" s="557"/>
      <c r="C44" s="557"/>
      <c r="D44" s="557"/>
      <c r="E44" s="557"/>
      <c r="F44" s="557"/>
      <c r="G44" s="557"/>
      <c r="H44" s="557"/>
      <c r="I44" s="557"/>
      <c r="J44" s="557"/>
      <c r="K44" s="557"/>
      <c r="L44" s="557"/>
      <c r="M44" s="557"/>
      <c r="N44" s="557"/>
      <c r="O44" s="661"/>
    </row>
    <row r="45" spans="1:15" ht="25.5" x14ac:dyDescent="0.2">
      <c r="A45" s="593">
        <v>9</v>
      </c>
      <c r="B45" s="585" t="s">
        <v>551</v>
      </c>
      <c r="C45" s="585" t="s">
        <v>94</v>
      </c>
      <c r="D45" s="26" t="s">
        <v>552</v>
      </c>
      <c r="E45" s="27">
        <v>100</v>
      </c>
      <c r="F45" s="28" t="s">
        <v>14</v>
      </c>
      <c r="G45" s="28" t="s">
        <v>14</v>
      </c>
      <c r="H45" s="28">
        <f>24000*117/100</f>
        <v>28080</v>
      </c>
      <c r="I45" s="28">
        <f>H45</f>
        <v>28080</v>
      </c>
      <c r="J45" s="26" t="s">
        <v>13</v>
      </c>
      <c r="K45" s="714" t="s">
        <v>15</v>
      </c>
      <c r="L45" s="714" t="s">
        <v>717</v>
      </c>
      <c r="M45" s="657">
        <f>I45*0.88</f>
        <v>24710.400000000001</v>
      </c>
      <c r="N45" s="659" t="s">
        <v>18</v>
      </c>
      <c r="O45" s="671"/>
    </row>
    <row r="46" spans="1:15" ht="38.25" x14ac:dyDescent="0.2">
      <c r="A46" s="594"/>
      <c r="B46" s="586"/>
      <c r="C46" s="586"/>
      <c r="D46" s="144" t="s">
        <v>553</v>
      </c>
      <c r="E46" s="38">
        <v>80</v>
      </c>
      <c r="F46" s="34" t="s">
        <v>14</v>
      </c>
      <c r="G46" s="34" t="s">
        <v>14</v>
      </c>
      <c r="H46" s="34">
        <f>30000*117/100</f>
        <v>35100</v>
      </c>
      <c r="I46" s="34">
        <f>H46</f>
        <v>35100</v>
      </c>
      <c r="J46" s="144" t="s">
        <v>13</v>
      </c>
      <c r="K46" s="715"/>
      <c r="L46" s="715"/>
      <c r="M46" s="673"/>
      <c r="N46" s="674"/>
      <c r="O46" s="672"/>
    </row>
    <row r="47" spans="1:15" ht="38.25" x14ac:dyDescent="0.2">
      <c r="A47" s="594"/>
      <c r="B47" s="596"/>
      <c r="C47" s="596"/>
      <c r="D47" s="144" t="s">
        <v>554</v>
      </c>
      <c r="E47" s="38">
        <v>80</v>
      </c>
      <c r="F47" s="34" t="s">
        <v>14</v>
      </c>
      <c r="G47" s="34" t="s">
        <v>14</v>
      </c>
      <c r="H47" s="34">
        <f>30000*117/100</f>
        <v>35100</v>
      </c>
      <c r="I47" s="34">
        <f>H47</f>
        <v>35100</v>
      </c>
      <c r="J47" s="144" t="s">
        <v>13</v>
      </c>
      <c r="K47" s="716"/>
      <c r="L47" s="716"/>
      <c r="M47" s="658"/>
      <c r="N47" s="660"/>
      <c r="O47" s="705"/>
    </row>
    <row r="48" spans="1:15" ht="14.25" x14ac:dyDescent="0.2">
      <c r="A48" s="595"/>
      <c r="B48" s="717"/>
      <c r="C48" s="718"/>
      <c r="D48" s="718"/>
      <c r="E48" s="718"/>
      <c r="F48" s="718"/>
      <c r="G48" s="718"/>
      <c r="H48" s="718"/>
      <c r="I48" s="718"/>
      <c r="J48" s="718"/>
      <c r="K48" s="718"/>
      <c r="L48" s="718"/>
      <c r="M48" s="718"/>
      <c r="N48" s="718"/>
      <c r="O48" s="719"/>
    </row>
    <row r="49" spans="1:15" ht="15.75" x14ac:dyDescent="0.2">
      <c r="A49" s="556" t="s">
        <v>555</v>
      </c>
      <c r="B49" s="557"/>
      <c r="C49" s="557"/>
      <c r="D49" s="557"/>
      <c r="E49" s="557"/>
      <c r="F49" s="557"/>
      <c r="G49" s="557"/>
      <c r="H49" s="557"/>
      <c r="I49" s="557"/>
      <c r="J49" s="557"/>
      <c r="K49" s="557"/>
      <c r="L49" s="557"/>
      <c r="M49" s="557"/>
      <c r="N49" s="557"/>
      <c r="O49" s="661"/>
    </row>
    <row r="50" spans="1:15" ht="43.15" customHeight="1" x14ac:dyDescent="0.2">
      <c r="A50" s="593">
        <v>10</v>
      </c>
      <c r="B50" s="585" t="s">
        <v>556</v>
      </c>
      <c r="C50" s="585" t="s">
        <v>603</v>
      </c>
      <c r="D50" s="13" t="s">
        <v>527</v>
      </c>
      <c r="E50" s="14">
        <v>94</v>
      </c>
      <c r="F50" s="15" t="s">
        <v>14</v>
      </c>
      <c r="G50" s="15" t="s">
        <v>14</v>
      </c>
      <c r="H50" s="15">
        <f>15000*117/100</f>
        <v>17550</v>
      </c>
      <c r="I50" s="15">
        <f>H50</f>
        <v>17550</v>
      </c>
      <c r="J50" s="13" t="s">
        <v>13</v>
      </c>
      <c r="K50" s="714" t="s">
        <v>15</v>
      </c>
      <c r="L50" s="714" t="s">
        <v>97</v>
      </c>
      <c r="M50" s="657">
        <f>I50</f>
        <v>17550</v>
      </c>
      <c r="N50" s="659" t="s">
        <v>18</v>
      </c>
      <c r="O50" s="671"/>
    </row>
    <row r="51" spans="1:15" ht="44.45" customHeight="1" x14ac:dyDescent="0.2">
      <c r="A51" s="594"/>
      <c r="B51" s="596"/>
      <c r="C51" s="596"/>
      <c r="D51" s="144" t="s">
        <v>557</v>
      </c>
      <c r="E51" s="38">
        <v>61</v>
      </c>
      <c r="F51" s="34" t="s">
        <v>14</v>
      </c>
      <c r="G51" s="34" t="s">
        <v>14</v>
      </c>
      <c r="H51" s="34">
        <f>24500*117/100</f>
        <v>28665</v>
      </c>
      <c r="I51" s="34">
        <f>H51</f>
        <v>28665</v>
      </c>
      <c r="J51" s="144" t="s">
        <v>13</v>
      </c>
      <c r="K51" s="716"/>
      <c r="L51" s="716"/>
      <c r="M51" s="658"/>
      <c r="N51" s="660"/>
      <c r="O51" s="705"/>
    </row>
    <row r="52" spans="1:15" ht="14.25" x14ac:dyDescent="0.2">
      <c r="A52" s="595"/>
      <c r="B52" s="717"/>
      <c r="C52" s="718"/>
      <c r="D52" s="718"/>
      <c r="E52" s="718"/>
      <c r="F52" s="718"/>
      <c r="G52" s="718"/>
      <c r="H52" s="718"/>
      <c r="I52" s="718"/>
      <c r="J52" s="718"/>
      <c r="K52" s="718"/>
      <c r="L52" s="718"/>
      <c r="M52" s="718"/>
      <c r="N52" s="718"/>
      <c r="O52" s="719"/>
    </row>
    <row r="53" spans="1:15" ht="15.75" x14ac:dyDescent="0.2">
      <c r="A53" s="556" t="s">
        <v>558</v>
      </c>
      <c r="B53" s="557"/>
      <c r="C53" s="557"/>
      <c r="D53" s="557"/>
      <c r="E53" s="557"/>
      <c r="F53" s="557"/>
      <c r="G53" s="557"/>
      <c r="H53" s="557"/>
      <c r="I53" s="557"/>
      <c r="J53" s="557"/>
      <c r="K53" s="557"/>
      <c r="L53" s="557"/>
      <c r="M53" s="557"/>
      <c r="N53" s="557"/>
      <c r="O53" s="661"/>
    </row>
    <row r="54" spans="1:15" ht="69.599999999999994" customHeight="1" x14ac:dyDescent="0.2">
      <c r="A54" s="593">
        <v>11</v>
      </c>
      <c r="B54" s="137" t="s">
        <v>559</v>
      </c>
      <c r="C54" s="137" t="s">
        <v>315</v>
      </c>
      <c r="D54" s="13" t="s">
        <v>210</v>
      </c>
      <c r="E54" s="14">
        <v>100</v>
      </c>
      <c r="F54" s="15" t="s">
        <v>560</v>
      </c>
      <c r="G54" s="15"/>
      <c r="H54" s="25" t="s">
        <v>585</v>
      </c>
      <c r="I54" s="15"/>
      <c r="J54" s="13" t="s">
        <v>13</v>
      </c>
      <c r="K54" s="138" t="s">
        <v>116</v>
      </c>
      <c r="L54" s="138" t="s">
        <v>97</v>
      </c>
      <c r="M54" s="156" t="s">
        <v>585</v>
      </c>
      <c r="N54" s="140" t="s">
        <v>18</v>
      </c>
      <c r="O54" s="141"/>
    </row>
    <row r="55" spans="1:15" ht="14.25" x14ac:dyDescent="0.2">
      <c r="A55" s="595"/>
      <c r="B55" s="717" t="s">
        <v>561</v>
      </c>
      <c r="C55" s="718"/>
      <c r="D55" s="718"/>
      <c r="E55" s="718"/>
      <c r="F55" s="718"/>
      <c r="G55" s="718"/>
      <c r="H55" s="718"/>
      <c r="I55" s="718"/>
      <c r="J55" s="718"/>
      <c r="K55" s="718"/>
      <c r="L55" s="718"/>
      <c r="M55" s="718"/>
      <c r="N55" s="718"/>
      <c r="O55" s="719"/>
    </row>
    <row r="56" spans="1:15" ht="15.75" x14ac:dyDescent="0.2">
      <c r="A56" s="556" t="s">
        <v>562</v>
      </c>
      <c r="B56" s="557"/>
      <c r="C56" s="557"/>
      <c r="D56" s="557"/>
      <c r="E56" s="557"/>
      <c r="F56" s="557"/>
      <c r="G56" s="557"/>
      <c r="H56" s="557"/>
      <c r="I56" s="557"/>
      <c r="J56" s="557"/>
      <c r="K56" s="557"/>
      <c r="L56" s="557"/>
      <c r="M56" s="557"/>
      <c r="N56" s="557"/>
      <c r="O56" s="661"/>
    </row>
    <row r="57" spans="1:15" ht="69.599999999999994" customHeight="1" x14ac:dyDescent="0.2">
      <c r="A57" s="593">
        <v>12</v>
      </c>
      <c r="B57" s="137" t="s">
        <v>563</v>
      </c>
      <c r="C57" s="137" t="s">
        <v>150</v>
      </c>
      <c r="D57" s="13" t="s">
        <v>564</v>
      </c>
      <c r="E57" s="14">
        <v>100</v>
      </c>
      <c r="F57" s="15" t="s">
        <v>14</v>
      </c>
      <c r="G57" s="15" t="s">
        <v>14</v>
      </c>
      <c r="H57" s="15">
        <f>20000*0.93*1.17</f>
        <v>21762</v>
      </c>
      <c r="I57" s="15">
        <f>H57</f>
        <v>21762</v>
      </c>
      <c r="J57" s="13" t="s">
        <v>13</v>
      </c>
      <c r="K57" s="138" t="s">
        <v>116</v>
      </c>
      <c r="L57" s="138" t="s">
        <v>97</v>
      </c>
      <c r="M57" s="139">
        <f>I57</f>
        <v>21762</v>
      </c>
      <c r="N57" s="140" t="s">
        <v>18</v>
      </c>
      <c r="O57" s="141"/>
    </row>
    <row r="58" spans="1:15" ht="14.25" x14ac:dyDescent="0.2">
      <c r="A58" s="595"/>
      <c r="B58" s="717" t="s">
        <v>565</v>
      </c>
      <c r="C58" s="718"/>
      <c r="D58" s="718"/>
      <c r="E58" s="718"/>
      <c r="F58" s="718"/>
      <c r="G58" s="718"/>
      <c r="H58" s="718"/>
      <c r="I58" s="718"/>
      <c r="J58" s="718"/>
      <c r="K58" s="718"/>
      <c r="L58" s="718"/>
      <c r="M58" s="718"/>
      <c r="N58" s="718"/>
      <c r="O58" s="719"/>
    </row>
    <row r="59" spans="1:15" ht="15.75" x14ac:dyDescent="0.2">
      <c r="A59" s="556" t="s">
        <v>566</v>
      </c>
      <c r="B59" s="557"/>
      <c r="C59" s="557"/>
      <c r="D59" s="557"/>
      <c r="E59" s="557"/>
      <c r="F59" s="557"/>
      <c r="G59" s="557"/>
      <c r="H59" s="557"/>
      <c r="I59" s="557"/>
      <c r="J59" s="557"/>
      <c r="K59" s="557"/>
      <c r="L59" s="557"/>
      <c r="M59" s="557"/>
      <c r="N59" s="557"/>
      <c r="O59" s="661"/>
    </row>
    <row r="60" spans="1:15" ht="69.599999999999994" customHeight="1" x14ac:dyDescent="0.2">
      <c r="A60" s="593">
        <v>13</v>
      </c>
      <c r="B60" s="137" t="s">
        <v>567</v>
      </c>
      <c r="C60" s="137" t="s">
        <v>150</v>
      </c>
      <c r="D60" s="13" t="s">
        <v>83</v>
      </c>
      <c r="E60" s="14">
        <v>100</v>
      </c>
      <c r="F60" s="15" t="s">
        <v>14</v>
      </c>
      <c r="G60" s="15" t="s">
        <v>14</v>
      </c>
      <c r="H60" s="15">
        <v>67275</v>
      </c>
      <c r="I60" s="15">
        <f>H60</f>
        <v>67275</v>
      </c>
      <c r="J60" s="13" t="s">
        <v>13</v>
      </c>
      <c r="K60" s="138" t="s">
        <v>116</v>
      </c>
      <c r="L60" s="138" t="s">
        <v>97</v>
      </c>
      <c r="M60" s="139">
        <f>I60</f>
        <v>67275</v>
      </c>
      <c r="N60" s="140" t="s">
        <v>18</v>
      </c>
      <c r="O60" s="141"/>
    </row>
    <row r="61" spans="1:15" ht="14.25" x14ac:dyDescent="0.2">
      <c r="A61" s="595"/>
      <c r="B61" s="717"/>
      <c r="C61" s="718"/>
      <c r="D61" s="718"/>
      <c r="E61" s="718"/>
      <c r="F61" s="718"/>
      <c r="G61" s="718"/>
      <c r="H61" s="718"/>
      <c r="I61" s="718"/>
      <c r="J61" s="718"/>
      <c r="K61" s="718"/>
      <c r="L61" s="718"/>
      <c r="M61" s="718"/>
      <c r="N61" s="718"/>
      <c r="O61" s="719"/>
    </row>
    <row r="62" spans="1:15" ht="15.75" x14ac:dyDescent="0.2">
      <c r="A62" s="556" t="s">
        <v>575</v>
      </c>
      <c r="B62" s="557"/>
      <c r="C62" s="557"/>
      <c r="D62" s="557"/>
      <c r="E62" s="557"/>
      <c r="F62" s="557"/>
      <c r="G62" s="557"/>
      <c r="H62" s="557"/>
      <c r="I62" s="557"/>
      <c r="J62" s="557"/>
      <c r="K62" s="557"/>
      <c r="L62" s="557"/>
      <c r="M62" s="557"/>
      <c r="N62" s="557"/>
      <c r="O62" s="661"/>
    </row>
    <row r="63" spans="1:15" ht="69.599999999999994" customHeight="1" x14ac:dyDescent="0.2">
      <c r="A63" s="593">
        <v>14</v>
      </c>
      <c r="B63" s="147" t="s">
        <v>576</v>
      </c>
      <c r="C63" s="147" t="s">
        <v>150</v>
      </c>
      <c r="D63" s="13" t="s">
        <v>577</v>
      </c>
      <c r="E63" s="14">
        <v>100</v>
      </c>
      <c r="F63" s="15" t="s">
        <v>14</v>
      </c>
      <c r="G63" s="15" t="s">
        <v>14</v>
      </c>
      <c r="H63" s="15">
        <f>4800*117/100</f>
        <v>5616</v>
      </c>
      <c r="I63" s="15">
        <f>H63</f>
        <v>5616</v>
      </c>
      <c r="J63" s="13" t="s">
        <v>13</v>
      </c>
      <c r="K63" s="148" t="s">
        <v>116</v>
      </c>
      <c r="L63" s="148" t="s">
        <v>97</v>
      </c>
      <c r="M63" s="149">
        <f>I63</f>
        <v>5616</v>
      </c>
      <c r="N63" s="150" t="s">
        <v>18</v>
      </c>
      <c r="O63" s="151"/>
    </row>
    <row r="64" spans="1:15" ht="14.25" x14ac:dyDescent="0.2">
      <c r="A64" s="595"/>
      <c r="B64" s="717" t="s">
        <v>578</v>
      </c>
      <c r="C64" s="718"/>
      <c r="D64" s="718"/>
      <c r="E64" s="718"/>
      <c r="F64" s="718"/>
      <c r="G64" s="718"/>
      <c r="H64" s="718"/>
      <c r="I64" s="718"/>
      <c r="J64" s="718"/>
      <c r="K64" s="718"/>
      <c r="L64" s="718"/>
      <c r="M64" s="718"/>
      <c r="N64" s="718"/>
      <c r="O64" s="719"/>
    </row>
    <row r="65" spans="1:15" ht="15.75" x14ac:dyDescent="0.2">
      <c r="A65" s="556" t="s">
        <v>568</v>
      </c>
      <c r="B65" s="557"/>
      <c r="C65" s="557"/>
      <c r="D65" s="557"/>
      <c r="E65" s="557"/>
      <c r="F65" s="557"/>
      <c r="G65" s="557"/>
      <c r="H65" s="557"/>
      <c r="I65" s="557"/>
      <c r="J65" s="557"/>
      <c r="K65" s="557"/>
      <c r="L65" s="557"/>
      <c r="M65" s="557"/>
      <c r="N65" s="557"/>
      <c r="O65" s="661"/>
    </row>
    <row r="66" spans="1:15" ht="88.15" customHeight="1" x14ac:dyDescent="0.2">
      <c r="A66" s="593">
        <v>15</v>
      </c>
      <c r="B66" s="137" t="s">
        <v>569</v>
      </c>
      <c r="C66" s="137" t="s">
        <v>128</v>
      </c>
      <c r="D66" s="13" t="s">
        <v>106</v>
      </c>
      <c r="E66" s="14">
        <v>86</v>
      </c>
      <c r="F66" s="15" t="s">
        <v>30</v>
      </c>
      <c r="G66" s="15" t="s">
        <v>570</v>
      </c>
      <c r="H66" s="15">
        <f>18000*117/100</f>
        <v>21060</v>
      </c>
      <c r="I66" s="15">
        <f>H66</f>
        <v>21060</v>
      </c>
      <c r="J66" s="13" t="s">
        <v>13</v>
      </c>
      <c r="K66" s="138" t="s">
        <v>600</v>
      </c>
      <c r="L66" s="138" t="s">
        <v>97</v>
      </c>
      <c r="M66" s="139">
        <f>I66*2</f>
        <v>42120</v>
      </c>
      <c r="N66" s="140" t="s">
        <v>18</v>
      </c>
      <c r="O66" s="141">
        <v>1614000550</v>
      </c>
    </row>
    <row r="67" spans="1:15" ht="14.25" x14ac:dyDescent="0.2">
      <c r="A67" s="595"/>
      <c r="B67" s="717"/>
      <c r="C67" s="718"/>
      <c r="D67" s="718"/>
      <c r="E67" s="718"/>
      <c r="F67" s="718"/>
      <c r="G67" s="718"/>
      <c r="H67" s="718"/>
      <c r="I67" s="718"/>
      <c r="J67" s="718"/>
      <c r="K67" s="718"/>
      <c r="L67" s="718"/>
      <c r="M67" s="718"/>
      <c r="N67" s="718"/>
      <c r="O67" s="719"/>
    </row>
    <row r="68" spans="1:15" ht="15.75" x14ac:dyDescent="0.2">
      <c r="A68" s="556" t="s">
        <v>574</v>
      </c>
      <c r="B68" s="557"/>
      <c r="C68" s="557"/>
      <c r="D68" s="557"/>
      <c r="E68" s="557"/>
      <c r="F68" s="557"/>
      <c r="G68" s="557"/>
      <c r="H68" s="557"/>
      <c r="I68" s="557"/>
      <c r="J68" s="557"/>
      <c r="K68" s="557"/>
      <c r="L68" s="557"/>
      <c r="M68" s="557"/>
      <c r="N68" s="557"/>
      <c r="O68" s="661"/>
    </row>
    <row r="69" spans="1:15" ht="25.5" x14ac:dyDescent="0.2">
      <c r="A69" s="593">
        <v>16</v>
      </c>
      <c r="B69" s="585" t="s">
        <v>573</v>
      </c>
      <c r="C69" s="585" t="s">
        <v>128</v>
      </c>
      <c r="D69" s="13" t="s">
        <v>584</v>
      </c>
      <c r="E69" s="14">
        <v>100</v>
      </c>
      <c r="F69" s="15" t="s">
        <v>28</v>
      </c>
      <c r="G69" s="15" t="s">
        <v>317</v>
      </c>
      <c r="H69" s="15">
        <f>12500*117/100</f>
        <v>14625</v>
      </c>
      <c r="I69" s="15">
        <f>H69*12</f>
        <v>175500</v>
      </c>
      <c r="J69" s="13" t="s">
        <v>13</v>
      </c>
      <c r="K69" s="714" t="s">
        <v>15</v>
      </c>
      <c r="L69" s="714" t="s">
        <v>97</v>
      </c>
      <c r="M69" s="657">
        <f>I69</f>
        <v>175500</v>
      </c>
      <c r="N69" s="659" t="s">
        <v>18</v>
      </c>
      <c r="O69" s="671"/>
    </row>
    <row r="70" spans="1:15" ht="25.5" x14ac:dyDescent="0.2">
      <c r="A70" s="594"/>
      <c r="B70" s="586"/>
      <c r="C70" s="586"/>
      <c r="D70" s="144" t="s">
        <v>571</v>
      </c>
      <c r="E70" s="38">
        <v>65</v>
      </c>
      <c r="F70" s="5" t="s">
        <v>28</v>
      </c>
      <c r="G70" s="5" t="s">
        <v>317</v>
      </c>
      <c r="H70" s="34">
        <f>25000*117/100</f>
        <v>29250</v>
      </c>
      <c r="I70" s="34">
        <f>H70*12</f>
        <v>351000</v>
      </c>
      <c r="J70" s="144" t="s">
        <v>13</v>
      </c>
      <c r="K70" s="715"/>
      <c r="L70" s="715"/>
      <c r="M70" s="673"/>
      <c r="N70" s="674"/>
      <c r="O70" s="672"/>
    </row>
    <row r="71" spans="1:15" ht="25.5" x14ac:dyDescent="0.2">
      <c r="A71" s="594"/>
      <c r="B71" s="596"/>
      <c r="C71" s="596"/>
      <c r="D71" s="144" t="s">
        <v>572</v>
      </c>
      <c r="E71" s="38">
        <v>65</v>
      </c>
      <c r="F71" s="5" t="s">
        <v>28</v>
      </c>
      <c r="G71" s="5" t="s">
        <v>317</v>
      </c>
      <c r="H71" s="34">
        <f>25000*117/100</f>
        <v>29250</v>
      </c>
      <c r="I71" s="34">
        <f>H71*12</f>
        <v>351000</v>
      </c>
      <c r="J71" s="144" t="s">
        <v>13</v>
      </c>
      <c r="K71" s="716"/>
      <c r="L71" s="716"/>
      <c r="M71" s="658"/>
      <c r="N71" s="660"/>
      <c r="O71" s="705"/>
    </row>
    <row r="72" spans="1:15" ht="14.25" x14ac:dyDescent="0.2">
      <c r="A72" s="595"/>
      <c r="B72" s="717"/>
      <c r="C72" s="718"/>
      <c r="D72" s="718"/>
      <c r="E72" s="718"/>
      <c r="F72" s="718"/>
      <c r="G72" s="718"/>
      <c r="H72" s="718"/>
      <c r="I72" s="718"/>
      <c r="J72" s="718"/>
      <c r="K72" s="718"/>
      <c r="L72" s="718"/>
      <c r="M72" s="718"/>
      <c r="N72" s="718"/>
      <c r="O72" s="719"/>
    </row>
    <row r="73" spans="1:15" ht="15.75" x14ac:dyDescent="0.2">
      <c r="A73" s="556" t="s">
        <v>579</v>
      </c>
      <c r="B73" s="557"/>
      <c r="C73" s="557"/>
      <c r="D73" s="557"/>
      <c r="E73" s="557"/>
      <c r="F73" s="557"/>
      <c r="G73" s="557"/>
      <c r="H73" s="557"/>
      <c r="I73" s="557"/>
      <c r="J73" s="557"/>
      <c r="K73" s="557"/>
      <c r="L73" s="557"/>
      <c r="M73" s="557"/>
      <c r="N73" s="557"/>
      <c r="O73" s="661"/>
    </row>
    <row r="74" spans="1:15" ht="38.25" x14ac:dyDescent="0.2">
      <c r="A74" s="593">
        <v>17</v>
      </c>
      <c r="B74" s="585" t="s">
        <v>582</v>
      </c>
      <c r="C74" s="585" t="s">
        <v>542</v>
      </c>
      <c r="D74" s="13" t="s">
        <v>583</v>
      </c>
      <c r="E74" s="14">
        <v>91.6</v>
      </c>
      <c r="F74" s="15" t="s">
        <v>14</v>
      </c>
      <c r="G74" s="15" t="s">
        <v>14</v>
      </c>
      <c r="H74" s="15">
        <f>12862*117/100</f>
        <v>15048.54</v>
      </c>
      <c r="I74" s="15">
        <f>H74</f>
        <v>15048.54</v>
      </c>
      <c r="J74" s="13" t="s">
        <v>13</v>
      </c>
      <c r="K74" s="714" t="s">
        <v>15</v>
      </c>
      <c r="L74" s="714" t="s">
        <v>97</v>
      </c>
      <c r="M74" s="657">
        <f>I74</f>
        <v>15048.54</v>
      </c>
      <c r="N74" s="659"/>
      <c r="O74" s="671"/>
    </row>
    <row r="75" spans="1:15" ht="25.5" x14ac:dyDescent="0.2">
      <c r="A75" s="594"/>
      <c r="B75" s="586"/>
      <c r="C75" s="586"/>
      <c r="D75" s="152" t="s">
        <v>580</v>
      </c>
      <c r="E75" s="38">
        <v>82</v>
      </c>
      <c r="F75" s="5" t="s">
        <v>14</v>
      </c>
      <c r="G75" s="5" t="s">
        <v>14</v>
      </c>
      <c r="H75" s="34">
        <f>14535*117/100</f>
        <v>17005.95</v>
      </c>
      <c r="I75" s="34">
        <f>H75</f>
        <v>17005.95</v>
      </c>
      <c r="J75" s="152" t="s">
        <v>13</v>
      </c>
      <c r="K75" s="715"/>
      <c r="L75" s="715"/>
      <c r="M75" s="673"/>
      <c r="N75" s="674"/>
      <c r="O75" s="672"/>
    </row>
    <row r="76" spans="1:15" ht="51" x14ac:dyDescent="0.2">
      <c r="A76" s="594"/>
      <c r="B76" s="596"/>
      <c r="C76" s="596"/>
      <c r="D76" s="152" t="s">
        <v>581</v>
      </c>
      <c r="E76" s="38">
        <v>75</v>
      </c>
      <c r="F76" s="5" t="s">
        <v>14</v>
      </c>
      <c r="G76" s="5" t="s">
        <v>14</v>
      </c>
      <c r="H76" s="34">
        <f>14535</f>
        <v>14535</v>
      </c>
      <c r="I76" s="34">
        <f>H76</f>
        <v>14535</v>
      </c>
      <c r="J76" s="152" t="s">
        <v>13</v>
      </c>
      <c r="K76" s="716"/>
      <c r="L76" s="716"/>
      <c r="M76" s="658"/>
      <c r="N76" s="660"/>
      <c r="O76" s="705"/>
    </row>
    <row r="77" spans="1:15" ht="14.25" x14ac:dyDescent="0.2">
      <c r="A77" s="595"/>
      <c r="B77" s="717"/>
      <c r="C77" s="718"/>
      <c r="D77" s="718"/>
      <c r="E77" s="718"/>
      <c r="F77" s="718"/>
      <c r="G77" s="718"/>
      <c r="H77" s="718"/>
      <c r="I77" s="718"/>
      <c r="J77" s="718"/>
      <c r="K77" s="718"/>
      <c r="L77" s="718"/>
      <c r="M77" s="718"/>
      <c r="N77" s="718"/>
      <c r="O77" s="719"/>
    </row>
    <row r="78" spans="1:15" ht="15.75" x14ac:dyDescent="0.2">
      <c r="A78" s="556" t="s">
        <v>586</v>
      </c>
      <c r="B78" s="557"/>
      <c r="C78" s="557"/>
      <c r="D78" s="557"/>
      <c r="E78" s="557"/>
      <c r="F78" s="557"/>
      <c r="G78" s="557"/>
      <c r="H78" s="557"/>
      <c r="I78" s="557"/>
      <c r="J78" s="557"/>
      <c r="K78" s="557"/>
      <c r="L78" s="557"/>
      <c r="M78" s="557"/>
      <c r="N78" s="557"/>
      <c r="O78" s="661"/>
    </row>
    <row r="79" spans="1:15" ht="36" customHeight="1" x14ac:dyDescent="0.2">
      <c r="A79" s="593">
        <v>18</v>
      </c>
      <c r="B79" s="585" t="s">
        <v>587</v>
      </c>
      <c r="C79" s="585" t="s">
        <v>588</v>
      </c>
      <c r="D79" s="13" t="s">
        <v>589</v>
      </c>
      <c r="E79" s="17">
        <v>79</v>
      </c>
      <c r="F79" s="18" t="s">
        <v>591</v>
      </c>
      <c r="G79" s="18" t="s">
        <v>590</v>
      </c>
      <c r="H79" s="25">
        <v>0.1</v>
      </c>
      <c r="I79" s="18"/>
      <c r="J79" s="16" t="s">
        <v>13</v>
      </c>
      <c r="K79" s="714" t="s">
        <v>15</v>
      </c>
      <c r="L79" s="714" t="s">
        <v>97</v>
      </c>
      <c r="M79" s="657" t="s">
        <v>601</v>
      </c>
      <c r="N79" s="659"/>
      <c r="O79" s="671"/>
    </row>
    <row r="80" spans="1:15" ht="33" customHeight="1" x14ac:dyDescent="0.2">
      <c r="A80" s="594"/>
      <c r="B80" s="596"/>
      <c r="C80" s="596"/>
      <c r="D80" s="49" t="s">
        <v>592</v>
      </c>
      <c r="E80" s="4">
        <v>76</v>
      </c>
      <c r="F80" s="12" t="s">
        <v>591</v>
      </c>
      <c r="G80" s="12" t="s">
        <v>590</v>
      </c>
      <c r="H80" s="157">
        <v>7.0000000000000007E-2</v>
      </c>
      <c r="I80" s="5"/>
      <c r="J80" s="155" t="s">
        <v>13</v>
      </c>
      <c r="K80" s="716"/>
      <c r="L80" s="716"/>
      <c r="M80" s="658"/>
      <c r="N80" s="660"/>
      <c r="O80" s="705"/>
    </row>
    <row r="81" spans="1:17" ht="14.25" x14ac:dyDescent="0.2">
      <c r="A81" s="595"/>
      <c r="B81" s="717" t="s">
        <v>593</v>
      </c>
      <c r="C81" s="718"/>
      <c r="D81" s="718"/>
      <c r="E81" s="718"/>
      <c r="F81" s="718"/>
      <c r="G81" s="718"/>
      <c r="H81" s="718"/>
      <c r="I81" s="718"/>
      <c r="J81" s="718"/>
      <c r="K81" s="718"/>
      <c r="L81" s="718"/>
      <c r="M81" s="718"/>
      <c r="N81" s="718"/>
      <c r="O81" s="719"/>
    </row>
    <row r="82" spans="1:17" s="10" customFormat="1" ht="15.75" x14ac:dyDescent="0.2">
      <c r="A82" s="20"/>
      <c r="B82" s="39"/>
      <c r="C82" s="39"/>
      <c r="D82" s="39"/>
      <c r="E82" s="39"/>
      <c r="F82" s="39"/>
      <c r="G82" s="39"/>
      <c r="H82" s="39"/>
      <c r="I82" s="39"/>
      <c r="J82" s="39"/>
      <c r="K82" s="39"/>
      <c r="L82" s="39"/>
      <c r="M82" s="39"/>
      <c r="O82" s="11"/>
      <c r="P82"/>
      <c r="Q82"/>
    </row>
    <row r="83" spans="1:17" s="10" customFormat="1" ht="15.6" customHeight="1" x14ac:dyDescent="0.2">
      <c r="A83"/>
      <c r="B83" s="23"/>
      <c r="C83"/>
      <c r="D83"/>
      <c r="E83"/>
      <c r="F83"/>
      <c r="G83" s="7"/>
      <c r="H83" s="8"/>
      <c r="I83" s="8"/>
      <c r="J83"/>
      <c r="K83" s="9"/>
      <c r="L83" s="9"/>
      <c r="M83" s="9"/>
      <c r="O83" s="11"/>
      <c r="P83"/>
      <c r="Q83"/>
    </row>
  </sheetData>
  <mergeCells count="137">
    <mergeCell ref="A78:O78"/>
    <mergeCell ref="A79:A81"/>
    <mergeCell ref="B79:B80"/>
    <mergeCell ref="C79:C80"/>
    <mergeCell ref="K79:K80"/>
    <mergeCell ref="L79:L80"/>
    <mergeCell ref="M79:M80"/>
    <mergeCell ref="N79:N80"/>
    <mergeCell ref="O79:O80"/>
    <mergeCell ref="B81:O81"/>
    <mergeCell ref="N69:N71"/>
    <mergeCell ref="O69:O71"/>
    <mergeCell ref="B72:O72"/>
    <mergeCell ref="A65:O65"/>
    <mergeCell ref="A66:A67"/>
    <mergeCell ref="B67:O67"/>
    <mergeCell ref="A68:O68"/>
    <mergeCell ref="A69:A72"/>
    <mergeCell ref="B69:B71"/>
    <mergeCell ref="C69:C71"/>
    <mergeCell ref="K69:K71"/>
    <mergeCell ref="L69:L71"/>
    <mergeCell ref="M69:M71"/>
    <mergeCell ref="A56:O56"/>
    <mergeCell ref="A57:A58"/>
    <mergeCell ref="B58:O58"/>
    <mergeCell ref="A59:O59"/>
    <mergeCell ref="A60:A61"/>
    <mergeCell ref="B61:O61"/>
    <mergeCell ref="A53:O53"/>
    <mergeCell ref="A54:A55"/>
    <mergeCell ref="B55:O55"/>
    <mergeCell ref="M45:M47"/>
    <mergeCell ref="N45:N47"/>
    <mergeCell ref="O45:O47"/>
    <mergeCell ref="B48:O48"/>
    <mergeCell ref="A49:O49"/>
    <mergeCell ref="A50:A52"/>
    <mergeCell ref="B50:B51"/>
    <mergeCell ref="C50:C51"/>
    <mergeCell ref="K50:K51"/>
    <mergeCell ref="L50:L51"/>
    <mergeCell ref="M50:M51"/>
    <mergeCell ref="N50:N51"/>
    <mergeCell ref="O50:O51"/>
    <mergeCell ref="B52:O52"/>
    <mergeCell ref="C17:C19"/>
    <mergeCell ref="K17:K19"/>
    <mergeCell ref="L17:L19"/>
    <mergeCell ref="M17:M19"/>
    <mergeCell ref="N17:N19"/>
    <mergeCell ref="K32:K35"/>
    <mergeCell ref="L32:L35"/>
    <mergeCell ref="M32:M35"/>
    <mergeCell ref="N32:N35"/>
    <mergeCell ref="A26:O26"/>
    <mergeCell ref="A27:A30"/>
    <mergeCell ref="B27:B29"/>
    <mergeCell ref="C27:C29"/>
    <mergeCell ref="K27:K29"/>
    <mergeCell ref="L27:L29"/>
    <mergeCell ref="M27:M29"/>
    <mergeCell ref="N27:N29"/>
    <mergeCell ref="O27:O29"/>
    <mergeCell ref="B30:O30"/>
    <mergeCell ref="A21:O21"/>
    <mergeCell ref="A22:A25"/>
    <mergeCell ref="B22:B24"/>
    <mergeCell ref="C22:C24"/>
    <mergeCell ref="K22:K24"/>
    <mergeCell ref="A1:A6"/>
    <mergeCell ref="B1:O1"/>
    <mergeCell ref="B2:O2"/>
    <mergeCell ref="B3:O3"/>
    <mergeCell ref="B4:O4"/>
    <mergeCell ref="B5:O5"/>
    <mergeCell ref="O17:O19"/>
    <mergeCell ref="B20:O20"/>
    <mergeCell ref="A7:O7"/>
    <mergeCell ref="A8:A9"/>
    <mergeCell ref="B9:O9"/>
    <mergeCell ref="A10:O10"/>
    <mergeCell ref="A11:A15"/>
    <mergeCell ref="B11:B14"/>
    <mergeCell ref="C11:C14"/>
    <mergeCell ref="K11:K14"/>
    <mergeCell ref="L11:L14"/>
    <mergeCell ref="M11:M14"/>
    <mergeCell ref="N11:N14"/>
    <mergeCell ref="O11:O14"/>
    <mergeCell ref="B15:O15"/>
    <mergeCell ref="A16:O16"/>
    <mergeCell ref="A17:A20"/>
    <mergeCell ref="B17:B19"/>
    <mergeCell ref="L22:L24"/>
    <mergeCell ref="M22:M24"/>
    <mergeCell ref="N22:N24"/>
    <mergeCell ref="O22:O24"/>
    <mergeCell ref="B25:O25"/>
    <mergeCell ref="A31:O31"/>
    <mergeCell ref="A32:A36"/>
    <mergeCell ref="B32:B35"/>
    <mergeCell ref="C32:C35"/>
    <mergeCell ref="A73:O73"/>
    <mergeCell ref="A74:A77"/>
    <mergeCell ref="B74:B76"/>
    <mergeCell ref="C74:C76"/>
    <mergeCell ref="K74:K76"/>
    <mergeCell ref="L74:L76"/>
    <mergeCell ref="M74:M76"/>
    <mergeCell ref="N74:N76"/>
    <mergeCell ref="O74:O76"/>
    <mergeCell ref="B77:O77"/>
    <mergeCell ref="B64:O64"/>
    <mergeCell ref="A63:A64"/>
    <mergeCell ref="A62:O62"/>
    <mergeCell ref="O32:O35"/>
    <mergeCell ref="B36:O36"/>
    <mergeCell ref="A40:O40"/>
    <mergeCell ref="A41:A43"/>
    <mergeCell ref="B41:B42"/>
    <mergeCell ref="C41:C42"/>
    <mergeCell ref="N41:N42"/>
    <mergeCell ref="L41:L42"/>
    <mergeCell ref="M41:M42"/>
    <mergeCell ref="O41:O42"/>
    <mergeCell ref="B43:O43"/>
    <mergeCell ref="K41:K42"/>
    <mergeCell ref="A37:O37"/>
    <mergeCell ref="A38:A39"/>
    <mergeCell ref="B39:O39"/>
    <mergeCell ref="A44:O44"/>
    <mergeCell ref="A45:A48"/>
    <mergeCell ref="B45:B47"/>
    <mergeCell ref="C45:C47"/>
    <mergeCell ref="K45:K47"/>
    <mergeCell ref="L45:L47"/>
  </mergeCells>
  <pageMargins left="0.25" right="0.25" top="0.75" bottom="0.75" header="0.3" footer="0.3"/>
  <pageSetup paperSize="9" scale="72" fitToHeight="0" orientation="landscape" r:id="rId1"/>
  <rowBreaks count="3" manualBreakCount="3">
    <brk id="25" max="16383" man="1"/>
    <brk id="48" max="16383" man="1"/>
    <brk id="67"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F28323-6D73-4EBC-BB26-18151B172565}">
  <sheetPr>
    <pageSetUpPr fitToPage="1"/>
  </sheetPr>
  <dimension ref="A1:Q26"/>
  <sheetViews>
    <sheetView rightToLeft="1" topLeftCell="A11" zoomScale="90" zoomScaleNormal="90" workbookViewId="0">
      <selection activeCell="A26" sqref="A26:XFD26"/>
    </sheetView>
  </sheetViews>
  <sheetFormatPr defaultColWidth="8.75" defaultRowHeight="15" x14ac:dyDescent="0.2"/>
  <cols>
    <col min="1" max="1" width="4.25" customWidth="1"/>
    <col min="2" max="2" width="21.125" style="6" bestFit="1" customWidth="1"/>
    <col min="4" max="4" width="7.25" customWidth="1"/>
    <col min="5" max="5" width="7.75" customWidth="1"/>
    <col min="6" max="6" width="10.25" bestFit="1" customWidth="1"/>
    <col min="7" max="7" width="12.125" style="7" bestFit="1" customWidth="1"/>
    <col min="8" max="8" width="13.625" style="8" bestFit="1" customWidth="1"/>
    <col min="9" max="9" width="16" style="8" bestFit="1" customWidth="1"/>
    <col min="10" max="10" width="9" customWidth="1"/>
    <col min="11" max="11" width="12.875" style="9" customWidth="1"/>
    <col min="12" max="12" width="19.375" style="9" customWidth="1"/>
    <col min="13" max="13" width="15" style="9" customWidth="1"/>
    <col min="14" max="14" width="10.875" style="10" customWidth="1"/>
    <col min="15" max="15" width="13" style="11" customWidth="1"/>
  </cols>
  <sheetData>
    <row r="1" spans="1:15" ht="20.25" x14ac:dyDescent="0.2">
      <c r="A1" s="571"/>
      <c r="B1" s="572" t="s">
        <v>486</v>
      </c>
      <c r="C1" s="572"/>
      <c r="D1" s="572"/>
      <c r="E1" s="572"/>
      <c r="F1" s="572"/>
      <c r="G1" s="572"/>
      <c r="H1" s="572"/>
      <c r="I1" s="572"/>
      <c r="J1" s="572"/>
      <c r="K1" s="572"/>
      <c r="L1" s="572"/>
      <c r="M1" s="572"/>
      <c r="N1" s="572"/>
      <c r="O1" s="572"/>
    </row>
    <row r="2" spans="1:15" ht="14.25" x14ac:dyDescent="0.2">
      <c r="A2" s="571"/>
      <c r="B2" s="573" t="s">
        <v>131</v>
      </c>
      <c r="C2" s="573"/>
      <c r="D2" s="573"/>
      <c r="E2" s="573"/>
      <c r="F2" s="573"/>
      <c r="G2" s="573"/>
      <c r="H2" s="573"/>
      <c r="I2" s="573"/>
      <c r="J2" s="573"/>
      <c r="K2" s="573"/>
      <c r="L2" s="573"/>
      <c r="M2" s="573"/>
      <c r="N2" s="573"/>
      <c r="O2" s="573"/>
    </row>
    <row r="3" spans="1:15" ht="15.75" x14ac:dyDescent="0.2">
      <c r="A3" s="571"/>
      <c r="B3" s="712" t="s">
        <v>101</v>
      </c>
      <c r="C3" s="712"/>
      <c r="D3" s="712"/>
      <c r="E3" s="712"/>
      <c r="F3" s="712"/>
      <c r="G3" s="712"/>
      <c r="H3" s="712"/>
      <c r="I3" s="712"/>
      <c r="J3" s="712"/>
      <c r="K3" s="712"/>
      <c r="L3" s="712"/>
      <c r="M3" s="712"/>
      <c r="N3" s="712"/>
      <c r="O3" s="712"/>
    </row>
    <row r="4" spans="1:15" ht="14.25" x14ac:dyDescent="0.2">
      <c r="A4" s="571"/>
      <c r="B4" s="713" t="s">
        <v>52</v>
      </c>
      <c r="C4" s="713"/>
      <c r="D4" s="713"/>
      <c r="E4" s="713"/>
      <c r="F4" s="713"/>
      <c r="G4" s="713"/>
      <c r="H4" s="713"/>
      <c r="I4" s="713"/>
      <c r="J4" s="713"/>
      <c r="K4" s="713"/>
      <c r="L4" s="713"/>
      <c r="M4" s="713"/>
      <c r="N4" s="713"/>
      <c r="O4" s="713"/>
    </row>
    <row r="5" spans="1:15" ht="14.25" x14ac:dyDescent="0.2">
      <c r="A5" s="571"/>
      <c r="B5" s="713" t="s">
        <v>51</v>
      </c>
      <c r="C5" s="713"/>
      <c r="D5" s="713"/>
      <c r="E5" s="713"/>
      <c r="F5" s="713"/>
      <c r="G5" s="713"/>
      <c r="H5" s="713"/>
      <c r="I5" s="713"/>
      <c r="J5" s="713"/>
      <c r="K5" s="713"/>
      <c r="L5" s="713"/>
      <c r="M5" s="713"/>
      <c r="N5" s="713"/>
      <c r="O5" s="713"/>
    </row>
    <row r="6" spans="1:15" s="206" customFormat="1" ht="46.15" customHeight="1" x14ac:dyDescent="0.2">
      <c r="A6" s="571"/>
      <c r="B6" s="200" t="s">
        <v>0</v>
      </c>
      <c r="C6" s="201" t="s">
        <v>1</v>
      </c>
      <c r="D6" s="202" t="s">
        <v>2</v>
      </c>
      <c r="E6" s="202" t="s">
        <v>3</v>
      </c>
      <c r="F6" s="202" t="s">
        <v>4</v>
      </c>
      <c r="G6" s="202" t="s">
        <v>5</v>
      </c>
      <c r="H6" s="203" t="s">
        <v>6</v>
      </c>
      <c r="I6" s="204" t="s">
        <v>7</v>
      </c>
      <c r="J6" s="202" t="s">
        <v>8</v>
      </c>
      <c r="K6" s="202" t="s">
        <v>9</v>
      </c>
      <c r="L6" s="202" t="s">
        <v>95</v>
      </c>
      <c r="M6" s="199" t="s">
        <v>96</v>
      </c>
      <c r="N6" s="205" t="s">
        <v>10</v>
      </c>
      <c r="O6" s="202" t="s">
        <v>11</v>
      </c>
    </row>
    <row r="7" spans="1:15" ht="15.75" x14ac:dyDescent="0.2">
      <c r="A7" s="556" t="s">
        <v>492</v>
      </c>
      <c r="B7" s="557"/>
      <c r="C7" s="557"/>
      <c r="D7" s="557"/>
      <c r="E7" s="557"/>
      <c r="F7" s="557"/>
      <c r="G7" s="557"/>
      <c r="H7" s="557"/>
      <c r="I7" s="557"/>
      <c r="J7" s="557"/>
      <c r="K7" s="557"/>
      <c r="L7" s="557"/>
      <c r="M7" s="557"/>
      <c r="N7" s="557"/>
      <c r="O7" s="661"/>
    </row>
    <row r="8" spans="1:15" ht="51" x14ac:dyDescent="0.2">
      <c r="A8" s="720">
        <v>1</v>
      </c>
      <c r="B8" s="123" t="s">
        <v>487</v>
      </c>
      <c r="C8" s="123" t="s">
        <v>29</v>
      </c>
      <c r="D8" s="16" t="s">
        <v>488</v>
      </c>
      <c r="E8" s="17">
        <v>100</v>
      </c>
      <c r="F8" s="18" t="s">
        <v>12</v>
      </c>
      <c r="G8" s="18" t="s">
        <v>489</v>
      </c>
      <c r="H8" s="18">
        <f>500*117/100</f>
        <v>585</v>
      </c>
      <c r="I8" s="18">
        <f>H8*72</f>
        <v>42120</v>
      </c>
      <c r="J8" s="16"/>
      <c r="K8" s="130" t="s">
        <v>116</v>
      </c>
      <c r="L8" s="121" t="s">
        <v>97</v>
      </c>
      <c r="M8" s="57">
        <f>I8</f>
        <v>42120</v>
      </c>
      <c r="N8" s="122" t="s">
        <v>18</v>
      </c>
      <c r="O8" s="58">
        <v>2440142951</v>
      </c>
    </row>
    <row r="9" spans="1:15" ht="14.25" x14ac:dyDescent="0.2">
      <c r="A9" s="721"/>
      <c r="B9" s="717" t="s">
        <v>490</v>
      </c>
      <c r="C9" s="718"/>
      <c r="D9" s="718"/>
      <c r="E9" s="718"/>
      <c r="F9" s="718"/>
      <c r="G9" s="718"/>
      <c r="H9" s="718"/>
      <c r="I9" s="718"/>
      <c r="J9" s="718"/>
      <c r="K9" s="718"/>
      <c r="L9" s="718"/>
      <c r="M9" s="718"/>
      <c r="N9" s="718"/>
      <c r="O9" s="719"/>
    </row>
    <row r="10" spans="1:15" ht="15.75" x14ac:dyDescent="0.2">
      <c r="A10" s="556" t="s">
        <v>493</v>
      </c>
      <c r="B10" s="557"/>
      <c r="C10" s="557"/>
      <c r="D10" s="557"/>
      <c r="E10" s="557"/>
      <c r="F10" s="557"/>
      <c r="G10" s="557"/>
      <c r="H10" s="557"/>
      <c r="I10" s="557"/>
      <c r="J10" s="557"/>
      <c r="K10" s="557"/>
      <c r="L10" s="557"/>
      <c r="M10" s="557"/>
      <c r="N10" s="557"/>
      <c r="O10" s="661"/>
    </row>
    <row r="11" spans="1:15" ht="76.5" x14ac:dyDescent="0.2">
      <c r="A11" s="720">
        <v>2</v>
      </c>
      <c r="B11" s="128" t="s">
        <v>495</v>
      </c>
      <c r="C11" s="128" t="s">
        <v>127</v>
      </c>
      <c r="D11" s="16" t="s">
        <v>494</v>
      </c>
      <c r="E11" s="17">
        <v>100</v>
      </c>
      <c r="F11" s="18" t="s">
        <v>496</v>
      </c>
      <c r="G11" s="18" t="s">
        <v>497</v>
      </c>
      <c r="H11" s="18">
        <f>72000*117/100</f>
        <v>84240</v>
      </c>
      <c r="I11" s="18">
        <f>H11/2</f>
        <v>42120</v>
      </c>
      <c r="J11" s="16"/>
      <c r="K11" s="126" t="s">
        <v>116</v>
      </c>
      <c r="L11" s="126" t="s">
        <v>97</v>
      </c>
      <c r="M11" s="57">
        <f>I11</f>
        <v>42120</v>
      </c>
      <c r="N11" s="127" t="s">
        <v>18</v>
      </c>
      <c r="O11" s="58">
        <v>2780012750</v>
      </c>
    </row>
    <row r="12" spans="1:15" ht="14.25" x14ac:dyDescent="0.2">
      <c r="A12" s="721"/>
      <c r="B12" s="717" t="s">
        <v>498</v>
      </c>
      <c r="C12" s="718"/>
      <c r="D12" s="718"/>
      <c r="E12" s="718"/>
      <c r="F12" s="718"/>
      <c r="G12" s="718"/>
      <c r="H12" s="718"/>
      <c r="I12" s="718"/>
      <c r="J12" s="718"/>
      <c r="K12" s="718"/>
      <c r="L12" s="718"/>
      <c r="M12" s="718"/>
      <c r="N12" s="718"/>
      <c r="O12" s="719"/>
    </row>
    <row r="13" spans="1:15" ht="15.75" x14ac:dyDescent="0.2">
      <c r="A13" s="556" t="s">
        <v>499</v>
      </c>
      <c r="B13" s="557"/>
      <c r="C13" s="557"/>
      <c r="D13" s="557"/>
      <c r="E13" s="557"/>
      <c r="F13" s="557"/>
      <c r="G13" s="557"/>
      <c r="H13" s="557"/>
      <c r="I13" s="557"/>
      <c r="J13" s="557"/>
      <c r="K13" s="557"/>
      <c r="L13" s="557"/>
      <c r="M13" s="557"/>
      <c r="N13" s="557"/>
      <c r="O13" s="661"/>
    </row>
    <row r="14" spans="1:15" ht="14.25" x14ac:dyDescent="0.2">
      <c r="A14" s="593">
        <v>3</v>
      </c>
      <c r="B14" s="585" t="s">
        <v>500</v>
      </c>
      <c r="C14" s="585" t="s">
        <v>88</v>
      </c>
      <c r="D14" s="13" t="s">
        <v>501</v>
      </c>
      <c r="E14" s="14">
        <v>100</v>
      </c>
      <c r="F14" s="15" t="s">
        <v>14</v>
      </c>
      <c r="G14" s="15" t="s">
        <v>14</v>
      </c>
      <c r="H14" s="15">
        <f>17000*117/100</f>
        <v>19890</v>
      </c>
      <c r="I14" s="15">
        <f>H14</f>
        <v>19890</v>
      </c>
      <c r="J14" s="13" t="s">
        <v>13</v>
      </c>
      <c r="K14" s="714" t="s">
        <v>15</v>
      </c>
      <c r="L14" s="714" t="s">
        <v>505</v>
      </c>
      <c r="M14" s="657">
        <f>I14*0.9</f>
        <v>17901</v>
      </c>
      <c r="N14" s="659" t="s">
        <v>18</v>
      </c>
      <c r="O14" s="671">
        <v>44013</v>
      </c>
    </row>
    <row r="15" spans="1:15" ht="63.75" x14ac:dyDescent="0.2">
      <c r="A15" s="594"/>
      <c r="B15" s="586"/>
      <c r="C15" s="586"/>
      <c r="D15" s="129" t="s">
        <v>502</v>
      </c>
      <c r="E15" s="38">
        <v>96</v>
      </c>
      <c r="F15" s="34" t="s">
        <v>14</v>
      </c>
      <c r="G15" s="34" t="s">
        <v>14</v>
      </c>
      <c r="H15" s="34">
        <f>18000*117/100</f>
        <v>21060</v>
      </c>
      <c r="I15" s="34">
        <f>H15</f>
        <v>21060</v>
      </c>
      <c r="J15" s="129" t="s">
        <v>13</v>
      </c>
      <c r="K15" s="715"/>
      <c r="L15" s="715"/>
      <c r="M15" s="673"/>
      <c r="N15" s="674"/>
      <c r="O15" s="672"/>
    </row>
    <row r="16" spans="1:15" ht="25.5" x14ac:dyDescent="0.2">
      <c r="A16" s="594"/>
      <c r="B16" s="586"/>
      <c r="C16" s="586"/>
      <c r="D16" s="129" t="s">
        <v>503</v>
      </c>
      <c r="E16" s="38">
        <v>82</v>
      </c>
      <c r="F16" s="34" t="s">
        <v>14</v>
      </c>
      <c r="G16" s="34" t="s">
        <v>14</v>
      </c>
      <c r="H16" s="34">
        <f>19000*117/100</f>
        <v>22230</v>
      </c>
      <c r="I16" s="34">
        <f>H16</f>
        <v>22230</v>
      </c>
      <c r="J16" s="129" t="s">
        <v>13</v>
      </c>
      <c r="K16" s="715"/>
      <c r="L16" s="715"/>
      <c r="M16" s="673"/>
      <c r="N16" s="674"/>
      <c r="O16" s="672"/>
    </row>
    <row r="17" spans="1:17" ht="14.25" x14ac:dyDescent="0.2">
      <c r="A17" s="594"/>
      <c r="B17" s="772"/>
      <c r="C17" s="773"/>
      <c r="D17" s="773"/>
      <c r="E17" s="773"/>
      <c r="F17" s="773"/>
      <c r="G17" s="773"/>
      <c r="H17" s="773"/>
      <c r="I17" s="773"/>
      <c r="J17" s="773"/>
      <c r="K17" s="773"/>
      <c r="L17" s="773"/>
      <c r="M17" s="773"/>
      <c r="N17" s="773"/>
      <c r="O17" s="774"/>
    </row>
    <row r="18" spans="1:17" ht="15.75" x14ac:dyDescent="0.2">
      <c r="A18" s="775" t="s">
        <v>506</v>
      </c>
      <c r="B18" s="775"/>
      <c r="C18" s="775"/>
      <c r="D18" s="775"/>
      <c r="E18" s="775"/>
      <c r="F18" s="775"/>
      <c r="G18" s="775"/>
      <c r="H18" s="775"/>
      <c r="I18" s="775"/>
      <c r="J18" s="775"/>
      <c r="K18" s="775"/>
      <c r="L18" s="775"/>
      <c r="M18" s="775"/>
      <c r="N18" s="775"/>
      <c r="O18" s="775"/>
    </row>
    <row r="19" spans="1:17" ht="27" customHeight="1" x14ac:dyDescent="0.2">
      <c r="A19" s="776">
        <v>4</v>
      </c>
      <c r="B19" s="777" t="s">
        <v>508</v>
      </c>
      <c r="C19" s="777" t="s">
        <v>89</v>
      </c>
      <c r="D19" s="159" t="s">
        <v>509</v>
      </c>
      <c r="E19" s="159">
        <v>100</v>
      </c>
      <c r="F19" s="159" t="s">
        <v>358</v>
      </c>
      <c r="G19" s="159" t="s">
        <v>510</v>
      </c>
      <c r="H19" s="158">
        <v>3.3000000000000002E-2</v>
      </c>
      <c r="I19" s="160">
        <v>943628.4</v>
      </c>
      <c r="J19" s="159"/>
      <c r="K19" s="778" t="s">
        <v>15</v>
      </c>
      <c r="L19" s="778" t="s">
        <v>605</v>
      </c>
      <c r="M19" s="779">
        <f>I19-30000*117/100</f>
        <v>908528.4</v>
      </c>
      <c r="N19" s="781"/>
      <c r="O19" s="782">
        <v>2560302750</v>
      </c>
    </row>
    <row r="20" spans="1:17" ht="25.5" x14ac:dyDescent="0.2">
      <c r="A20" s="776"/>
      <c r="B20" s="777"/>
      <c r="C20" s="777"/>
      <c r="D20" s="131" t="s">
        <v>511</v>
      </c>
      <c r="E20" s="131">
        <v>88</v>
      </c>
      <c r="F20" s="131" t="s">
        <v>358</v>
      </c>
      <c r="G20" s="132" t="s">
        <v>510</v>
      </c>
      <c r="H20" s="133">
        <v>3.3000000000000002E-2</v>
      </c>
      <c r="I20" s="134">
        <v>943628.4</v>
      </c>
      <c r="J20" s="131"/>
      <c r="K20" s="778"/>
      <c r="L20" s="778"/>
      <c r="M20" s="780"/>
      <c r="N20" s="781"/>
      <c r="O20" s="782"/>
    </row>
    <row r="21" spans="1:17" ht="25.5" x14ac:dyDescent="0.2">
      <c r="A21" s="776"/>
      <c r="B21" s="777"/>
      <c r="C21" s="777"/>
      <c r="D21" s="131" t="s">
        <v>512</v>
      </c>
      <c r="E21" s="131">
        <v>88</v>
      </c>
      <c r="F21" s="131" t="s">
        <v>358</v>
      </c>
      <c r="G21" s="132" t="s">
        <v>510</v>
      </c>
      <c r="H21" s="133">
        <v>3.3000000000000002E-2</v>
      </c>
      <c r="I21" s="134">
        <v>943628.4</v>
      </c>
      <c r="J21" s="131" t="s">
        <v>13</v>
      </c>
      <c r="K21" s="778"/>
      <c r="L21" s="778"/>
      <c r="M21" s="780"/>
      <c r="N21" s="781"/>
      <c r="O21" s="782"/>
    </row>
    <row r="22" spans="1:17" ht="25.5" x14ac:dyDescent="0.2">
      <c r="A22" s="776"/>
      <c r="B22" s="777"/>
      <c r="C22" s="777"/>
      <c r="D22" s="131" t="s">
        <v>70</v>
      </c>
      <c r="E22" s="131">
        <v>82</v>
      </c>
      <c r="F22" s="131" t="s">
        <v>358</v>
      </c>
      <c r="G22" s="132" t="s">
        <v>510</v>
      </c>
      <c r="H22" s="133">
        <v>3.3000000000000002E-2</v>
      </c>
      <c r="I22" s="134">
        <v>943628.4</v>
      </c>
      <c r="J22" s="131" t="s">
        <v>13</v>
      </c>
      <c r="K22" s="778"/>
      <c r="L22" s="778"/>
      <c r="M22" s="780"/>
      <c r="N22" s="781"/>
      <c r="O22" s="782"/>
    </row>
    <row r="23" spans="1:17" ht="38.25" x14ac:dyDescent="0.2">
      <c r="A23" s="776"/>
      <c r="B23" s="777"/>
      <c r="C23" s="777"/>
      <c r="D23" s="131" t="s">
        <v>513</v>
      </c>
      <c r="E23" s="131">
        <v>82</v>
      </c>
      <c r="F23" s="131" t="s">
        <v>358</v>
      </c>
      <c r="G23" s="132" t="s">
        <v>510</v>
      </c>
      <c r="H23" s="133">
        <v>3.3000000000000002E-2</v>
      </c>
      <c r="I23" s="134">
        <v>943628.4</v>
      </c>
      <c r="J23" s="135"/>
      <c r="K23" s="778"/>
      <c r="L23" s="778"/>
      <c r="M23" s="780"/>
      <c r="N23" s="781"/>
      <c r="O23" s="782"/>
    </row>
    <row r="24" spans="1:17" ht="14.45" customHeight="1" x14ac:dyDescent="0.2">
      <c r="A24" s="776"/>
      <c r="B24" s="783" t="s">
        <v>507</v>
      </c>
      <c r="C24" s="783"/>
      <c r="D24" s="783"/>
      <c r="E24" s="783"/>
      <c r="F24" s="783"/>
      <c r="G24" s="783"/>
      <c r="H24" s="783"/>
      <c r="I24" s="783"/>
      <c r="J24" s="783"/>
      <c r="K24" s="783"/>
      <c r="L24" s="783"/>
      <c r="M24" s="783"/>
      <c r="N24" s="783"/>
      <c r="O24" s="783"/>
    </row>
    <row r="25" spans="1:17" s="10" customFormat="1" ht="7.9" customHeight="1" x14ac:dyDescent="0.2">
      <c r="A25" s="20"/>
      <c r="B25" s="39"/>
      <c r="C25" s="39"/>
      <c r="D25" s="39"/>
      <c r="E25" s="39"/>
      <c r="F25" s="39"/>
      <c r="G25" s="39"/>
      <c r="H25" s="39"/>
      <c r="I25" s="39"/>
      <c r="J25" s="39"/>
      <c r="K25" s="39"/>
      <c r="L25" s="39"/>
      <c r="M25" s="39"/>
      <c r="O25" s="11"/>
      <c r="P25"/>
      <c r="Q25"/>
    </row>
    <row r="26" spans="1:17" s="10" customFormat="1" ht="15.6" customHeight="1" x14ac:dyDescent="0.2">
      <c r="A26"/>
      <c r="B26" s="23"/>
      <c r="C26"/>
      <c r="D26"/>
      <c r="E26"/>
      <c r="F26"/>
      <c r="G26" s="7"/>
      <c r="H26" s="8"/>
      <c r="I26" s="8"/>
      <c r="J26"/>
      <c r="K26" s="9"/>
      <c r="L26" s="9"/>
      <c r="M26" s="9"/>
      <c r="O26" s="11"/>
      <c r="P26"/>
      <c r="Q26"/>
    </row>
  </sheetData>
  <mergeCells count="32">
    <mergeCell ref="A18:O18"/>
    <mergeCell ref="A19:A24"/>
    <mergeCell ref="B19:B23"/>
    <mergeCell ref="K19:K23"/>
    <mergeCell ref="L19:L23"/>
    <mergeCell ref="M19:M23"/>
    <mergeCell ref="N19:N23"/>
    <mergeCell ref="O19:O23"/>
    <mergeCell ref="B24:O24"/>
    <mergeCell ref="C19:C23"/>
    <mergeCell ref="A7:O7"/>
    <mergeCell ref="A8:A9"/>
    <mergeCell ref="B9:O9"/>
    <mergeCell ref="A1:A6"/>
    <mergeCell ref="B1:O1"/>
    <mergeCell ref="B2:O2"/>
    <mergeCell ref="B3:O3"/>
    <mergeCell ref="B4:O4"/>
    <mergeCell ref="B5:O5"/>
    <mergeCell ref="A10:O10"/>
    <mergeCell ref="A11:A12"/>
    <mergeCell ref="B12:O12"/>
    <mergeCell ref="A13:O13"/>
    <mergeCell ref="A14:A17"/>
    <mergeCell ref="B14:B16"/>
    <mergeCell ref="C14:C16"/>
    <mergeCell ref="K14:K16"/>
    <mergeCell ref="L14:L16"/>
    <mergeCell ref="M14:M16"/>
    <mergeCell ref="N14:N16"/>
    <mergeCell ref="O14:O16"/>
    <mergeCell ref="B17:O17"/>
  </mergeCells>
  <pageMargins left="0.25" right="0.25" top="0.75" bottom="0.75" header="0.3" footer="0.3"/>
  <pageSetup paperSize="9" scale="7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390FEC-C255-4C9F-8AB0-74A26EA3AD27}">
  <sheetPr>
    <pageSetUpPr fitToPage="1"/>
  </sheetPr>
  <dimension ref="A1:U27"/>
  <sheetViews>
    <sheetView rightToLeft="1" zoomScaleNormal="100" workbookViewId="0">
      <selection activeCell="B1" sqref="B1:S1"/>
    </sheetView>
  </sheetViews>
  <sheetFormatPr defaultColWidth="8.75" defaultRowHeight="15" x14ac:dyDescent="0.2"/>
  <cols>
    <col min="1" max="1" width="4.25" customWidth="1"/>
    <col min="2" max="2" width="21.125" bestFit="1" customWidth="1"/>
    <col min="4" max="4" width="10.875" bestFit="1" customWidth="1"/>
    <col min="5" max="5" width="11.25" customWidth="1"/>
    <col min="7" max="7" width="16.5" customWidth="1"/>
    <col min="8" max="8" width="11" customWidth="1"/>
    <col min="9" max="9" width="10.25" bestFit="1" customWidth="1"/>
    <col min="10" max="10" width="17.875" customWidth="1"/>
    <col min="11" max="11" width="14.875" customWidth="1"/>
    <col min="12" max="12" width="15.625" style="7" customWidth="1"/>
    <col min="13" max="13" width="17" style="8" customWidth="1"/>
    <col min="14" max="14" width="10.875" style="8" customWidth="1"/>
    <col min="15" max="15" width="13.875" customWidth="1"/>
    <col min="16" max="16" width="22.5" style="9" customWidth="1"/>
    <col min="17" max="17" width="12.75" style="9" customWidth="1"/>
    <col min="18" max="18" width="16.125" style="9" bestFit="1" customWidth="1"/>
    <col min="19" max="19" width="10.875" style="247" customWidth="1"/>
  </cols>
  <sheetData>
    <row r="1" spans="1:19" ht="20.25" x14ac:dyDescent="0.2">
      <c r="A1" s="607"/>
      <c r="B1" s="610" t="s">
        <v>1475</v>
      </c>
      <c r="C1" s="611"/>
      <c r="D1" s="611"/>
      <c r="E1" s="611"/>
      <c r="F1" s="611"/>
      <c r="G1" s="611"/>
      <c r="H1" s="611"/>
      <c r="I1" s="611"/>
      <c r="J1" s="611"/>
      <c r="K1" s="611"/>
      <c r="L1" s="611"/>
      <c r="M1" s="611"/>
      <c r="N1" s="611"/>
      <c r="O1" s="611"/>
      <c r="P1" s="611"/>
      <c r="Q1" s="611"/>
      <c r="R1" s="611"/>
      <c r="S1" s="612"/>
    </row>
    <row r="2" spans="1:19" ht="14.25" x14ac:dyDescent="0.2">
      <c r="A2" s="608"/>
      <c r="B2" s="613" t="s">
        <v>1365</v>
      </c>
      <c r="C2" s="614"/>
      <c r="D2" s="614"/>
      <c r="E2" s="614"/>
      <c r="F2" s="614"/>
      <c r="G2" s="614"/>
      <c r="H2" s="614"/>
      <c r="I2" s="614"/>
      <c r="J2" s="614"/>
      <c r="K2" s="614"/>
      <c r="L2" s="614"/>
      <c r="M2" s="614"/>
      <c r="N2" s="614"/>
      <c r="O2" s="614"/>
      <c r="P2" s="614"/>
      <c r="Q2" s="614"/>
      <c r="R2" s="614"/>
      <c r="S2" s="615"/>
    </row>
    <row r="3" spans="1:19" ht="15.75" x14ac:dyDescent="0.2">
      <c r="A3" s="608"/>
      <c r="B3" s="616" t="s">
        <v>795</v>
      </c>
      <c r="C3" s="617"/>
      <c r="D3" s="617"/>
      <c r="E3" s="617"/>
      <c r="F3" s="617"/>
      <c r="G3" s="617"/>
      <c r="H3" s="617"/>
      <c r="I3" s="617"/>
      <c r="J3" s="617"/>
      <c r="K3" s="617"/>
      <c r="L3" s="617"/>
      <c r="M3" s="617"/>
      <c r="N3" s="617"/>
      <c r="O3" s="617"/>
      <c r="P3" s="617"/>
      <c r="Q3" s="617"/>
      <c r="R3" s="617"/>
      <c r="S3" s="618"/>
    </row>
    <row r="4" spans="1:19" ht="14.25" x14ac:dyDescent="0.2">
      <c r="A4" s="608"/>
      <c r="B4" s="619" t="s">
        <v>52</v>
      </c>
      <c r="C4" s="620"/>
      <c r="D4" s="620"/>
      <c r="E4" s="620"/>
      <c r="F4" s="620"/>
      <c r="G4" s="620"/>
      <c r="H4" s="620"/>
      <c r="I4" s="620"/>
      <c r="J4" s="620"/>
      <c r="K4" s="620"/>
      <c r="L4" s="620"/>
      <c r="M4" s="620"/>
      <c r="N4" s="620"/>
      <c r="O4" s="620"/>
      <c r="P4" s="620"/>
      <c r="Q4" s="620"/>
      <c r="R4" s="620"/>
      <c r="S4" s="621"/>
    </row>
    <row r="5" spans="1:19" ht="14.25" x14ac:dyDescent="0.2">
      <c r="A5" s="608"/>
      <c r="B5" s="619" t="s">
        <v>51</v>
      </c>
      <c r="C5" s="620"/>
      <c r="D5" s="620"/>
      <c r="E5" s="620"/>
      <c r="F5" s="620"/>
      <c r="G5" s="620"/>
      <c r="H5" s="620"/>
      <c r="I5" s="620"/>
      <c r="J5" s="620"/>
      <c r="K5" s="620"/>
      <c r="L5" s="620"/>
      <c r="M5" s="620"/>
      <c r="N5" s="620"/>
      <c r="O5" s="620"/>
      <c r="P5" s="620"/>
      <c r="Q5" s="620"/>
      <c r="R5" s="620"/>
      <c r="S5" s="621"/>
    </row>
    <row r="6" spans="1:19" s="307" customFormat="1" ht="47.25" x14ac:dyDescent="0.2">
      <c r="A6" s="609"/>
      <c r="B6" s="222" t="s">
        <v>0</v>
      </c>
      <c r="C6" s="222" t="s">
        <v>1</v>
      </c>
      <c r="D6" s="222" t="s">
        <v>830</v>
      </c>
      <c r="E6" s="222" t="s">
        <v>35</v>
      </c>
      <c r="F6" s="222" t="s">
        <v>831</v>
      </c>
      <c r="G6" s="222" t="s">
        <v>2</v>
      </c>
      <c r="H6" s="222" t="s">
        <v>3</v>
      </c>
      <c r="I6" s="222" t="s">
        <v>832</v>
      </c>
      <c r="J6" s="222" t="s">
        <v>833</v>
      </c>
      <c r="K6" s="502" t="s">
        <v>834</v>
      </c>
      <c r="L6" s="2" t="s">
        <v>835</v>
      </c>
      <c r="M6" s="3" t="s">
        <v>836</v>
      </c>
      <c r="N6" s="222" t="s">
        <v>8</v>
      </c>
      <c r="O6" s="222" t="s">
        <v>9</v>
      </c>
      <c r="P6" s="222" t="s">
        <v>95</v>
      </c>
      <c r="Q6" s="222" t="s">
        <v>837</v>
      </c>
      <c r="R6" s="497" t="s">
        <v>729</v>
      </c>
      <c r="S6" s="222" t="s">
        <v>10</v>
      </c>
    </row>
    <row r="7" spans="1:19" s="419" customFormat="1" ht="12.75" x14ac:dyDescent="0.2">
      <c r="A7" s="576" t="s">
        <v>1366</v>
      </c>
      <c r="B7" s="577"/>
      <c r="C7" s="577"/>
      <c r="D7" s="577"/>
      <c r="E7" s="577"/>
      <c r="F7" s="577"/>
      <c r="G7" s="577"/>
      <c r="H7" s="577"/>
      <c r="I7" s="577"/>
      <c r="J7" s="577"/>
      <c r="K7" s="577"/>
      <c r="L7" s="577"/>
      <c r="M7" s="577"/>
      <c r="N7" s="577"/>
      <c r="O7" s="577"/>
      <c r="P7" s="577"/>
      <c r="Q7" s="577"/>
      <c r="R7" s="577"/>
      <c r="S7" s="578"/>
    </row>
    <row r="8" spans="1:19" s="419" customFormat="1" ht="12.75" x14ac:dyDescent="0.2">
      <c r="A8" s="579">
        <v>1</v>
      </c>
      <c r="B8" s="585" t="s">
        <v>1436</v>
      </c>
      <c r="C8" s="585" t="s">
        <v>1437</v>
      </c>
      <c r="D8" s="585"/>
      <c r="E8" s="587" t="s">
        <v>38</v>
      </c>
      <c r="F8" s="587" t="s">
        <v>55</v>
      </c>
      <c r="G8" s="13" t="s">
        <v>1248</v>
      </c>
      <c r="H8" s="14">
        <v>100</v>
      </c>
      <c r="I8" s="15" t="s">
        <v>73</v>
      </c>
      <c r="J8" s="15">
        <v>200</v>
      </c>
      <c r="K8" s="13">
        <f>48*12</f>
        <v>576</v>
      </c>
      <c r="L8" s="22">
        <f>K8*J8</f>
        <v>115200</v>
      </c>
      <c r="M8" s="22">
        <f>L8*1.17</f>
        <v>134784</v>
      </c>
      <c r="N8" s="326" t="s">
        <v>13</v>
      </c>
      <c r="O8" s="560" t="s">
        <v>86</v>
      </c>
      <c r="P8" s="560" t="s">
        <v>97</v>
      </c>
      <c r="Q8" s="589"/>
      <c r="R8" s="591">
        <f>M8</f>
        <v>134784</v>
      </c>
      <c r="S8" s="568" t="s">
        <v>18</v>
      </c>
    </row>
    <row r="9" spans="1:19" s="419" customFormat="1" ht="12.75" x14ac:dyDescent="0.2">
      <c r="A9" s="584"/>
      <c r="B9" s="586"/>
      <c r="C9" s="586"/>
      <c r="D9" s="586"/>
      <c r="E9" s="588"/>
      <c r="F9" s="588"/>
      <c r="G9" s="367" t="s">
        <v>1249</v>
      </c>
      <c r="H9" s="500">
        <v>80</v>
      </c>
      <c r="I9" s="34" t="s">
        <v>73</v>
      </c>
      <c r="J9" s="34">
        <v>250</v>
      </c>
      <c r="K9" s="498">
        <v>576</v>
      </c>
      <c r="L9" s="198">
        <f>K9*J9</f>
        <v>144000</v>
      </c>
      <c r="M9" s="198">
        <f>L9*1.17</f>
        <v>168480</v>
      </c>
      <c r="N9" s="498" t="s">
        <v>13</v>
      </c>
      <c r="O9" s="561"/>
      <c r="P9" s="561"/>
      <c r="Q9" s="590"/>
      <c r="R9" s="592"/>
      <c r="S9" s="569"/>
    </row>
    <row r="10" spans="1:19" s="419" customFormat="1" ht="12.75" x14ac:dyDescent="0.2">
      <c r="A10" s="584"/>
      <c r="B10" s="586"/>
      <c r="C10" s="586"/>
      <c r="D10" s="586"/>
      <c r="E10" s="588"/>
      <c r="F10" s="588"/>
      <c r="G10" s="367" t="s">
        <v>1438</v>
      </c>
      <c r="H10" s="500">
        <v>70</v>
      </c>
      <c r="I10" s="34" t="s">
        <v>73</v>
      </c>
      <c r="J10" s="34">
        <v>300</v>
      </c>
      <c r="K10" s="498">
        <v>576</v>
      </c>
      <c r="L10" s="198">
        <f>K10*J10</f>
        <v>172800</v>
      </c>
      <c r="M10" s="198">
        <f>L10*1.17</f>
        <v>202176</v>
      </c>
      <c r="N10" s="498" t="s">
        <v>13</v>
      </c>
      <c r="O10" s="561"/>
      <c r="P10" s="561"/>
      <c r="Q10" s="590"/>
      <c r="R10" s="592"/>
      <c r="S10" s="569"/>
    </row>
    <row r="11" spans="1:19" s="419" customFormat="1" ht="12.75" x14ac:dyDescent="0.2">
      <c r="A11" s="584"/>
      <c r="B11" s="586"/>
      <c r="C11" s="586"/>
      <c r="D11" s="586"/>
      <c r="E11" s="588"/>
      <c r="F11" s="588"/>
      <c r="G11" s="501" t="s">
        <v>1435</v>
      </c>
      <c r="H11" s="416">
        <v>67</v>
      </c>
      <c r="I11" s="417" t="s">
        <v>73</v>
      </c>
      <c r="J11" s="417">
        <v>320</v>
      </c>
      <c r="K11" s="501">
        <v>576</v>
      </c>
      <c r="L11" s="198">
        <f t="shared" ref="L11" si="0">K11*J11</f>
        <v>184320</v>
      </c>
      <c r="M11" s="198">
        <f t="shared" ref="M11" si="1">L11*1.17</f>
        <v>215654.39999999999</v>
      </c>
      <c r="N11" s="498" t="s">
        <v>13</v>
      </c>
      <c r="O11" s="561"/>
      <c r="P11" s="561"/>
      <c r="Q11" s="590"/>
      <c r="R11" s="592"/>
      <c r="S11" s="569"/>
    </row>
    <row r="12" spans="1:19" s="419" customFormat="1" ht="12.75" x14ac:dyDescent="0.2">
      <c r="A12" s="580"/>
      <c r="B12" s="581" t="s">
        <v>1439</v>
      </c>
      <c r="C12" s="582"/>
      <c r="D12" s="582"/>
      <c r="E12" s="582"/>
      <c r="F12" s="582"/>
      <c r="G12" s="582"/>
      <c r="H12" s="582"/>
      <c r="I12" s="582"/>
      <c r="J12" s="582"/>
      <c r="K12" s="582"/>
      <c r="L12" s="582"/>
      <c r="M12" s="582"/>
      <c r="N12" s="582"/>
      <c r="O12" s="582"/>
      <c r="P12" s="582"/>
      <c r="Q12" s="582"/>
      <c r="R12" s="582"/>
      <c r="S12" s="583"/>
    </row>
    <row r="13" spans="1:19" s="419" customFormat="1" ht="12.75" x14ac:dyDescent="0.2">
      <c r="A13" s="576" t="s">
        <v>1367</v>
      </c>
      <c r="B13" s="577"/>
      <c r="C13" s="577"/>
      <c r="D13" s="577"/>
      <c r="E13" s="577"/>
      <c r="F13" s="577"/>
      <c r="G13" s="577"/>
      <c r="H13" s="577"/>
      <c r="I13" s="577"/>
      <c r="J13" s="577"/>
      <c r="K13" s="577"/>
      <c r="L13" s="577"/>
      <c r="M13" s="577"/>
      <c r="N13" s="577"/>
      <c r="O13" s="577"/>
      <c r="P13" s="577"/>
      <c r="Q13" s="577"/>
      <c r="R13" s="577"/>
      <c r="S13" s="577"/>
    </row>
    <row r="14" spans="1:19" ht="25.5" customHeight="1" x14ac:dyDescent="0.2">
      <c r="A14" s="593">
        <v>2</v>
      </c>
      <c r="B14" s="585" t="s">
        <v>1440</v>
      </c>
      <c r="C14" s="585" t="s">
        <v>1354</v>
      </c>
      <c r="D14" s="597"/>
      <c r="E14" s="587" t="s">
        <v>37</v>
      </c>
      <c r="F14" s="587" t="s">
        <v>62</v>
      </c>
      <c r="G14" s="13" t="s">
        <v>1444</v>
      </c>
      <c r="H14" s="14">
        <v>100</v>
      </c>
      <c r="I14" s="15" t="s">
        <v>73</v>
      </c>
      <c r="J14" s="18">
        <v>243</v>
      </c>
      <c r="K14" s="364">
        <v>200</v>
      </c>
      <c r="L14" s="18">
        <f>J14*K14</f>
        <v>48600</v>
      </c>
      <c r="M14" s="18">
        <f>L14*117/100</f>
        <v>56862</v>
      </c>
      <c r="N14" s="13" t="s">
        <v>1111</v>
      </c>
      <c r="O14" s="560" t="s">
        <v>15</v>
      </c>
      <c r="P14" s="560" t="s">
        <v>1473</v>
      </c>
      <c r="Q14" s="601"/>
      <c r="R14" s="604">
        <f>M14*(100-Q14)/100</f>
        <v>56862</v>
      </c>
      <c r="S14" s="568" t="s">
        <v>18</v>
      </c>
    </row>
    <row r="15" spans="1:19" ht="25.5" customHeight="1" x14ac:dyDescent="0.2">
      <c r="A15" s="594"/>
      <c r="B15" s="586"/>
      <c r="C15" s="586"/>
      <c r="D15" s="598"/>
      <c r="E15" s="588"/>
      <c r="F15" s="588"/>
      <c r="G15" s="13" t="s">
        <v>1356</v>
      </c>
      <c r="H15" s="14">
        <v>100</v>
      </c>
      <c r="I15" s="15" t="s">
        <v>73</v>
      </c>
      <c r="J15" s="18">
        <v>243</v>
      </c>
      <c r="K15" s="364">
        <v>200</v>
      </c>
      <c r="L15" s="18">
        <f t="shared" ref="L15:L17" si="2">J15*K15</f>
        <v>48600</v>
      </c>
      <c r="M15" s="18">
        <f t="shared" ref="M15:M17" si="3">L15*117/100</f>
        <v>56862</v>
      </c>
      <c r="N15" s="13" t="s">
        <v>1111</v>
      </c>
      <c r="O15" s="561"/>
      <c r="P15" s="561"/>
      <c r="Q15" s="602"/>
      <c r="R15" s="605"/>
      <c r="S15" s="569"/>
    </row>
    <row r="16" spans="1:19" ht="25.5" customHeight="1" x14ac:dyDescent="0.2">
      <c r="A16" s="594"/>
      <c r="B16" s="586"/>
      <c r="C16" s="586"/>
      <c r="D16" s="598"/>
      <c r="E16" s="588"/>
      <c r="F16" s="588"/>
      <c r="G16" s="13" t="s">
        <v>1445</v>
      </c>
      <c r="H16" s="14">
        <v>100</v>
      </c>
      <c r="I16" s="15" t="s">
        <v>73</v>
      </c>
      <c r="J16" s="18">
        <v>243</v>
      </c>
      <c r="K16" s="364">
        <v>200</v>
      </c>
      <c r="L16" s="18">
        <f t="shared" si="2"/>
        <v>48600</v>
      </c>
      <c r="M16" s="18">
        <f t="shared" si="3"/>
        <v>56862</v>
      </c>
      <c r="N16" s="13" t="s">
        <v>1111</v>
      </c>
      <c r="O16" s="561"/>
      <c r="P16" s="561"/>
      <c r="Q16" s="602"/>
      <c r="R16" s="605"/>
      <c r="S16" s="569"/>
    </row>
    <row r="17" spans="1:21" ht="26.45" customHeight="1" x14ac:dyDescent="0.2">
      <c r="A17" s="594"/>
      <c r="B17" s="596"/>
      <c r="C17" s="596"/>
      <c r="D17" s="599"/>
      <c r="E17" s="600"/>
      <c r="F17" s="600"/>
      <c r="G17" s="16" t="s">
        <v>1446</v>
      </c>
      <c r="H17" s="14">
        <v>100</v>
      </c>
      <c r="I17" s="15" t="s">
        <v>73</v>
      </c>
      <c r="J17" s="18">
        <v>243</v>
      </c>
      <c r="K17" s="364">
        <v>200</v>
      </c>
      <c r="L17" s="18">
        <f t="shared" si="2"/>
        <v>48600</v>
      </c>
      <c r="M17" s="18">
        <f t="shared" si="3"/>
        <v>56862</v>
      </c>
      <c r="N17" s="13" t="s">
        <v>1111</v>
      </c>
      <c r="O17" s="562"/>
      <c r="P17" s="562"/>
      <c r="Q17" s="603"/>
      <c r="R17" s="606"/>
      <c r="S17" s="570"/>
    </row>
    <row r="18" spans="1:21" ht="14.25" customHeight="1" x14ac:dyDescent="0.2">
      <c r="A18" s="595"/>
      <c r="B18" s="581" t="s">
        <v>1447</v>
      </c>
      <c r="C18" s="582"/>
      <c r="D18" s="582"/>
      <c r="E18" s="582"/>
      <c r="F18" s="582"/>
      <c r="G18" s="582"/>
      <c r="H18" s="582"/>
      <c r="I18" s="582"/>
      <c r="J18" s="582"/>
      <c r="K18" s="582"/>
      <c r="L18" s="582"/>
      <c r="M18" s="582"/>
      <c r="N18" s="582"/>
      <c r="O18" s="582"/>
      <c r="P18" s="582"/>
      <c r="Q18" s="582"/>
      <c r="R18" s="582"/>
      <c r="S18" s="582"/>
    </row>
    <row r="19" spans="1:21" s="419" customFormat="1" ht="12.75" x14ac:dyDescent="0.2">
      <c r="A19" s="576" t="s">
        <v>1368</v>
      </c>
      <c r="B19" s="577"/>
      <c r="C19" s="577"/>
      <c r="D19" s="577"/>
      <c r="E19" s="577"/>
      <c r="F19" s="577"/>
      <c r="G19" s="577"/>
      <c r="H19" s="577"/>
      <c r="I19" s="577"/>
      <c r="J19" s="577"/>
      <c r="K19" s="577"/>
      <c r="L19" s="577"/>
      <c r="M19" s="577"/>
      <c r="N19" s="577"/>
      <c r="O19" s="577"/>
      <c r="P19" s="577"/>
      <c r="Q19" s="577"/>
      <c r="R19" s="577"/>
      <c r="S19" s="578"/>
    </row>
    <row r="20" spans="1:21" s="419" customFormat="1" ht="51" x14ac:dyDescent="0.2">
      <c r="A20" s="579">
        <v>3</v>
      </c>
      <c r="B20" s="498" t="s">
        <v>1441</v>
      </c>
      <c r="C20" s="498" t="s">
        <v>1442</v>
      </c>
      <c r="D20" s="498">
        <v>240072961</v>
      </c>
      <c r="E20" s="500" t="s">
        <v>108</v>
      </c>
      <c r="F20" s="500" t="s">
        <v>64</v>
      </c>
      <c r="G20" s="16" t="s">
        <v>1443</v>
      </c>
      <c r="H20" s="17">
        <v>75</v>
      </c>
      <c r="I20" s="15" t="s">
        <v>129</v>
      </c>
      <c r="J20" s="18">
        <f>5460/1.17</f>
        <v>4666.666666666667</v>
      </c>
      <c r="K20" s="364">
        <v>12</v>
      </c>
      <c r="L20" s="36">
        <f>J20*K20</f>
        <v>56000</v>
      </c>
      <c r="M20" s="36">
        <f>L20*1.17</f>
        <v>65519.999999999993</v>
      </c>
      <c r="N20" s="13" t="s">
        <v>1111</v>
      </c>
      <c r="O20" s="386" t="s">
        <v>116</v>
      </c>
      <c r="P20" s="497" t="s">
        <v>97</v>
      </c>
      <c r="Q20" s="497"/>
      <c r="R20" s="499">
        <f>M20*(100-Q20)/100</f>
        <v>65519.999999999993</v>
      </c>
      <c r="S20" s="420"/>
      <c r="T20" s="421"/>
      <c r="U20" s="11"/>
    </row>
    <row r="21" spans="1:21" s="419" customFormat="1" ht="12.75" x14ac:dyDescent="0.2">
      <c r="A21" s="580"/>
      <c r="B21" s="581" t="s">
        <v>1481</v>
      </c>
      <c r="C21" s="582"/>
      <c r="D21" s="582"/>
      <c r="E21" s="582"/>
      <c r="F21" s="582"/>
      <c r="G21" s="582"/>
      <c r="H21" s="582"/>
      <c r="I21" s="582"/>
      <c r="J21" s="582"/>
      <c r="K21" s="582"/>
      <c r="L21" s="582"/>
      <c r="M21" s="582"/>
      <c r="N21" s="582"/>
      <c r="O21" s="582"/>
      <c r="P21" s="582"/>
      <c r="Q21" s="582"/>
      <c r="R21" s="582"/>
      <c r="S21" s="583"/>
    </row>
    <row r="22" spans="1:21" s="419" customFormat="1" ht="12.75" x14ac:dyDescent="0.2">
      <c r="A22" s="576" t="s">
        <v>1369</v>
      </c>
      <c r="B22" s="577"/>
      <c r="C22" s="577"/>
      <c r="D22" s="577"/>
      <c r="E22" s="577"/>
      <c r="F22" s="577"/>
      <c r="G22" s="577"/>
      <c r="H22" s="577"/>
      <c r="I22" s="577"/>
      <c r="J22" s="577"/>
      <c r="K22" s="577"/>
      <c r="L22" s="577"/>
      <c r="M22" s="577"/>
      <c r="N22" s="577"/>
      <c r="O22" s="577"/>
      <c r="P22" s="577"/>
      <c r="Q22" s="577"/>
      <c r="R22" s="577"/>
      <c r="S22" s="578"/>
    </row>
    <row r="23" spans="1:21" s="419" customFormat="1" ht="24.6" customHeight="1" x14ac:dyDescent="0.2">
      <c r="A23" s="579">
        <v>4</v>
      </c>
      <c r="B23" s="585" t="s">
        <v>1464</v>
      </c>
      <c r="C23" s="585" t="s">
        <v>1465</v>
      </c>
      <c r="D23" s="585"/>
      <c r="E23" s="587" t="s">
        <v>1166</v>
      </c>
      <c r="F23" s="587" t="s">
        <v>55</v>
      </c>
      <c r="G23" s="13" t="s">
        <v>1466</v>
      </c>
      <c r="H23" s="14">
        <v>94</v>
      </c>
      <c r="I23" s="15" t="s">
        <v>73</v>
      </c>
      <c r="J23" s="15">
        <v>150</v>
      </c>
      <c r="K23" s="13">
        <v>1008</v>
      </c>
      <c r="L23" s="22">
        <v>151200</v>
      </c>
      <c r="M23" s="22">
        <v>176904</v>
      </c>
      <c r="N23" s="326" t="s">
        <v>1111</v>
      </c>
      <c r="O23" s="560" t="s">
        <v>15</v>
      </c>
      <c r="P23" s="560" t="s">
        <v>97</v>
      </c>
      <c r="Q23" s="589"/>
      <c r="R23" s="591">
        <f>M23</f>
        <v>176904</v>
      </c>
      <c r="S23" s="568" t="s">
        <v>18</v>
      </c>
    </row>
    <row r="24" spans="1:21" s="419" customFormat="1" ht="39.6" customHeight="1" x14ac:dyDescent="0.2">
      <c r="A24" s="584"/>
      <c r="B24" s="586"/>
      <c r="C24" s="586"/>
      <c r="D24" s="586"/>
      <c r="E24" s="588"/>
      <c r="F24" s="588"/>
      <c r="G24" s="367" t="s">
        <v>1467</v>
      </c>
      <c r="H24" s="522">
        <v>76</v>
      </c>
      <c r="I24" s="34" t="s">
        <v>73</v>
      </c>
      <c r="J24" s="34">
        <v>100</v>
      </c>
      <c r="K24" s="521">
        <v>504</v>
      </c>
      <c r="L24" s="198">
        <v>50400</v>
      </c>
      <c r="M24" s="198">
        <v>58968</v>
      </c>
      <c r="N24" s="521" t="s">
        <v>1143</v>
      </c>
      <c r="O24" s="561"/>
      <c r="P24" s="561"/>
      <c r="Q24" s="590"/>
      <c r="R24" s="592"/>
      <c r="S24" s="569"/>
    </row>
    <row r="25" spans="1:21" s="419" customFormat="1" ht="12.75" x14ac:dyDescent="0.2">
      <c r="A25" s="580"/>
      <c r="B25" s="581" t="s">
        <v>1328</v>
      </c>
      <c r="C25" s="582"/>
      <c r="D25" s="582"/>
      <c r="E25" s="582"/>
      <c r="F25" s="582"/>
      <c r="G25" s="582"/>
      <c r="H25" s="582"/>
      <c r="I25" s="582"/>
      <c r="J25" s="582"/>
      <c r="K25" s="582"/>
      <c r="L25" s="582"/>
      <c r="M25" s="582"/>
      <c r="N25" s="582"/>
      <c r="O25" s="582"/>
      <c r="P25" s="582"/>
      <c r="Q25" s="582"/>
      <c r="R25" s="582"/>
      <c r="S25" s="583"/>
    </row>
    <row r="27" spans="1:21" x14ac:dyDescent="0.2">
      <c r="B27" s="23"/>
    </row>
  </sheetData>
  <dataConsolidate/>
  <mergeCells count="48">
    <mergeCell ref="A7:S7"/>
    <mergeCell ref="A8:A12"/>
    <mergeCell ref="B8:B11"/>
    <mergeCell ref="C8:C11"/>
    <mergeCell ref="D8:D11"/>
    <mergeCell ref="E8:E11"/>
    <mergeCell ref="F8:F11"/>
    <mergeCell ref="O8:O11"/>
    <mergeCell ref="P8:P11"/>
    <mergeCell ref="Q8:Q11"/>
    <mergeCell ref="R8:R11"/>
    <mergeCell ref="S8:S11"/>
    <mergeCell ref="B12:S12"/>
    <mergeCell ref="A1:A6"/>
    <mergeCell ref="B1:S1"/>
    <mergeCell ref="B2:S2"/>
    <mergeCell ref="B3:S3"/>
    <mergeCell ref="B4:S4"/>
    <mergeCell ref="B5:S5"/>
    <mergeCell ref="A13:S13"/>
    <mergeCell ref="A14:A18"/>
    <mergeCell ref="B14:B17"/>
    <mergeCell ref="C14:C17"/>
    <mergeCell ref="D14:D17"/>
    <mergeCell ref="E14:E17"/>
    <mergeCell ref="F14:F17"/>
    <mergeCell ref="O14:O17"/>
    <mergeCell ref="P14:P17"/>
    <mergeCell ref="Q14:Q17"/>
    <mergeCell ref="R14:R17"/>
    <mergeCell ref="S14:S17"/>
    <mergeCell ref="B18:S18"/>
    <mergeCell ref="A19:S19"/>
    <mergeCell ref="A20:A21"/>
    <mergeCell ref="B21:S21"/>
    <mergeCell ref="A22:S22"/>
    <mergeCell ref="A23:A25"/>
    <mergeCell ref="B23:B24"/>
    <mergeCell ref="C23:C24"/>
    <mergeCell ref="D23:D24"/>
    <mergeCell ref="E23:E24"/>
    <mergeCell ref="F23:F24"/>
    <mergeCell ref="O23:O24"/>
    <mergeCell ref="P23:P24"/>
    <mergeCell ref="Q23:Q24"/>
    <mergeCell ref="R23:R24"/>
    <mergeCell ref="S23:S24"/>
    <mergeCell ref="B25:S25"/>
  </mergeCells>
  <dataValidations count="1">
    <dataValidation type="list" allowBlank="1" showInputMessage="1" showErrorMessage="1" sqref="O14" xr:uid="{4B828106-3F43-41E5-AF58-AE5A57F27626}">
      <formula1>#REF!</formula1>
    </dataValidation>
  </dataValidations>
  <pageMargins left="0.25" right="0.25" top="0.75" bottom="0.75" header="0.3" footer="0.3"/>
  <pageSetup paperSize="9" scale="51" fitToHeight="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AE31B-EC6C-42E7-A65F-E8EF1331F85C}">
  <sheetPr>
    <pageSetUpPr fitToPage="1"/>
  </sheetPr>
  <dimension ref="A1:Q194"/>
  <sheetViews>
    <sheetView rightToLeft="1" topLeftCell="A191" zoomScale="85" zoomScaleNormal="85" workbookViewId="0">
      <selection activeCell="A194" sqref="A194:XFD194"/>
    </sheetView>
  </sheetViews>
  <sheetFormatPr defaultColWidth="8.75" defaultRowHeight="15" x14ac:dyDescent="0.2"/>
  <cols>
    <col min="1" max="1" width="4.25" customWidth="1"/>
    <col min="2" max="2" width="21.125" style="6" bestFit="1" customWidth="1"/>
    <col min="4" max="4" width="7.25" customWidth="1"/>
    <col min="5" max="5" width="7.75" customWidth="1"/>
    <col min="6" max="6" width="10.25" bestFit="1" customWidth="1"/>
    <col min="7" max="7" width="12.125" style="7" bestFit="1" customWidth="1"/>
    <col min="8" max="8" width="13.625" style="8" bestFit="1" customWidth="1"/>
    <col min="9" max="9" width="16" style="8" bestFit="1" customWidth="1"/>
    <col min="10" max="10" width="9" customWidth="1"/>
    <col min="11" max="11" width="12.875" style="9" customWidth="1"/>
    <col min="12" max="12" width="19.375" style="9" customWidth="1"/>
    <col min="13" max="13" width="15" style="9" customWidth="1"/>
    <col min="14" max="14" width="10.875" style="10" customWidth="1"/>
    <col min="15" max="15" width="13" style="11" customWidth="1"/>
  </cols>
  <sheetData>
    <row r="1" spans="1:15" ht="20.25" x14ac:dyDescent="0.2">
      <c r="A1" s="571"/>
      <c r="B1" s="572" t="s">
        <v>484</v>
      </c>
      <c r="C1" s="572"/>
      <c r="D1" s="572"/>
      <c r="E1" s="572"/>
      <c r="F1" s="572"/>
      <c r="G1" s="572"/>
      <c r="H1" s="572"/>
      <c r="I1" s="572"/>
      <c r="J1" s="572"/>
      <c r="K1" s="572"/>
      <c r="L1" s="572"/>
      <c r="M1" s="572"/>
      <c r="N1" s="572"/>
      <c r="O1" s="572"/>
    </row>
    <row r="2" spans="1:15" ht="14.25" x14ac:dyDescent="0.2">
      <c r="A2" s="571"/>
      <c r="B2" s="573" t="s">
        <v>131</v>
      </c>
      <c r="C2" s="573"/>
      <c r="D2" s="573"/>
      <c r="E2" s="573"/>
      <c r="F2" s="573"/>
      <c r="G2" s="573"/>
      <c r="H2" s="573"/>
      <c r="I2" s="573"/>
      <c r="J2" s="573"/>
      <c r="K2" s="573"/>
      <c r="L2" s="573"/>
      <c r="M2" s="573"/>
      <c r="N2" s="573"/>
      <c r="O2" s="573"/>
    </row>
    <row r="3" spans="1:15" ht="15.75" x14ac:dyDescent="0.2">
      <c r="A3" s="571"/>
      <c r="B3" s="712" t="s">
        <v>101</v>
      </c>
      <c r="C3" s="712"/>
      <c r="D3" s="712"/>
      <c r="E3" s="712"/>
      <c r="F3" s="712"/>
      <c r="G3" s="712"/>
      <c r="H3" s="712"/>
      <c r="I3" s="712"/>
      <c r="J3" s="712"/>
      <c r="K3" s="712"/>
      <c r="L3" s="712"/>
      <c r="M3" s="712"/>
      <c r="N3" s="712"/>
      <c r="O3" s="712"/>
    </row>
    <row r="4" spans="1:15" ht="14.25" x14ac:dyDescent="0.2">
      <c r="A4" s="571"/>
      <c r="B4" s="713" t="s">
        <v>52</v>
      </c>
      <c r="C4" s="713"/>
      <c r="D4" s="713"/>
      <c r="E4" s="713"/>
      <c r="F4" s="713"/>
      <c r="G4" s="713"/>
      <c r="H4" s="713"/>
      <c r="I4" s="713"/>
      <c r="J4" s="713"/>
      <c r="K4" s="713"/>
      <c r="L4" s="713"/>
      <c r="M4" s="713"/>
      <c r="N4" s="713"/>
      <c r="O4" s="713"/>
    </row>
    <row r="5" spans="1:15" ht="14.25" x14ac:dyDescent="0.2">
      <c r="A5" s="571"/>
      <c r="B5" s="713" t="s">
        <v>51</v>
      </c>
      <c r="C5" s="713"/>
      <c r="D5" s="713"/>
      <c r="E5" s="713"/>
      <c r="F5" s="713"/>
      <c r="G5" s="713"/>
      <c r="H5" s="713"/>
      <c r="I5" s="713"/>
      <c r="J5" s="713"/>
      <c r="K5" s="713"/>
      <c r="L5" s="713"/>
      <c r="M5" s="713"/>
      <c r="N5" s="713"/>
      <c r="O5" s="713"/>
    </row>
    <row r="6" spans="1:15" ht="46.5" customHeight="1" x14ac:dyDescent="0.2">
      <c r="A6" s="571"/>
      <c r="B6" s="48" t="s">
        <v>0</v>
      </c>
      <c r="C6" s="110" t="s">
        <v>1</v>
      </c>
      <c r="D6" s="112" t="s">
        <v>2</v>
      </c>
      <c r="E6" s="112" t="s">
        <v>3</v>
      </c>
      <c r="F6" s="112" t="s">
        <v>4</v>
      </c>
      <c r="G6" s="112" t="s">
        <v>5</v>
      </c>
      <c r="H6" s="2" t="s">
        <v>6</v>
      </c>
      <c r="I6" s="3" t="s">
        <v>7</v>
      </c>
      <c r="J6" s="112" t="s">
        <v>8</v>
      </c>
      <c r="K6" s="112" t="s">
        <v>9</v>
      </c>
      <c r="L6" s="112" t="s">
        <v>95</v>
      </c>
      <c r="M6" s="113" t="s">
        <v>96</v>
      </c>
      <c r="N6" s="35" t="s">
        <v>10</v>
      </c>
      <c r="O6" s="112" t="s">
        <v>11</v>
      </c>
    </row>
    <row r="7" spans="1:15" ht="15.75" x14ac:dyDescent="0.2">
      <c r="A7" s="556" t="s">
        <v>350</v>
      </c>
      <c r="B7" s="557"/>
      <c r="C7" s="557"/>
      <c r="D7" s="557"/>
      <c r="E7" s="557"/>
      <c r="F7" s="557"/>
      <c r="G7" s="557"/>
      <c r="H7" s="557"/>
      <c r="I7" s="557"/>
      <c r="J7" s="557"/>
      <c r="K7" s="557"/>
      <c r="L7" s="557"/>
      <c r="M7" s="557"/>
      <c r="N7" s="557"/>
      <c r="O7" s="661"/>
    </row>
    <row r="8" spans="1:15" ht="14.25" x14ac:dyDescent="0.2">
      <c r="A8" s="593">
        <v>1</v>
      </c>
      <c r="B8" s="585" t="s">
        <v>342</v>
      </c>
      <c r="C8" s="585" t="s">
        <v>69</v>
      </c>
      <c r="D8" s="16" t="s">
        <v>343</v>
      </c>
      <c r="E8" s="17">
        <v>100</v>
      </c>
      <c r="F8" s="18" t="s">
        <v>14</v>
      </c>
      <c r="G8" s="18" t="s">
        <v>14</v>
      </c>
      <c r="H8" s="18">
        <f>16000*117/100</f>
        <v>18720</v>
      </c>
      <c r="I8" s="18">
        <f>H8</f>
        <v>18720</v>
      </c>
      <c r="J8" s="16" t="s">
        <v>13</v>
      </c>
      <c r="K8" s="560" t="s">
        <v>15</v>
      </c>
      <c r="L8" s="560" t="s">
        <v>97</v>
      </c>
      <c r="M8" s="657">
        <f>I8</f>
        <v>18720</v>
      </c>
      <c r="N8" s="731" t="s">
        <v>18</v>
      </c>
      <c r="O8" s="671">
        <v>213018275</v>
      </c>
    </row>
    <row r="9" spans="1:15" ht="14.25" x14ac:dyDescent="0.2">
      <c r="A9" s="594"/>
      <c r="B9" s="586"/>
      <c r="C9" s="586"/>
      <c r="D9" s="19" t="s">
        <v>344</v>
      </c>
      <c r="E9" s="24">
        <v>83</v>
      </c>
      <c r="F9" s="12" t="s">
        <v>14</v>
      </c>
      <c r="G9" s="12" t="s">
        <v>14</v>
      </c>
      <c r="H9" s="12">
        <f>21000*117/100</f>
        <v>24570</v>
      </c>
      <c r="I9" s="12">
        <f>H9</f>
        <v>24570</v>
      </c>
      <c r="J9" s="19" t="s">
        <v>13</v>
      </c>
      <c r="K9" s="561"/>
      <c r="L9" s="561"/>
      <c r="M9" s="673"/>
      <c r="N9" s="732"/>
      <c r="O9" s="672"/>
    </row>
    <row r="10" spans="1:15" ht="14.25" x14ac:dyDescent="0.2">
      <c r="A10" s="594"/>
      <c r="B10" s="586"/>
      <c r="C10" s="586"/>
      <c r="D10" s="19" t="s">
        <v>345</v>
      </c>
      <c r="E10" s="24">
        <v>77</v>
      </c>
      <c r="F10" s="12" t="s">
        <v>14</v>
      </c>
      <c r="G10" s="12" t="s">
        <v>14</v>
      </c>
      <c r="H10" s="12">
        <f>21350*117/100</f>
        <v>24979.5</v>
      </c>
      <c r="I10" s="12">
        <f>H10</f>
        <v>24979.5</v>
      </c>
      <c r="J10" s="19" t="s">
        <v>13</v>
      </c>
      <c r="K10" s="561"/>
      <c r="L10" s="561"/>
      <c r="M10" s="673"/>
      <c r="N10" s="732"/>
      <c r="O10" s="672"/>
    </row>
    <row r="11" spans="1:15" ht="38.25" x14ac:dyDescent="0.2">
      <c r="A11" s="594"/>
      <c r="B11" s="586"/>
      <c r="C11" s="586"/>
      <c r="D11" s="19" t="s">
        <v>346</v>
      </c>
      <c r="E11" s="24">
        <v>61</v>
      </c>
      <c r="F11" s="12" t="s">
        <v>14</v>
      </c>
      <c r="G11" s="12" t="s">
        <v>14</v>
      </c>
      <c r="H11" s="12">
        <f>30000*117/100</f>
        <v>35100</v>
      </c>
      <c r="I11" s="12">
        <f>H11</f>
        <v>35100</v>
      </c>
      <c r="J11" s="19" t="s">
        <v>13</v>
      </c>
      <c r="K11" s="561"/>
      <c r="L11" s="561"/>
      <c r="M11" s="673"/>
      <c r="N11" s="732"/>
      <c r="O11" s="672"/>
    </row>
    <row r="12" spans="1:15" ht="14.25" x14ac:dyDescent="0.2">
      <c r="A12" s="594"/>
      <c r="B12" s="596"/>
      <c r="C12" s="596"/>
      <c r="D12" s="19" t="s">
        <v>309</v>
      </c>
      <c r="E12" s="24">
        <v>44</v>
      </c>
      <c r="F12" s="34" t="s">
        <v>14</v>
      </c>
      <c r="G12" s="12" t="s">
        <v>14</v>
      </c>
      <c r="H12" s="12">
        <f>55000*117/100</f>
        <v>64350</v>
      </c>
      <c r="I12" s="12">
        <f>H12</f>
        <v>64350</v>
      </c>
      <c r="J12" s="111" t="s">
        <v>13</v>
      </c>
      <c r="K12" s="562"/>
      <c r="L12" s="562"/>
      <c r="M12" s="658"/>
      <c r="N12" s="733"/>
      <c r="O12" s="705"/>
    </row>
    <row r="13" spans="1:15" ht="14.25" customHeight="1" x14ac:dyDescent="0.2">
      <c r="A13" s="595"/>
      <c r="B13" s="581"/>
      <c r="C13" s="582"/>
      <c r="D13" s="582"/>
      <c r="E13" s="582"/>
      <c r="F13" s="582"/>
      <c r="G13" s="582"/>
      <c r="H13" s="582"/>
      <c r="I13" s="582"/>
      <c r="J13" s="582"/>
      <c r="K13" s="582"/>
      <c r="L13" s="582"/>
      <c r="M13" s="582"/>
      <c r="N13" s="582"/>
      <c r="O13" s="583"/>
    </row>
    <row r="14" spans="1:15" ht="15.75" x14ac:dyDescent="0.2">
      <c r="A14" s="556" t="s">
        <v>351</v>
      </c>
      <c r="B14" s="557"/>
      <c r="C14" s="557"/>
      <c r="D14" s="557"/>
      <c r="E14" s="557"/>
      <c r="F14" s="557"/>
      <c r="G14" s="557"/>
      <c r="H14" s="557"/>
      <c r="I14" s="557"/>
      <c r="J14" s="557"/>
      <c r="K14" s="557"/>
      <c r="L14" s="557"/>
      <c r="M14" s="557"/>
      <c r="N14" s="557"/>
      <c r="O14" s="661"/>
    </row>
    <row r="15" spans="1:15" ht="51" x14ac:dyDescent="0.2">
      <c r="A15" s="720">
        <v>2</v>
      </c>
      <c r="B15" s="109" t="s">
        <v>347</v>
      </c>
      <c r="C15" s="109" t="s">
        <v>94</v>
      </c>
      <c r="D15" s="16" t="s">
        <v>348</v>
      </c>
      <c r="E15" s="17">
        <v>100</v>
      </c>
      <c r="F15" s="18" t="s">
        <v>14</v>
      </c>
      <c r="G15" s="18" t="s">
        <v>14</v>
      </c>
      <c r="H15" s="18">
        <f>27000*117/100</f>
        <v>31590</v>
      </c>
      <c r="I15" s="18">
        <f>H15</f>
        <v>31590</v>
      </c>
      <c r="J15" s="16"/>
      <c r="K15" s="107" t="s">
        <v>116</v>
      </c>
      <c r="L15" s="107" t="s">
        <v>97</v>
      </c>
      <c r="M15" s="57">
        <f>I15</f>
        <v>31590</v>
      </c>
      <c r="N15" s="108" t="s">
        <v>18</v>
      </c>
      <c r="O15" s="58"/>
    </row>
    <row r="16" spans="1:15" ht="14.25" x14ac:dyDescent="0.2">
      <c r="A16" s="721"/>
      <c r="B16" s="717" t="s">
        <v>349</v>
      </c>
      <c r="C16" s="718"/>
      <c r="D16" s="718"/>
      <c r="E16" s="718"/>
      <c r="F16" s="718"/>
      <c r="G16" s="718"/>
      <c r="H16" s="718"/>
      <c r="I16" s="718"/>
      <c r="J16" s="718"/>
      <c r="K16" s="718"/>
      <c r="L16" s="718"/>
      <c r="M16" s="718"/>
      <c r="N16" s="718"/>
      <c r="O16" s="719"/>
    </row>
    <row r="17" spans="1:15" ht="15.75" x14ac:dyDescent="0.2">
      <c r="A17" s="556" t="s">
        <v>352</v>
      </c>
      <c r="B17" s="557"/>
      <c r="C17" s="557"/>
      <c r="D17" s="557"/>
      <c r="E17" s="557"/>
      <c r="F17" s="557"/>
      <c r="G17" s="557"/>
      <c r="H17" s="557"/>
      <c r="I17" s="557"/>
      <c r="J17" s="557"/>
      <c r="K17" s="557"/>
      <c r="L17" s="557"/>
      <c r="M17" s="557"/>
      <c r="N17" s="557"/>
      <c r="O17" s="661"/>
    </row>
    <row r="18" spans="1:15" ht="25.5" x14ac:dyDescent="0.2">
      <c r="A18" s="593">
        <v>3</v>
      </c>
      <c r="B18" s="585" t="s">
        <v>355</v>
      </c>
      <c r="C18" s="585" t="s">
        <v>89</v>
      </c>
      <c r="D18" s="13" t="s">
        <v>50</v>
      </c>
      <c r="E18" s="14">
        <v>96</v>
      </c>
      <c r="F18" s="15" t="s">
        <v>14</v>
      </c>
      <c r="G18" s="15" t="s">
        <v>14</v>
      </c>
      <c r="H18" s="15">
        <f>15000*117/100</f>
        <v>17550</v>
      </c>
      <c r="I18" s="15">
        <f>H18</f>
        <v>17550</v>
      </c>
      <c r="J18" s="13" t="s">
        <v>13</v>
      </c>
      <c r="K18" s="714" t="s">
        <v>15</v>
      </c>
      <c r="L18" s="714" t="s">
        <v>97</v>
      </c>
      <c r="M18" s="657">
        <f>I18</f>
        <v>17550</v>
      </c>
      <c r="N18" s="659" t="s">
        <v>18</v>
      </c>
      <c r="O18" s="671" t="s">
        <v>353</v>
      </c>
    </row>
    <row r="19" spans="1:15" ht="14.25" x14ac:dyDescent="0.2">
      <c r="A19" s="594"/>
      <c r="B19" s="586"/>
      <c r="C19" s="586"/>
      <c r="D19" s="111" t="s">
        <v>138</v>
      </c>
      <c r="E19" s="38">
        <v>56</v>
      </c>
      <c r="F19" s="34" t="s">
        <v>14</v>
      </c>
      <c r="G19" s="34" t="s">
        <v>14</v>
      </c>
      <c r="H19" s="34">
        <f>40000*117/100</f>
        <v>46800</v>
      </c>
      <c r="I19" s="34">
        <f>H19</f>
        <v>46800</v>
      </c>
      <c r="J19" s="111" t="s">
        <v>13</v>
      </c>
      <c r="K19" s="715"/>
      <c r="L19" s="715"/>
      <c r="M19" s="673"/>
      <c r="N19" s="674"/>
      <c r="O19" s="672"/>
    </row>
    <row r="20" spans="1:15" ht="14.25" x14ac:dyDescent="0.2">
      <c r="A20" s="594"/>
      <c r="B20" s="586"/>
      <c r="C20" s="586"/>
      <c r="D20" s="111" t="s">
        <v>74</v>
      </c>
      <c r="E20" s="38">
        <v>48</v>
      </c>
      <c r="F20" s="34" t="s">
        <v>14</v>
      </c>
      <c r="G20" s="34" t="s">
        <v>14</v>
      </c>
      <c r="H20" s="34">
        <f>60000*117/100</f>
        <v>70200</v>
      </c>
      <c r="I20" s="34">
        <f>H20</f>
        <v>70200</v>
      </c>
      <c r="J20" s="111" t="s">
        <v>13</v>
      </c>
      <c r="K20" s="715"/>
      <c r="L20" s="715"/>
      <c r="M20" s="673"/>
      <c r="N20" s="674"/>
      <c r="O20" s="672"/>
    </row>
    <row r="21" spans="1:15" ht="25.5" x14ac:dyDescent="0.2">
      <c r="A21" s="594"/>
      <c r="B21" s="586"/>
      <c r="C21" s="586"/>
      <c r="D21" s="111" t="s">
        <v>354</v>
      </c>
      <c r="E21" s="38">
        <v>47</v>
      </c>
      <c r="F21" s="34" t="s">
        <v>14</v>
      </c>
      <c r="G21" s="34" t="s">
        <v>14</v>
      </c>
      <c r="H21" s="34">
        <f>62000*117/100</f>
        <v>72540</v>
      </c>
      <c r="I21" s="34">
        <f>H21</f>
        <v>72540</v>
      </c>
      <c r="J21" s="111" t="s">
        <v>13</v>
      </c>
      <c r="K21" s="715"/>
      <c r="L21" s="715"/>
      <c r="M21" s="673"/>
      <c r="N21" s="674"/>
      <c r="O21" s="672"/>
    </row>
    <row r="22" spans="1:15" ht="14.25" x14ac:dyDescent="0.2">
      <c r="A22" s="595"/>
      <c r="B22" s="717"/>
      <c r="C22" s="718"/>
      <c r="D22" s="718"/>
      <c r="E22" s="718"/>
      <c r="F22" s="718"/>
      <c r="G22" s="718"/>
      <c r="H22" s="718"/>
      <c r="I22" s="718"/>
      <c r="J22" s="718"/>
      <c r="K22" s="718"/>
      <c r="L22" s="718"/>
      <c r="M22" s="718"/>
      <c r="N22" s="718"/>
      <c r="O22" s="719"/>
    </row>
    <row r="23" spans="1:15" ht="15.75" x14ac:dyDescent="0.2">
      <c r="A23" s="556" t="s">
        <v>356</v>
      </c>
      <c r="B23" s="557"/>
      <c r="C23" s="557"/>
      <c r="D23" s="557"/>
      <c r="E23" s="557"/>
      <c r="F23" s="557"/>
      <c r="G23" s="557"/>
      <c r="H23" s="557"/>
      <c r="I23" s="557"/>
      <c r="J23" s="557"/>
      <c r="K23" s="557"/>
      <c r="L23" s="557"/>
      <c r="M23" s="557"/>
      <c r="N23" s="557"/>
      <c r="O23" s="661"/>
    </row>
    <row r="24" spans="1:15" ht="25.5" x14ac:dyDescent="0.2">
      <c r="A24" s="593">
        <v>4</v>
      </c>
      <c r="B24" s="585" t="s">
        <v>357</v>
      </c>
      <c r="C24" s="585" t="s">
        <v>89</v>
      </c>
      <c r="D24" s="13" t="s">
        <v>98</v>
      </c>
      <c r="E24" s="14">
        <v>100</v>
      </c>
      <c r="F24" s="15" t="s">
        <v>358</v>
      </c>
      <c r="G24" s="15" t="s">
        <v>359</v>
      </c>
      <c r="H24" s="162">
        <v>2.29E-2</v>
      </c>
      <c r="I24" s="15">
        <f>H24*25000000*117/100</f>
        <v>669825</v>
      </c>
      <c r="J24" s="13" t="s">
        <v>13</v>
      </c>
      <c r="K24" s="714" t="s">
        <v>15</v>
      </c>
      <c r="L24" s="714" t="s">
        <v>607</v>
      </c>
      <c r="M24" s="657">
        <f>0.021*25000000*117/100</f>
        <v>614250</v>
      </c>
      <c r="N24" s="659" t="s">
        <v>18</v>
      </c>
      <c r="O24" s="671">
        <v>256030</v>
      </c>
    </row>
    <row r="25" spans="1:15" ht="25.5" x14ac:dyDescent="0.2">
      <c r="A25" s="594"/>
      <c r="B25" s="586"/>
      <c r="C25" s="586"/>
      <c r="D25" s="111" t="s">
        <v>234</v>
      </c>
      <c r="E25" s="38">
        <v>94</v>
      </c>
      <c r="F25" s="34" t="s">
        <v>358</v>
      </c>
      <c r="G25" s="118" t="s">
        <v>359</v>
      </c>
      <c r="H25" s="119">
        <v>2.3E-2</v>
      </c>
      <c r="I25" s="5">
        <f t="shared" ref="I25:I31" si="0">H25*25000000*117/100</f>
        <v>672750</v>
      </c>
      <c r="J25" s="111" t="s">
        <v>13</v>
      </c>
      <c r="K25" s="715"/>
      <c r="L25" s="715"/>
      <c r="M25" s="673"/>
      <c r="N25" s="674"/>
      <c r="O25" s="672"/>
    </row>
    <row r="26" spans="1:15" ht="25.5" x14ac:dyDescent="0.2">
      <c r="A26" s="594"/>
      <c r="B26" s="586"/>
      <c r="C26" s="586"/>
      <c r="D26" s="111" t="s">
        <v>360</v>
      </c>
      <c r="E26" s="38">
        <v>86</v>
      </c>
      <c r="F26" s="34" t="s">
        <v>358</v>
      </c>
      <c r="G26" s="118" t="s">
        <v>359</v>
      </c>
      <c r="H26" s="119">
        <v>2.5899999999999999E-2</v>
      </c>
      <c r="I26" s="5">
        <f t="shared" si="0"/>
        <v>757575</v>
      </c>
      <c r="J26" s="111" t="s">
        <v>13</v>
      </c>
      <c r="K26" s="715"/>
      <c r="L26" s="715"/>
      <c r="M26" s="673"/>
      <c r="N26" s="674"/>
      <c r="O26" s="672"/>
    </row>
    <row r="27" spans="1:15" ht="25.5" x14ac:dyDescent="0.2">
      <c r="A27" s="594"/>
      <c r="B27" s="586"/>
      <c r="C27" s="586"/>
      <c r="D27" s="111" t="s">
        <v>233</v>
      </c>
      <c r="E27" s="38">
        <v>86</v>
      </c>
      <c r="F27" s="34" t="s">
        <v>358</v>
      </c>
      <c r="G27" s="118" t="s">
        <v>359</v>
      </c>
      <c r="H27" s="119">
        <v>2.87E-2</v>
      </c>
      <c r="I27" s="5">
        <f t="shared" si="0"/>
        <v>839475</v>
      </c>
      <c r="J27" s="111" t="s">
        <v>13</v>
      </c>
      <c r="K27" s="715"/>
      <c r="L27" s="715"/>
      <c r="M27" s="673"/>
      <c r="N27" s="674"/>
      <c r="O27" s="672"/>
    </row>
    <row r="28" spans="1:15" ht="25.5" x14ac:dyDescent="0.2">
      <c r="A28" s="594"/>
      <c r="B28" s="586"/>
      <c r="C28" s="586"/>
      <c r="D28" s="111" t="s">
        <v>236</v>
      </c>
      <c r="E28" s="38">
        <v>85</v>
      </c>
      <c r="F28" s="34" t="s">
        <v>358</v>
      </c>
      <c r="G28" s="118" t="s">
        <v>359</v>
      </c>
      <c r="H28" s="119">
        <v>2.9000000000000001E-2</v>
      </c>
      <c r="I28" s="5">
        <f t="shared" si="0"/>
        <v>848250</v>
      </c>
      <c r="J28" s="111" t="s">
        <v>13</v>
      </c>
      <c r="K28" s="715"/>
      <c r="L28" s="715"/>
      <c r="M28" s="673"/>
      <c r="N28" s="674"/>
      <c r="O28" s="672"/>
    </row>
    <row r="29" spans="1:15" ht="25.5" x14ac:dyDescent="0.2">
      <c r="A29" s="594"/>
      <c r="B29" s="586"/>
      <c r="C29" s="586"/>
      <c r="D29" s="111" t="s">
        <v>361</v>
      </c>
      <c r="E29" s="38">
        <v>81</v>
      </c>
      <c r="F29" s="34" t="s">
        <v>358</v>
      </c>
      <c r="G29" s="118" t="s">
        <v>359</v>
      </c>
      <c r="H29" s="119">
        <v>3.15E-2</v>
      </c>
      <c r="I29" s="5">
        <f t="shared" si="0"/>
        <v>921375</v>
      </c>
      <c r="J29" s="111" t="s">
        <v>13</v>
      </c>
      <c r="K29" s="715"/>
      <c r="L29" s="715"/>
      <c r="M29" s="673"/>
      <c r="N29" s="674"/>
      <c r="O29" s="672"/>
    </row>
    <row r="30" spans="1:15" ht="25.5" x14ac:dyDescent="0.2">
      <c r="A30" s="594"/>
      <c r="B30" s="586"/>
      <c r="C30" s="586"/>
      <c r="D30" s="111" t="s">
        <v>362</v>
      </c>
      <c r="E30" s="38">
        <v>64</v>
      </c>
      <c r="F30" s="34" t="s">
        <v>358</v>
      </c>
      <c r="G30" s="118" t="s">
        <v>359</v>
      </c>
      <c r="H30" s="119">
        <v>3.9600000000000003E-2</v>
      </c>
      <c r="I30" s="5">
        <f t="shared" si="0"/>
        <v>1158300.0000000002</v>
      </c>
      <c r="J30" s="111" t="s">
        <v>13</v>
      </c>
      <c r="K30" s="715"/>
      <c r="L30" s="715"/>
      <c r="M30" s="673"/>
      <c r="N30" s="674"/>
      <c r="O30" s="672"/>
    </row>
    <row r="31" spans="1:15" ht="25.5" x14ac:dyDescent="0.2">
      <c r="A31" s="594"/>
      <c r="B31" s="586"/>
      <c r="C31" s="586"/>
      <c r="D31" s="111" t="s">
        <v>363</v>
      </c>
      <c r="E31" s="38">
        <v>64</v>
      </c>
      <c r="F31" s="34" t="s">
        <v>358</v>
      </c>
      <c r="G31" s="118" t="s">
        <v>359</v>
      </c>
      <c r="H31" s="119">
        <v>5.5E-2</v>
      </c>
      <c r="I31" s="5">
        <f t="shared" si="0"/>
        <v>1608750</v>
      </c>
      <c r="J31" s="111" t="s">
        <v>13</v>
      </c>
      <c r="K31" s="715"/>
      <c r="L31" s="715"/>
      <c r="M31" s="673"/>
      <c r="N31" s="674"/>
      <c r="O31" s="672"/>
    </row>
    <row r="32" spans="1:15" ht="14.25" x14ac:dyDescent="0.2">
      <c r="A32" s="595"/>
      <c r="B32" s="717"/>
      <c r="C32" s="718"/>
      <c r="D32" s="718"/>
      <c r="E32" s="718"/>
      <c r="F32" s="718"/>
      <c r="G32" s="718"/>
      <c r="H32" s="718"/>
      <c r="I32" s="718"/>
      <c r="J32" s="718"/>
      <c r="K32" s="718"/>
      <c r="L32" s="718"/>
      <c r="M32" s="718"/>
      <c r="N32" s="718"/>
      <c r="O32" s="719"/>
    </row>
    <row r="33" spans="1:15" ht="15.75" x14ac:dyDescent="0.2">
      <c r="A33" s="556" t="s">
        <v>364</v>
      </c>
      <c r="B33" s="557"/>
      <c r="C33" s="557"/>
      <c r="D33" s="557"/>
      <c r="E33" s="557"/>
      <c r="F33" s="557"/>
      <c r="G33" s="557"/>
      <c r="H33" s="557"/>
      <c r="I33" s="557"/>
      <c r="J33" s="557"/>
      <c r="K33" s="557"/>
      <c r="L33" s="557"/>
      <c r="M33" s="557"/>
      <c r="N33" s="557"/>
      <c r="O33" s="661"/>
    </row>
    <row r="34" spans="1:15" ht="25.5" x14ac:dyDescent="0.2">
      <c r="A34" s="593">
        <v>5</v>
      </c>
      <c r="B34" s="585" t="s">
        <v>365</v>
      </c>
      <c r="C34" s="585" t="s">
        <v>89</v>
      </c>
      <c r="D34" s="13" t="s">
        <v>366</v>
      </c>
      <c r="E34" s="14">
        <v>100</v>
      </c>
      <c r="F34" s="15" t="s">
        <v>14</v>
      </c>
      <c r="G34" s="15" t="s">
        <v>14</v>
      </c>
      <c r="H34" s="15">
        <f>133000*117/100</f>
        <v>155610</v>
      </c>
      <c r="I34" s="15">
        <f t="shared" ref="I34:I40" si="1">H34</f>
        <v>155610</v>
      </c>
      <c r="J34" s="13" t="s">
        <v>13</v>
      </c>
      <c r="K34" s="714" t="s">
        <v>15</v>
      </c>
      <c r="L34" s="714" t="s">
        <v>608</v>
      </c>
      <c r="M34" s="657">
        <f>I34*0.95</f>
        <v>147829.5</v>
      </c>
      <c r="N34" s="659" t="s">
        <v>18</v>
      </c>
      <c r="O34" s="671">
        <v>256030</v>
      </c>
    </row>
    <row r="35" spans="1:15" ht="14.25" x14ac:dyDescent="0.2">
      <c r="A35" s="594"/>
      <c r="B35" s="586"/>
      <c r="C35" s="586"/>
      <c r="D35" s="111" t="s">
        <v>367</v>
      </c>
      <c r="E35" s="38">
        <v>95</v>
      </c>
      <c r="F35" s="34" t="s">
        <v>14</v>
      </c>
      <c r="G35" s="34" t="s">
        <v>14</v>
      </c>
      <c r="H35" s="34">
        <f>144050*117/100</f>
        <v>168538.5</v>
      </c>
      <c r="I35" s="34">
        <f t="shared" si="1"/>
        <v>168538.5</v>
      </c>
      <c r="J35" s="111" t="s">
        <v>13</v>
      </c>
      <c r="K35" s="715"/>
      <c r="L35" s="715"/>
      <c r="M35" s="673"/>
      <c r="N35" s="674"/>
      <c r="O35" s="672"/>
    </row>
    <row r="36" spans="1:15" ht="25.5" x14ac:dyDescent="0.2">
      <c r="A36" s="594"/>
      <c r="B36" s="586"/>
      <c r="C36" s="586"/>
      <c r="D36" s="111" t="s">
        <v>368</v>
      </c>
      <c r="E36" s="38">
        <v>86</v>
      </c>
      <c r="F36" s="34" t="s">
        <v>14</v>
      </c>
      <c r="G36" s="34" t="s">
        <v>14</v>
      </c>
      <c r="H36" s="34">
        <f>167500*117/100</f>
        <v>195975</v>
      </c>
      <c r="I36" s="34">
        <f t="shared" si="1"/>
        <v>195975</v>
      </c>
      <c r="J36" s="111" t="s">
        <v>13</v>
      </c>
      <c r="K36" s="715"/>
      <c r="L36" s="715"/>
      <c r="M36" s="673"/>
      <c r="N36" s="674"/>
      <c r="O36" s="672"/>
    </row>
    <row r="37" spans="1:15" ht="25.5" x14ac:dyDescent="0.2">
      <c r="A37" s="594"/>
      <c r="B37" s="586"/>
      <c r="C37" s="586"/>
      <c r="D37" s="111" t="s">
        <v>369</v>
      </c>
      <c r="E37" s="38">
        <v>83</v>
      </c>
      <c r="F37" s="34" t="s">
        <v>14</v>
      </c>
      <c r="G37" s="34" t="s">
        <v>14</v>
      </c>
      <c r="H37" s="34">
        <f>175000*117/100</f>
        <v>204750</v>
      </c>
      <c r="I37" s="34">
        <f t="shared" si="1"/>
        <v>204750</v>
      </c>
      <c r="J37" s="111" t="s">
        <v>13</v>
      </c>
      <c r="K37" s="715"/>
      <c r="L37" s="715"/>
      <c r="M37" s="673"/>
      <c r="N37" s="674"/>
      <c r="O37" s="672"/>
    </row>
    <row r="38" spans="1:15" ht="14.25" x14ac:dyDescent="0.2">
      <c r="A38" s="594"/>
      <c r="B38" s="586"/>
      <c r="C38" s="586"/>
      <c r="D38" s="111" t="s">
        <v>370</v>
      </c>
      <c r="E38" s="38">
        <v>82</v>
      </c>
      <c r="F38" s="34" t="s">
        <v>14</v>
      </c>
      <c r="G38" s="34" t="s">
        <v>14</v>
      </c>
      <c r="H38" s="34">
        <f>180000*117/100</f>
        <v>210600</v>
      </c>
      <c r="I38" s="34">
        <f t="shared" si="1"/>
        <v>210600</v>
      </c>
      <c r="J38" s="111" t="s">
        <v>13</v>
      </c>
      <c r="K38" s="715"/>
      <c r="L38" s="715"/>
      <c r="M38" s="673"/>
      <c r="N38" s="674"/>
      <c r="O38" s="672"/>
    </row>
    <row r="39" spans="1:15" ht="14.25" x14ac:dyDescent="0.2">
      <c r="A39" s="594"/>
      <c r="B39" s="586"/>
      <c r="C39" s="586"/>
      <c r="D39" s="111" t="s">
        <v>23</v>
      </c>
      <c r="E39" s="38">
        <v>67</v>
      </c>
      <c r="F39" s="34" t="s">
        <v>14</v>
      </c>
      <c r="G39" s="34" t="s">
        <v>14</v>
      </c>
      <c r="H39" s="34">
        <f>253260*117/100</f>
        <v>296314.2</v>
      </c>
      <c r="I39" s="34">
        <f t="shared" si="1"/>
        <v>296314.2</v>
      </c>
      <c r="J39" s="111" t="s">
        <v>13</v>
      </c>
      <c r="K39" s="715"/>
      <c r="L39" s="715"/>
      <c r="M39" s="673"/>
      <c r="N39" s="674"/>
      <c r="O39" s="672"/>
    </row>
    <row r="40" spans="1:15" ht="25.5" x14ac:dyDescent="0.2">
      <c r="A40" s="594"/>
      <c r="B40" s="586"/>
      <c r="C40" s="586"/>
      <c r="D40" s="111" t="s">
        <v>371</v>
      </c>
      <c r="E40" s="38">
        <v>59</v>
      </c>
      <c r="F40" s="34" t="s">
        <v>14</v>
      </c>
      <c r="G40" s="34" t="s">
        <v>14</v>
      </c>
      <c r="H40" s="34">
        <f>486000*117/100</f>
        <v>568620</v>
      </c>
      <c r="I40" s="34">
        <f t="shared" si="1"/>
        <v>568620</v>
      </c>
      <c r="J40" s="111" t="s">
        <v>13</v>
      </c>
      <c r="K40" s="715"/>
      <c r="L40" s="715"/>
      <c r="M40" s="673"/>
      <c r="N40" s="674"/>
      <c r="O40" s="672"/>
    </row>
    <row r="41" spans="1:15" ht="14.25" x14ac:dyDescent="0.2">
      <c r="A41" s="595"/>
      <c r="B41" s="717"/>
      <c r="C41" s="718"/>
      <c r="D41" s="718"/>
      <c r="E41" s="718"/>
      <c r="F41" s="718"/>
      <c r="G41" s="718"/>
      <c r="H41" s="718"/>
      <c r="I41" s="718"/>
      <c r="J41" s="718"/>
      <c r="K41" s="718"/>
      <c r="L41" s="718"/>
      <c r="M41" s="718"/>
      <c r="N41" s="718"/>
      <c r="O41" s="719"/>
    </row>
    <row r="42" spans="1:15" ht="15.75" x14ac:dyDescent="0.2">
      <c r="A42" s="556" t="s">
        <v>376</v>
      </c>
      <c r="B42" s="557"/>
      <c r="C42" s="557"/>
      <c r="D42" s="557"/>
      <c r="E42" s="557"/>
      <c r="F42" s="557"/>
      <c r="G42" s="557"/>
      <c r="H42" s="557"/>
      <c r="I42" s="557"/>
      <c r="J42" s="557"/>
      <c r="K42" s="557"/>
      <c r="L42" s="557"/>
      <c r="M42" s="557"/>
      <c r="N42" s="557"/>
      <c r="O42" s="661"/>
    </row>
    <row r="43" spans="1:15" ht="25.5" x14ac:dyDescent="0.2">
      <c r="A43" s="593">
        <v>6</v>
      </c>
      <c r="B43" s="585" t="s">
        <v>372</v>
      </c>
      <c r="C43" s="585" t="s">
        <v>89</v>
      </c>
      <c r="D43" s="13" t="s">
        <v>239</v>
      </c>
      <c r="E43" s="14">
        <v>100</v>
      </c>
      <c r="F43" s="15" t="s">
        <v>14</v>
      </c>
      <c r="G43" s="15" t="s">
        <v>14</v>
      </c>
      <c r="H43" s="15">
        <f>56000*117/100</f>
        <v>65520</v>
      </c>
      <c r="I43" s="15">
        <f t="shared" ref="I43:I49" si="2">H43</f>
        <v>65520</v>
      </c>
      <c r="J43" s="13" t="s">
        <v>13</v>
      </c>
      <c r="K43" s="714" t="s">
        <v>15</v>
      </c>
      <c r="L43" s="714" t="s">
        <v>608</v>
      </c>
      <c r="M43" s="657">
        <f>I43*0.95</f>
        <v>62244</v>
      </c>
      <c r="N43" s="659" t="s">
        <v>18</v>
      </c>
      <c r="O43" s="671">
        <v>256030</v>
      </c>
    </row>
    <row r="44" spans="1:15" ht="25.5" x14ac:dyDescent="0.2">
      <c r="A44" s="594"/>
      <c r="B44" s="586"/>
      <c r="C44" s="586"/>
      <c r="D44" s="111" t="s">
        <v>241</v>
      </c>
      <c r="E44" s="38">
        <v>97</v>
      </c>
      <c r="F44" s="34" t="s">
        <v>14</v>
      </c>
      <c r="G44" s="34" t="s">
        <v>14</v>
      </c>
      <c r="H44" s="34">
        <f>58000*117/100</f>
        <v>67860</v>
      </c>
      <c r="I44" s="34">
        <f t="shared" si="2"/>
        <v>67860</v>
      </c>
      <c r="J44" s="111" t="s">
        <v>13</v>
      </c>
      <c r="K44" s="715"/>
      <c r="L44" s="715"/>
      <c r="M44" s="673"/>
      <c r="N44" s="674"/>
      <c r="O44" s="672"/>
    </row>
    <row r="45" spans="1:15" ht="14.25" x14ac:dyDescent="0.2">
      <c r="A45" s="594"/>
      <c r="B45" s="586"/>
      <c r="C45" s="586"/>
      <c r="D45" s="111" t="s">
        <v>240</v>
      </c>
      <c r="E45" s="38">
        <v>89</v>
      </c>
      <c r="F45" s="34" t="s">
        <v>14</v>
      </c>
      <c r="G45" s="34" t="s">
        <v>14</v>
      </c>
      <c r="H45" s="34">
        <f>66000*117/100</f>
        <v>77220</v>
      </c>
      <c r="I45" s="34">
        <f t="shared" si="2"/>
        <v>77220</v>
      </c>
      <c r="J45" s="111" t="s">
        <v>13</v>
      </c>
      <c r="K45" s="715"/>
      <c r="L45" s="715"/>
      <c r="M45" s="673"/>
      <c r="N45" s="674"/>
      <c r="O45" s="672"/>
    </row>
    <row r="46" spans="1:15" ht="25.5" x14ac:dyDescent="0.2">
      <c r="A46" s="594"/>
      <c r="B46" s="586"/>
      <c r="C46" s="586"/>
      <c r="D46" s="111" t="s">
        <v>373</v>
      </c>
      <c r="E46" s="38">
        <v>87</v>
      </c>
      <c r="F46" s="34" t="s">
        <v>14</v>
      </c>
      <c r="G46" s="34" t="s">
        <v>14</v>
      </c>
      <c r="H46" s="34">
        <f>69000*117/100</f>
        <v>80730</v>
      </c>
      <c r="I46" s="34">
        <f t="shared" si="2"/>
        <v>80730</v>
      </c>
      <c r="J46" s="111" t="s">
        <v>13</v>
      </c>
      <c r="K46" s="715"/>
      <c r="L46" s="715"/>
      <c r="M46" s="673"/>
      <c r="N46" s="674"/>
      <c r="O46" s="672"/>
    </row>
    <row r="47" spans="1:15" ht="25.5" x14ac:dyDescent="0.2">
      <c r="A47" s="594"/>
      <c r="B47" s="586"/>
      <c r="C47" s="586"/>
      <c r="D47" s="111" t="s">
        <v>374</v>
      </c>
      <c r="E47" s="38">
        <v>77</v>
      </c>
      <c r="F47" s="34" t="s">
        <v>14</v>
      </c>
      <c r="G47" s="34" t="s">
        <v>14</v>
      </c>
      <c r="H47" s="34">
        <f>83000*117/100</f>
        <v>97110</v>
      </c>
      <c r="I47" s="34">
        <f t="shared" si="2"/>
        <v>97110</v>
      </c>
      <c r="J47" s="111" t="s">
        <v>13</v>
      </c>
      <c r="K47" s="715"/>
      <c r="L47" s="715"/>
      <c r="M47" s="673"/>
      <c r="N47" s="674"/>
      <c r="O47" s="672"/>
    </row>
    <row r="48" spans="1:15" ht="25.5" x14ac:dyDescent="0.2">
      <c r="A48" s="594"/>
      <c r="B48" s="586"/>
      <c r="C48" s="586"/>
      <c r="D48" s="111" t="s">
        <v>91</v>
      </c>
      <c r="E48" s="38">
        <v>74</v>
      </c>
      <c r="F48" s="34" t="s">
        <v>14</v>
      </c>
      <c r="G48" s="34" t="s">
        <v>14</v>
      </c>
      <c r="H48" s="34">
        <f>89800*117/100</f>
        <v>105066</v>
      </c>
      <c r="I48" s="34">
        <f t="shared" si="2"/>
        <v>105066</v>
      </c>
      <c r="J48" s="111" t="s">
        <v>13</v>
      </c>
      <c r="K48" s="715"/>
      <c r="L48" s="715"/>
      <c r="M48" s="673"/>
      <c r="N48" s="674"/>
      <c r="O48" s="672"/>
    </row>
    <row r="49" spans="1:15" ht="25.5" x14ac:dyDescent="0.2">
      <c r="A49" s="594"/>
      <c r="B49" s="586"/>
      <c r="C49" s="586"/>
      <c r="D49" s="111" t="s">
        <v>375</v>
      </c>
      <c r="E49" s="38">
        <v>56</v>
      </c>
      <c r="F49" s="34" t="s">
        <v>14</v>
      </c>
      <c r="G49" s="34" t="s">
        <v>14</v>
      </c>
      <c r="H49" s="34">
        <f>149000*117/100</f>
        <v>174330</v>
      </c>
      <c r="I49" s="34">
        <f t="shared" si="2"/>
        <v>174330</v>
      </c>
      <c r="J49" s="111" t="s">
        <v>13</v>
      </c>
      <c r="K49" s="715"/>
      <c r="L49" s="715"/>
      <c r="M49" s="673"/>
      <c r="N49" s="674"/>
      <c r="O49" s="672"/>
    </row>
    <row r="50" spans="1:15" ht="14.25" x14ac:dyDescent="0.2">
      <c r="A50" s="595"/>
      <c r="B50" s="717"/>
      <c r="C50" s="718"/>
      <c r="D50" s="718"/>
      <c r="E50" s="718"/>
      <c r="F50" s="718"/>
      <c r="G50" s="718"/>
      <c r="H50" s="718"/>
      <c r="I50" s="718"/>
      <c r="J50" s="718"/>
      <c r="K50" s="718"/>
      <c r="L50" s="718"/>
      <c r="M50" s="718"/>
      <c r="N50" s="718"/>
      <c r="O50" s="719"/>
    </row>
    <row r="51" spans="1:15" ht="15.75" x14ac:dyDescent="0.2">
      <c r="A51" s="556" t="s">
        <v>383</v>
      </c>
      <c r="B51" s="557"/>
      <c r="C51" s="557"/>
      <c r="D51" s="557"/>
      <c r="E51" s="557"/>
      <c r="F51" s="557"/>
      <c r="G51" s="557"/>
      <c r="H51" s="557"/>
      <c r="I51" s="557"/>
      <c r="J51" s="557"/>
      <c r="K51" s="557"/>
      <c r="L51" s="557"/>
      <c r="M51" s="557"/>
      <c r="N51" s="557"/>
      <c r="O51" s="661"/>
    </row>
    <row r="52" spans="1:15" ht="14.25" x14ac:dyDescent="0.2">
      <c r="A52" s="593">
        <v>7</v>
      </c>
      <c r="B52" s="585" t="s">
        <v>377</v>
      </c>
      <c r="C52" s="585" t="s">
        <v>89</v>
      </c>
      <c r="D52" s="13" t="s">
        <v>250</v>
      </c>
      <c r="E52" s="14">
        <v>100</v>
      </c>
      <c r="F52" s="15" t="s">
        <v>14</v>
      </c>
      <c r="G52" s="15" t="s">
        <v>14</v>
      </c>
      <c r="H52" s="15">
        <f>12500*117/100</f>
        <v>14625</v>
      </c>
      <c r="I52" s="15">
        <f>H52</f>
        <v>14625</v>
      </c>
      <c r="J52" s="13"/>
      <c r="K52" s="714" t="s">
        <v>15</v>
      </c>
      <c r="L52" s="714" t="s">
        <v>609</v>
      </c>
      <c r="M52" s="657">
        <f>I52*0.95</f>
        <v>13893.75</v>
      </c>
      <c r="N52" s="659" t="s">
        <v>18</v>
      </c>
      <c r="O52" s="671">
        <v>256030</v>
      </c>
    </row>
    <row r="53" spans="1:15" ht="14.25" x14ac:dyDescent="0.2">
      <c r="A53" s="594"/>
      <c r="B53" s="586"/>
      <c r="C53" s="586"/>
      <c r="D53" s="111" t="s">
        <v>121</v>
      </c>
      <c r="E53" s="38">
        <v>96</v>
      </c>
      <c r="F53" s="34" t="s">
        <v>14</v>
      </c>
      <c r="G53" s="34" t="s">
        <v>14</v>
      </c>
      <c r="H53" s="34">
        <f>13350*117/100</f>
        <v>15619.5</v>
      </c>
      <c r="I53" s="34">
        <f>H53</f>
        <v>15619.5</v>
      </c>
      <c r="J53" s="111"/>
      <c r="K53" s="715"/>
      <c r="L53" s="715"/>
      <c r="M53" s="673"/>
      <c r="N53" s="674"/>
      <c r="O53" s="672"/>
    </row>
    <row r="54" spans="1:15" ht="14.25" x14ac:dyDescent="0.2">
      <c r="A54" s="594"/>
      <c r="B54" s="586"/>
      <c r="C54" s="586"/>
      <c r="D54" s="111" t="s">
        <v>378</v>
      </c>
      <c r="E54" s="38">
        <v>87</v>
      </c>
      <c r="F54" s="34" t="s">
        <v>14</v>
      </c>
      <c r="G54" s="34" t="s">
        <v>14</v>
      </c>
      <c r="H54" s="34">
        <f>14000*117/100</f>
        <v>16380</v>
      </c>
      <c r="I54" s="34">
        <f>H54</f>
        <v>16380</v>
      </c>
      <c r="J54" s="111"/>
      <c r="K54" s="715"/>
      <c r="L54" s="715"/>
      <c r="M54" s="673"/>
      <c r="N54" s="674"/>
      <c r="O54" s="672"/>
    </row>
    <row r="55" spans="1:15" ht="25.5" x14ac:dyDescent="0.2">
      <c r="A55" s="594"/>
      <c r="B55" s="586"/>
      <c r="C55" s="586"/>
      <c r="D55" s="111" t="s">
        <v>245</v>
      </c>
      <c r="E55" s="38">
        <v>78</v>
      </c>
      <c r="F55" s="34" t="s">
        <v>14</v>
      </c>
      <c r="G55" s="34" t="s">
        <v>14</v>
      </c>
      <c r="H55" s="34">
        <f>16200*117/100</f>
        <v>18954</v>
      </c>
      <c r="I55" s="34">
        <f t="shared" ref="I55:I60" si="3">H55</f>
        <v>18954</v>
      </c>
      <c r="J55" s="111"/>
      <c r="K55" s="715"/>
      <c r="L55" s="715"/>
      <c r="M55" s="673"/>
      <c r="N55" s="674"/>
      <c r="O55" s="672"/>
    </row>
    <row r="56" spans="1:15" ht="25.5" x14ac:dyDescent="0.2">
      <c r="A56" s="594"/>
      <c r="B56" s="586"/>
      <c r="C56" s="586"/>
      <c r="D56" s="111" t="s">
        <v>379</v>
      </c>
      <c r="E56" s="38">
        <v>73</v>
      </c>
      <c r="F56" s="34" t="s">
        <v>14</v>
      </c>
      <c r="G56" s="34" t="s">
        <v>14</v>
      </c>
      <c r="H56" s="34">
        <f>18000*117/100</f>
        <v>21060</v>
      </c>
      <c r="I56" s="34">
        <f t="shared" si="3"/>
        <v>21060</v>
      </c>
      <c r="J56" s="111"/>
      <c r="K56" s="715"/>
      <c r="L56" s="715"/>
      <c r="M56" s="673"/>
      <c r="N56" s="674"/>
      <c r="O56" s="672"/>
    </row>
    <row r="57" spans="1:15" ht="25.5" x14ac:dyDescent="0.2">
      <c r="A57" s="594"/>
      <c r="B57" s="586"/>
      <c r="C57" s="586"/>
      <c r="D57" s="111" t="s">
        <v>380</v>
      </c>
      <c r="E57" s="38">
        <v>79</v>
      </c>
      <c r="F57" s="34" t="s">
        <v>14</v>
      </c>
      <c r="G57" s="34" t="s">
        <v>14</v>
      </c>
      <c r="H57" s="34">
        <f>18000*117/100</f>
        <v>21060</v>
      </c>
      <c r="I57" s="34">
        <f t="shared" si="3"/>
        <v>21060</v>
      </c>
      <c r="J57" s="111"/>
      <c r="K57" s="715"/>
      <c r="L57" s="715"/>
      <c r="M57" s="673"/>
      <c r="N57" s="674"/>
      <c r="O57" s="672"/>
    </row>
    <row r="58" spans="1:15" ht="25.5" x14ac:dyDescent="0.2">
      <c r="A58" s="594"/>
      <c r="B58" s="586"/>
      <c r="C58" s="586"/>
      <c r="D58" s="111" t="s">
        <v>381</v>
      </c>
      <c r="E58" s="38">
        <v>76</v>
      </c>
      <c r="F58" s="34" t="s">
        <v>14</v>
      </c>
      <c r="G58" s="34" t="s">
        <v>14</v>
      </c>
      <c r="H58" s="34">
        <f>19000*117/100</f>
        <v>22230</v>
      </c>
      <c r="I58" s="34">
        <f t="shared" si="3"/>
        <v>22230</v>
      </c>
      <c r="J58" s="111"/>
      <c r="K58" s="715"/>
      <c r="L58" s="715"/>
      <c r="M58" s="673"/>
      <c r="N58" s="674"/>
      <c r="O58" s="672"/>
    </row>
    <row r="59" spans="1:15" ht="14.25" x14ac:dyDescent="0.2">
      <c r="A59" s="594"/>
      <c r="B59" s="586"/>
      <c r="C59" s="586"/>
      <c r="D59" s="111" t="s">
        <v>382</v>
      </c>
      <c r="E59" s="38">
        <v>61</v>
      </c>
      <c r="F59" s="34" t="s">
        <v>14</v>
      </c>
      <c r="G59" s="34" t="s">
        <v>14</v>
      </c>
      <c r="H59" s="34">
        <f>28000*117/100</f>
        <v>32760</v>
      </c>
      <c r="I59" s="34">
        <f t="shared" si="3"/>
        <v>32760</v>
      </c>
      <c r="J59" s="111"/>
      <c r="K59" s="715"/>
      <c r="L59" s="715"/>
      <c r="M59" s="673"/>
      <c r="N59" s="674"/>
      <c r="O59" s="672"/>
    </row>
    <row r="60" spans="1:15" ht="14.25" x14ac:dyDescent="0.2">
      <c r="A60" s="594"/>
      <c r="B60" s="586"/>
      <c r="C60" s="586"/>
      <c r="D60" s="111" t="s">
        <v>22</v>
      </c>
      <c r="E60" s="38">
        <v>59</v>
      </c>
      <c r="F60" s="34" t="s">
        <v>14</v>
      </c>
      <c r="G60" s="34" t="s">
        <v>14</v>
      </c>
      <c r="H60" s="34">
        <f>30152*117/100</f>
        <v>35277.839999999997</v>
      </c>
      <c r="I60" s="34">
        <f t="shared" si="3"/>
        <v>35277.839999999997</v>
      </c>
      <c r="J60" s="111"/>
      <c r="K60" s="715"/>
      <c r="L60" s="715"/>
      <c r="M60" s="673"/>
      <c r="N60" s="674"/>
      <c r="O60" s="672"/>
    </row>
    <row r="61" spans="1:15" ht="14.25" x14ac:dyDescent="0.2">
      <c r="A61" s="595"/>
      <c r="B61" s="717"/>
      <c r="C61" s="718"/>
      <c r="D61" s="718"/>
      <c r="E61" s="718"/>
      <c r="F61" s="718"/>
      <c r="G61" s="718"/>
      <c r="H61" s="718"/>
      <c r="I61" s="718"/>
      <c r="J61" s="718"/>
      <c r="K61" s="718"/>
      <c r="L61" s="718"/>
      <c r="M61" s="718"/>
      <c r="N61" s="718"/>
      <c r="O61" s="719"/>
    </row>
    <row r="62" spans="1:15" ht="15.75" x14ac:dyDescent="0.2">
      <c r="A62" s="556" t="s">
        <v>388</v>
      </c>
      <c r="B62" s="557"/>
      <c r="C62" s="557"/>
      <c r="D62" s="557"/>
      <c r="E62" s="557"/>
      <c r="F62" s="557"/>
      <c r="G62" s="557"/>
      <c r="H62" s="557"/>
      <c r="I62" s="557"/>
      <c r="J62" s="557"/>
      <c r="K62" s="557"/>
      <c r="L62" s="557"/>
      <c r="M62" s="557"/>
      <c r="N62" s="557"/>
      <c r="O62" s="661"/>
    </row>
    <row r="63" spans="1:15" ht="38.25" x14ac:dyDescent="0.2">
      <c r="A63" s="593">
        <v>8</v>
      </c>
      <c r="B63" s="585" t="s">
        <v>384</v>
      </c>
      <c r="C63" s="585" t="s">
        <v>89</v>
      </c>
      <c r="D63" s="13" t="s">
        <v>385</v>
      </c>
      <c r="E63" s="14">
        <v>100</v>
      </c>
      <c r="F63" s="15" t="s">
        <v>14</v>
      </c>
      <c r="G63" s="15" t="s">
        <v>14</v>
      </c>
      <c r="H63" s="15">
        <f>30000*117/100</f>
        <v>35100</v>
      </c>
      <c r="I63" s="15">
        <f t="shared" ref="I63:I68" si="4">H63</f>
        <v>35100</v>
      </c>
      <c r="J63" s="13"/>
      <c r="K63" s="714" t="s">
        <v>15</v>
      </c>
      <c r="L63" s="714" t="s">
        <v>609</v>
      </c>
      <c r="M63" s="657">
        <f>I63*0.95</f>
        <v>33345</v>
      </c>
      <c r="N63" s="659" t="s">
        <v>18</v>
      </c>
      <c r="O63" s="671">
        <v>256030</v>
      </c>
    </row>
    <row r="64" spans="1:15" ht="14.25" x14ac:dyDescent="0.2">
      <c r="A64" s="594"/>
      <c r="B64" s="586"/>
      <c r="C64" s="586"/>
      <c r="D64" s="111" t="s">
        <v>378</v>
      </c>
      <c r="E64" s="38">
        <v>88</v>
      </c>
      <c r="F64" s="34" t="s">
        <v>14</v>
      </c>
      <c r="G64" s="34" t="s">
        <v>14</v>
      </c>
      <c r="H64" s="34">
        <f>34000*117/100</f>
        <v>39780</v>
      </c>
      <c r="I64" s="34">
        <f t="shared" si="4"/>
        <v>39780</v>
      </c>
      <c r="J64" s="111"/>
      <c r="K64" s="715"/>
      <c r="L64" s="715"/>
      <c r="M64" s="673"/>
      <c r="N64" s="674"/>
      <c r="O64" s="672"/>
    </row>
    <row r="65" spans="1:15" ht="25.5" x14ac:dyDescent="0.2">
      <c r="A65" s="594"/>
      <c r="B65" s="586"/>
      <c r="C65" s="586"/>
      <c r="D65" s="111" t="s">
        <v>386</v>
      </c>
      <c r="E65" s="38">
        <v>79</v>
      </c>
      <c r="F65" s="34" t="s">
        <v>14</v>
      </c>
      <c r="G65" s="34" t="s">
        <v>14</v>
      </c>
      <c r="H65" s="34">
        <f>42500*117/100</f>
        <v>49725</v>
      </c>
      <c r="I65" s="34">
        <f t="shared" si="4"/>
        <v>49725</v>
      </c>
      <c r="J65" s="111"/>
      <c r="K65" s="715"/>
      <c r="L65" s="715"/>
      <c r="M65" s="673"/>
      <c r="N65" s="674"/>
      <c r="O65" s="672"/>
    </row>
    <row r="66" spans="1:15" ht="14.25" x14ac:dyDescent="0.2">
      <c r="A66" s="594"/>
      <c r="B66" s="586"/>
      <c r="C66" s="586"/>
      <c r="D66" s="111" t="s">
        <v>254</v>
      </c>
      <c r="E66" s="38">
        <v>65</v>
      </c>
      <c r="F66" s="34" t="s">
        <v>14</v>
      </c>
      <c r="G66" s="34" t="s">
        <v>14</v>
      </c>
      <c r="H66" s="34">
        <f>60000*117/100</f>
        <v>70200</v>
      </c>
      <c r="I66" s="34">
        <f t="shared" si="4"/>
        <v>70200</v>
      </c>
      <c r="J66" s="111"/>
      <c r="K66" s="715"/>
      <c r="L66" s="715"/>
      <c r="M66" s="673"/>
      <c r="N66" s="674"/>
      <c r="O66" s="672"/>
    </row>
    <row r="67" spans="1:15" ht="25.5" x14ac:dyDescent="0.2">
      <c r="A67" s="594"/>
      <c r="B67" s="586"/>
      <c r="C67" s="586"/>
      <c r="D67" s="111" t="s">
        <v>387</v>
      </c>
      <c r="E67" s="38">
        <v>58</v>
      </c>
      <c r="F67" s="34" t="s">
        <v>14</v>
      </c>
      <c r="G67" s="34" t="s">
        <v>14</v>
      </c>
      <c r="H67" s="34">
        <f>73700*117/100</f>
        <v>86229</v>
      </c>
      <c r="I67" s="34">
        <f t="shared" si="4"/>
        <v>86229</v>
      </c>
      <c r="J67" s="111"/>
      <c r="K67" s="715"/>
      <c r="L67" s="715"/>
      <c r="M67" s="673"/>
      <c r="N67" s="674"/>
      <c r="O67" s="672"/>
    </row>
    <row r="68" spans="1:15" ht="25.5" x14ac:dyDescent="0.2">
      <c r="A68" s="594"/>
      <c r="B68" s="586"/>
      <c r="C68" s="586"/>
      <c r="D68" s="111" t="s">
        <v>255</v>
      </c>
      <c r="E68" s="38">
        <v>51</v>
      </c>
      <c r="F68" s="34" t="s">
        <v>14</v>
      </c>
      <c r="G68" s="34" t="s">
        <v>14</v>
      </c>
      <c r="H68" s="34">
        <f>98000*117/100</f>
        <v>114660</v>
      </c>
      <c r="I68" s="34">
        <f t="shared" si="4"/>
        <v>114660</v>
      </c>
      <c r="J68" s="111"/>
      <c r="K68" s="715"/>
      <c r="L68" s="715"/>
      <c r="M68" s="673"/>
      <c r="N68" s="674"/>
      <c r="O68" s="672"/>
    </row>
    <row r="69" spans="1:15" ht="14.25" x14ac:dyDescent="0.2">
      <c r="A69" s="595"/>
      <c r="B69" s="717"/>
      <c r="C69" s="718"/>
      <c r="D69" s="718"/>
      <c r="E69" s="718"/>
      <c r="F69" s="718"/>
      <c r="G69" s="718"/>
      <c r="H69" s="718"/>
      <c r="I69" s="718"/>
      <c r="J69" s="718"/>
      <c r="K69" s="718"/>
      <c r="L69" s="718"/>
      <c r="M69" s="718"/>
      <c r="N69" s="718"/>
      <c r="O69" s="719"/>
    </row>
    <row r="70" spans="1:15" ht="15.75" x14ac:dyDescent="0.2">
      <c r="A70" s="556" t="s">
        <v>390</v>
      </c>
      <c r="B70" s="557"/>
      <c r="C70" s="557"/>
      <c r="D70" s="557"/>
      <c r="E70" s="557"/>
      <c r="F70" s="557"/>
      <c r="G70" s="557"/>
      <c r="H70" s="557"/>
      <c r="I70" s="557"/>
      <c r="J70" s="557"/>
      <c r="K70" s="557"/>
      <c r="L70" s="557"/>
      <c r="M70" s="557"/>
      <c r="N70" s="557"/>
      <c r="O70" s="661"/>
    </row>
    <row r="71" spans="1:15" ht="14.25" x14ac:dyDescent="0.2">
      <c r="A71" s="593">
        <v>9</v>
      </c>
      <c r="B71" s="585" t="s">
        <v>389</v>
      </c>
      <c r="C71" s="585" t="s">
        <v>89</v>
      </c>
      <c r="D71" s="13" t="s">
        <v>250</v>
      </c>
      <c r="E71" s="14">
        <v>100</v>
      </c>
      <c r="F71" s="15" t="s">
        <v>14</v>
      </c>
      <c r="G71" s="15" t="s">
        <v>14</v>
      </c>
      <c r="H71" s="15">
        <f>7000*117/100</f>
        <v>8190</v>
      </c>
      <c r="I71" s="15">
        <f t="shared" ref="I71:I76" si="5">H71</f>
        <v>8190</v>
      </c>
      <c r="J71" s="13"/>
      <c r="K71" s="714" t="s">
        <v>15</v>
      </c>
      <c r="L71" s="714" t="s">
        <v>609</v>
      </c>
      <c r="M71" s="657">
        <f>I71*0.95</f>
        <v>7780.5</v>
      </c>
      <c r="N71" s="659" t="s">
        <v>18</v>
      </c>
      <c r="O71" s="671">
        <v>256030</v>
      </c>
    </row>
    <row r="72" spans="1:15" ht="14.25" x14ac:dyDescent="0.2">
      <c r="A72" s="594"/>
      <c r="B72" s="586"/>
      <c r="C72" s="586"/>
      <c r="D72" s="111" t="s">
        <v>378</v>
      </c>
      <c r="E72" s="38">
        <v>85</v>
      </c>
      <c r="F72" s="34" t="s">
        <v>14</v>
      </c>
      <c r="G72" s="34" t="s">
        <v>14</v>
      </c>
      <c r="H72" s="34">
        <f>8000*117/100</f>
        <v>9360</v>
      </c>
      <c r="I72" s="34">
        <f t="shared" si="5"/>
        <v>9360</v>
      </c>
      <c r="J72" s="111"/>
      <c r="K72" s="715"/>
      <c r="L72" s="715"/>
      <c r="M72" s="673"/>
      <c r="N72" s="674"/>
      <c r="O72" s="672"/>
    </row>
    <row r="73" spans="1:15" ht="25.5" x14ac:dyDescent="0.2">
      <c r="A73" s="594"/>
      <c r="B73" s="586"/>
      <c r="C73" s="586"/>
      <c r="D73" s="111" t="s">
        <v>248</v>
      </c>
      <c r="E73" s="38">
        <v>88</v>
      </c>
      <c r="F73" s="34" t="s">
        <v>14</v>
      </c>
      <c r="G73" s="34" t="s">
        <v>14</v>
      </c>
      <c r="H73" s="34">
        <f>8500*117/100</f>
        <v>9945</v>
      </c>
      <c r="I73" s="34">
        <f t="shared" si="5"/>
        <v>9945</v>
      </c>
      <c r="J73" s="111"/>
      <c r="K73" s="715"/>
      <c r="L73" s="715"/>
      <c r="M73" s="673"/>
      <c r="N73" s="674"/>
      <c r="O73" s="672"/>
    </row>
    <row r="74" spans="1:15" ht="25.5" x14ac:dyDescent="0.2">
      <c r="A74" s="594"/>
      <c r="B74" s="586"/>
      <c r="C74" s="586"/>
      <c r="D74" s="111" t="s">
        <v>260</v>
      </c>
      <c r="E74" s="38">
        <v>84</v>
      </c>
      <c r="F74" s="34" t="s">
        <v>14</v>
      </c>
      <c r="G74" s="34" t="s">
        <v>14</v>
      </c>
      <c r="H74" s="34">
        <f>9000*117/100</f>
        <v>10530</v>
      </c>
      <c r="I74" s="34">
        <f t="shared" si="5"/>
        <v>10530</v>
      </c>
      <c r="J74" s="111"/>
      <c r="K74" s="715"/>
      <c r="L74" s="715"/>
      <c r="M74" s="673"/>
      <c r="N74" s="674"/>
      <c r="O74" s="672"/>
    </row>
    <row r="75" spans="1:15" ht="25.5" x14ac:dyDescent="0.2">
      <c r="A75" s="594"/>
      <c r="B75" s="586"/>
      <c r="C75" s="586"/>
      <c r="D75" s="111" t="s">
        <v>259</v>
      </c>
      <c r="E75" s="38">
        <v>79</v>
      </c>
      <c r="F75" s="34" t="s">
        <v>14</v>
      </c>
      <c r="G75" s="34" t="s">
        <v>14</v>
      </c>
      <c r="H75" s="34">
        <f>10000*117/100</f>
        <v>11700</v>
      </c>
      <c r="I75" s="34">
        <f t="shared" si="5"/>
        <v>11700</v>
      </c>
      <c r="J75" s="111"/>
      <c r="K75" s="715"/>
      <c r="L75" s="715"/>
      <c r="M75" s="673"/>
      <c r="N75" s="674"/>
      <c r="O75" s="672"/>
    </row>
    <row r="76" spans="1:15" ht="25.5" x14ac:dyDescent="0.2">
      <c r="A76" s="594"/>
      <c r="B76" s="586"/>
      <c r="C76" s="586"/>
      <c r="D76" s="111" t="s">
        <v>261</v>
      </c>
      <c r="E76" s="38">
        <v>68</v>
      </c>
      <c r="F76" s="34" t="s">
        <v>14</v>
      </c>
      <c r="G76" s="34" t="s">
        <v>14</v>
      </c>
      <c r="H76" s="34">
        <f>13000*117/100</f>
        <v>15210</v>
      </c>
      <c r="I76" s="34">
        <f t="shared" si="5"/>
        <v>15210</v>
      </c>
      <c r="J76" s="111"/>
      <c r="K76" s="715"/>
      <c r="L76" s="715"/>
      <c r="M76" s="673"/>
      <c r="N76" s="674"/>
      <c r="O76" s="672"/>
    </row>
    <row r="77" spans="1:15" ht="14.25" x14ac:dyDescent="0.2">
      <c r="A77" s="595"/>
      <c r="B77" s="717"/>
      <c r="C77" s="718"/>
      <c r="D77" s="718"/>
      <c r="E77" s="718"/>
      <c r="F77" s="718"/>
      <c r="G77" s="718"/>
      <c r="H77" s="718"/>
      <c r="I77" s="718"/>
      <c r="J77" s="718"/>
      <c r="K77" s="718"/>
      <c r="L77" s="718"/>
      <c r="M77" s="718"/>
      <c r="N77" s="718"/>
      <c r="O77" s="719"/>
    </row>
    <row r="78" spans="1:15" ht="15.75" x14ac:dyDescent="0.2">
      <c r="A78" s="556" t="s">
        <v>397</v>
      </c>
      <c r="B78" s="557"/>
      <c r="C78" s="557"/>
      <c r="D78" s="557"/>
      <c r="E78" s="557"/>
      <c r="F78" s="557"/>
      <c r="G78" s="557"/>
      <c r="H78" s="557"/>
      <c r="I78" s="557"/>
      <c r="J78" s="557"/>
      <c r="K78" s="557"/>
      <c r="L78" s="557"/>
      <c r="M78" s="557"/>
      <c r="N78" s="557"/>
      <c r="O78" s="661"/>
    </row>
    <row r="79" spans="1:15" ht="38.25" x14ac:dyDescent="0.2">
      <c r="A79" s="593">
        <v>10</v>
      </c>
      <c r="B79" s="585" t="s">
        <v>391</v>
      </c>
      <c r="C79" s="585" t="s">
        <v>89</v>
      </c>
      <c r="D79" s="13" t="s">
        <v>392</v>
      </c>
      <c r="E79" s="14">
        <v>100</v>
      </c>
      <c r="F79" s="15" t="s">
        <v>14</v>
      </c>
      <c r="G79" s="15" t="s">
        <v>14</v>
      </c>
      <c r="H79" s="15">
        <f>10000*117/100</f>
        <v>11700</v>
      </c>
      <c r="I79" s="15">
        <f t="shared" ref="I79:I84" si="6">H79</f>
        <v>11700</v>
      </c>
      <c r="J79" s="13"/>
      <c r="K79" s="714" t="s">
        <v>15</v>
      </c>
      <c r="L79" s="714" t="s">
        <v>610</v>
      </c>
      <c r="M79" s="657">
        <f>I79*0.95</f>
        <v>11115</v>
      </c>
      <c r="N79" s="659" t="s">
        <v>18</v>
      </c>
      <c r="O79" s="671">
        <v>256030</v>
      </c>
    </row>
    <row r="80" spans="1:15" ht="25.5" x14ac:dyDescent="0.2">
      <c r="A80" s="594"/>
      <c r="B80" s="586"/>
      <c r="C80" s="586"/>
      <c r="D80" s="111" t="s">
        <v>393</v>
      </c>
      <c r="E80" s="38">
        <v>88</v>
      </c>
      <c r="F80" s="34" t="s">
        <v>14</v>
      </c>
      <c r="G80" s="34" t="s">
        <v>14</v>
      </c>
      <c r="H80" s="34">
        <f>12000*117/100</f>
        <v>14040</v>
      </c>
      <c r="I80" s="34">
        <f t="shared" si="6"/>
        <v>14040</v>
      </c>
      <c r="J80" s="111"/>
      <c r="K80" s="715"/>
      <c r="L80" s="715"/>
      <c r="M80" s="673"/>
      <c r="N80" s="674"/>
      <c r="O80" s="672"/>
    </row>
    <row r="81" spans="1:15" ht="38.25" x14ac:dyDescent="0.2">
      <c r="A81" s="594"/>
      <c r="B81" s="586"/>
      <c r="C81" s="586"/>
      <c r="D81" s="111" t="s">
        <v>394</v>
      </c>
      <c r="E81" s="38">
        <v>80</v>
      </c>
      <c r="F81" s="34" t="s">
        <v>14</v>
      </c>
      <c r="G81" s="34" t="s">
        <v>14</v>
      </c>
      <c r="H81" s="34">
        <f>14000*117/100</f>
        <v>16380</v>
      </c>
      <c r="I81" s="34">
        <f t="shared" si="6"/>
        <v>16380</v>
      </c>
      <c r="J81" s="111"/>
      <c r="K81" s="715"/>
      <c r="L81" s="715"/>
      <c r="M81" s="673"/>
      <c r="N81" s="674"/>
      <c r="O81" s="672"/>
    </row>
    <row r="82" spans="1:15" ht="25.5" x14ac:dyDescent="0.2">
      <c r="A82" s="594"/>
      <c r="B82" s="586"/>
      <c r="C82" s="586"/>
      <c r="D82" s="111" t="s">
        <v>100</v>
      </c>
      <c r="E82" s="38">
        <v>67</v>
      </c>
      <c r="F82" s="34" t="s">
        <v>14</v>
      </c>
      <c r="G82" s="34" t="s">
        <v>14</v>
      </c>
      <c r="H82" s="34">
        <f>19000*117/100</f>
        <v>22230</v>
      </c>
      <c r="I82" s="34">
        <f t="shared" si="6"/>
        <v>22230</v>
      </c>
      <c r="J82" s="111"/>
      <c r="K82" s="715"/>
      <c r="L82" s="715"/>
      <c r="M82" s="673"/>
      <c r="N82" s="674"/>
      <c r="O82" s="672"/>
    </row>
    <row r="83" spans="1:15" ht="14.25" x14ac:dyDescent="0.2">
      <c r="A83" s="594"/>
      <c r="B83" s="586"/>
      <c r="C83" s="586"/>
      <c r="D83" s="111" t="s">
        <v>395</v>
      </c>
      <c r="E83" s="38">
        <v>65</v>
      </c>
      <c r="F83" s="34" t="s">
        <v>14</v>
      </c>
      <c r="G83" s="34" t="s">
        <v>14</v>
      </c>
      <c r="H83" s="34">
        <f>20000*117/100</f>
        <v>23400</v>
      </c>
      <c r="I83" s="34">
        <f t="shared" si="6"/>
        <v>23400</v>
      </c>
      <c r="J83" s="111"/>
      <c r="K83" s="715"/>
      <c r="L83" s="715"/>
      <c r="M83" s="673"/>
      <c r="N83" s="674"/>
      <c r="O83" s="672"/>
    </row>
    <row r="84" spans="1:15" ht="25.5" x14ac:dyDescent="0.2">
      <c r="A84" s="594"/>
      <c r="B84" s="586"/>
      <c r="C84" s="586"/>
      <c r="D84" s="111" t="s">
        <v>396</v>
      </c>
      <c r="E84" s="38">
        <v>63</v>
      </c>
      <c r="F84" s="34" t="s">
        <v>14</v>
      </c>
      <c r="G84" s="34" t="s">
        <v>14</v>
      </c>
      <c r="H84" s="34">
        <f>21000*117/100</f>
        <v>24570</v>
      </c>
      <c r="I84" s="34">
        <f t="shared" si="6"/>
        <v>24570</v>
      </c>
      <c r="J84" s="111"/>
      <c r="K84" s="715"/>
      <c r="L84" s="715"/>
      <c r="M84" s="673"/>
      <c r="N84" s="674"/>
      <c r="O84" s="672"/>
    </row>
    <row r="85" spans="1:15" ht="14.25" x14ac:dyDescent="0.2">
      <c r="A85" s="595"/>
      <c r="B85" s="717"/>
      <c r="C85" s="718"/>
      <c r="D85" s="718"/>
      <c r="E85" s="718"/>
      <c r="F85" s="718"/>
      <c r="G85" s="718"/>
      <c r="H85" s="718"/>
      <c r="I85" s="718"/>
      <c r="J85" s="718"/>
      <c r="K85" s="718"/>
      <c r="L85" s="718"/>
      <c r="M85" s="718"/>
      <c r="N85" s="718"/>
      <c r="O85" s="719"/>
    </row>
    <row r="86" spans="1:15" ht="15.75" x14ac:dyDescent="0.2">
      <c r="A86" s="556" t="s">
        <v>403</v>
      </c>
      <c r="B86" s="557"/>
      <c r="C86" s="557"/>
      <c r="D86" s="557"/>
      <c r="E86" s="557"/>
      <c r="F86" s="557"/>
      <c r="G86" s="557"/>
      <c r="H86" s="557"/>
      <c r="I86" s="557"/>
      <c r="J86" s="557"/>
      <c r="K86" s="557"/>
      <c r="L86" s="557"/>
      <c r="M86" s="557"/>
      <c r="N86" s="557"/>
      <c r="O86" s="661"/>
    </row>
    <row r="87" spans="1:15" ht="39" customHeight="1" x14ac:dyDescent="0.2">
      <c r="A87" s="593">
        <v>11</v>
      </c>
      <c r="B87" s="585" t="s">
        <v>398</v>
      </c>
      <c r="C87" s="585" t="s">
        <v>89</v>
      </c>
      <c r="D87" s="13" t="s">
        <v>399</v>
      </c>
      <c r="E87" s="14">
        <v>100</v>
      </c>
      <c r="F87" s="15" t="s">
        <v>14</v>
      </c>
      <c r="G87" s="15" t="s">
        <v>14</v>
      </c>
      <c r="H87" s="15">
        <f>3900*117/100</f>
        <v>4563</v>
      </c>
      <c r="I87" s="15">
        <f>H87</f>
        <v>4563</v>
      </c>
      <c r="J87" s="13"/>
      <c r="K87" s="714" t="s">
        <v>15</v>
      </c>
      <c r="L87" s="714" t="s">
        <v>610</v>
      </c>
      <c r="M87" s="657">
        <f>I87*0.95</f>
        <v>4334.8499999999995</v>
      </c>
      <c r="N87" s="659" t="s">
        <v>18</v>
      </c>
      <c r="O87" s="671">
        <v>256030</v>
      </c>
    </row>
    <row r="88" spans="1:15" ht="25.5" x14ac:dyDescent="0.2">
      <c r="A88" s="594"/>
      <c r="B88" s="586"/>
      <c r="C88" s="586"/>
      <c r="D88" s="111" t="s">
        <v>400</v>
      </c>
      <c r="E88" s="38">
        <v>83</v>
      </c>
      <c r="F88" s="34" t="s">
        <v>14</v>
      </c>
      <c r="G88" s="34" t="s">
        <v>14</v>
      </c>
      <c r="H88" s="34">
        <f>5200*117/100</f>
        <v>6084</v>
      </c>
      <c r="I88" s="34">
        <f>H88</f>
        <v>6084</v>
      </c>
      <c r="J88" s="111"/>
      <c r="K88" s="715"/>
      <c r="L88" s="715"/>
      <c r="M88" s="673"/>
      <c r="N88" s="674"/>
      <c r="O88" s="672"/>
    </row>
    <row r="89" spans="1:15" ht="38.25" x14ac:dyDescent="0.2">
      <c r="A89" s="594"/>
      <c r="B89" s="586"/>
      <c r="C89" s="586"/>
      <c r="D89" s="111" t="s">
        <v>401</v>
      </c>
      <c r="E89" s="38">
        <v>59</v>
      </c>
      <c r="F89" s="34" t="s">
        <v>14</v>
      </c>
      <c r="G89" s="34" t="s">
        <v>14</v>
      </c>
      <c r="H89" s="34">
        <f>9460*117/100</f>
        <v>11068.2</v>
      </c>
      <c r="I89" s="34">
        <f>H89</f>
        <v>11068.2</v>
      </c>
      <c r="J89" s="111"/>
      <c r="K89" s="715"/>
      <c r="L89" s="715"/>
      <c r="M89" s="673"/>
      <c r="N89" s="674"/>
      <c r="O89" s="672"/>
    </row>
    <row r="90" spans="1:15" ht="33" customHeight="1" x14ac:dyDescent="0.2">
      <c r="A90" s="594"/>
      <c r="B90" s="586"/>
      <c r="C90" s="586"/>
      <c r="D90" s="111" t="s">
        <v>402</v>
      </c>
      <c r="E90" s="38">
        <v>48</v>
      </c>
      <c r="F90" s="34" t="s">
        <v>14</v>
      </c>
      <c r="G90" s="34" t="s">
        <v>14</v>
      </c>
      <c r="H90" s="34">
        <f>14900*117/100</f>
        <v>17433</v>
      </c>
      <c r="I90" s="34">
        <f>H90</f>
        <v>17433</v>
      </c>
      <c r="J90" s="111"/>
      <c r="K90" s="715"/>
      <c r="L90" s="715"/>
      <c r="M90" s="673"/>
      <c r="N90" s="674"/>
      <c r="O90" s="672"/>
    </row>
    <row r="91" spans="1:15" ht="14.25" x14ac:dyDescent="0.2">
      <c r="A91" s="595"/>
      <c r="B91" s="717"/>
      <c r="C91" s="718"/>
      <c r="D91" s="718"/>
      <c r="E91" s="718"/>
      <c r="F91" s="718"/>
      <c r="G91" s="718"/>
      <c r="H91" s="718"/>
      <c r="I91" s="718"/>
      <c r="J91" s="718"/>
      <c r="K91" s="718"/>
      <c r="L91" s="718"/>
      <c r="M91" s="718"/>
      <c r="N91" s="718"/>
      <c r="O91" s="719"/>
    </row>
    <row r="92" spans="1:15" ht="15.75" x14ac:dyDescent="0.2">
      <c r="A92" s="556" t="s">
        <v>411</v>
      </c>
      <c r="B92" s="557"/>
      <c r="C92" s="557"/>
      <c r="D92" s="557"/>
      <c r="E92" s="557"/>
      <c r="F92" s="557"/>
      <c r="G92" s="557"/>
      <c r="H92" s="557"/>
      <c r="I92" s="557"/>
      <c r="J92" s="557"/>
      <c r="K92" s="557"/>
      <c r="L92" s="557"/>
      <c r="M92" s="557"/>
      <c r="N92" s="557"/>
      <c r="O92" s="661"/>
    </row>
    <row r="93" spans="1:15" ht="39" customHeight="1" x14ac:dyDescent="0.2">
      <c r="A93" s="593">
        <v>12</v>
      </c>
      <c r="B93" s="585" t="s">
        <v>404</v>
      </c>
      <c r="C93" s="585" t="s">
        <v>89</v>
      </c>
      <c r="D93" s="13" t="s">
        <v>405</v>
      </c>
      <c r="E93" s="14">
        <v>100</v>
      </c>
      <c r="F93" s="15" t="s">
        <v>14</v>
      </c>
      <c r="G93" s="15" t="s">
        <v>14</v>
      </c>
      <c r="H93" s="15">
        <f>4500*117/100</f>
        <v>5265</v>
      </c>
      <c r="I93" s="15">
        <f t="shared" ref="I93:I98" si="7">H93</f>
        <v>5265</v>
      </c>
      <c r="J93" s="13"/>
      <c r="K93" s="714" t="s">
        <v>15</v>
      </c>
      <c r="L93" s="714" t="s">
        <v>610</v>
      </c>
      <c r="M93" s="657">
        <f>I93*0.95</f>
        <v>5001.75</v>
      </c>
      <c r="N93" s="659" t="s">
        <v>18</v>
      </c>
      <c r="O93" s="671">
        <v>256030</v>
      </c>
    </row>
    <row r="94" spans="1:15" ht="32.25" customHeight="1" x14ac:dyDescent="0.2">
      <c r="A94" s="594"/>
      <c r="B94" s="586"/>
      <c r="C94" s="586"/>
      <c r="D94" s="111" t="s">
        <v>406</v>
      </c>
      <c r="E94" s="38">
        <v>87</v>
      </c>
      <c r="F94" s="34" t="s">
        <v>14</v>
      </c>
      <c r="G94" s="34" t="s">
        <v>14</v>
      </c>
      <c r="H94" s="34">
        <f>5500*117/100</f>
        <v>6435</v>
      </c>
      <c r="I94" s="34">
        <f t="shared" si="7"/>
        <v>6435</v>
      </c>
      <c r="J94" s="111"/>
      <c r="K94" s="715"/>
      <c r="L94" s="715"/>
      <c r="M94" s="673"/>
      <c r="N94" s="674"/>
      <c r="O94" s="672"/>
    </row>
    <row r="95" spans="1:15" ht="51" x14ac:dyDescent="0.2">
      <c r="A95" s="594"/>
      <c r="B95" s="586"/>
      <c r="C95" s="586"/>
      <c r="D95" s="111" t="s">
        <v>407</v>
      </c>
      <c r="E95" s="38">
        <v>78</v>
      </c>
      <c r="F95" s="34" t="s">
        <v>14</v>
      </c>
      <c r="G95" s="34" t="s">
        <v>14</v>
      </c>
      <c r="H95" s="34">
        <f>6500*117/100</f>
        <v>7605</v>
      </c>
      <c r="I95" s="34">
        <f t="shared" si="7"/>
        <v>7605</v>
      </c>
      <c r="J95" s="111"/>
      <c r="K95" s="715"/>
      <c r="L95" s="715"/>
      <c r="M95" s="673"/>
      <c r="N95" s="674"/>
      <c r="O95" s="672"/>
    </row>
    <row r="96" spans="1:15" ht="14.25" x14ac:dyDescent="0.2">
      <c r="A96" s="594"/>
      <c r="B96" s="586"/>
      <c r="C96" s="586"/>
      <c r="D96" s="111" t="s">
        <v>408</v>
      </c>
      <c r="E96" s="38">
        <v>75</v>
      </c>
      <c r="F96" s="34" t="s">
        <v>14</v>
      </c>
      <c r="G96" s="34" t="s">
        <v>14</v>
      </c>
      <c r="H96" s="34">
        <f>7000*117/100</f>
        <v>8190</v>
      </c>
      <c r="I96" s="34">
        <f t="shared" si="7"/>
        <v>8190</v>
      </c>
      <c r="J96" s="111"/>
      <c r="K96" s="715"/>
      <c r="L96" s="715"/>
      <c r="M96" s="673"/>
      <c r="N96" s="674"/>
      <c r="O96" s="672"/>
    </row>
    <row r="97" spans="1:15" ht="25.5" x14ac:dyDescent="0.2">
      <c r="A97" s="594"/>
      <c r="B97" s="586"/>
      <c r="C97" s="586"/>
      <c r="D97" s="111" t="s">
        <v>409</v>
      </c>
      <c r="E97" s="38">
        <v>75</v>
      </c>
      <c r="F97" s="34" t="s">
        <v>14</v>
      </c>
      <c r="G97" s="34" t="s">
        <v>14</v>
      </c>
      <c r="H97" s="34">
        <f>7000*117/100</f>
        <v>8190</v>
      </c>
      <c r="I97" s="34">
        <f t="shared" si="7"/>
        <v>8190</v>
      </c>
      <c r="J97" s="111"/>
      <c r="K97" s="715"/>
      <c r="L97" s="715"/>
      <c r="M97" s="673"/>
      <c r="N97" s="674"/>
      <c r="O97" s="672"/>
    </row>
    <row r="98" spans="1:15" ht="33" customHeight="1" x14ac:dyDescent="0.2">
      <c r="A98" s="594"/>
      <c r="B98" s="586"/>
      <c r="C98" s="586"/>
      <c r="D98" s="111" t="s">
        <v>410</v>
      </c>
      <c r="E98" s="38">
        <v>56</v>
      </c>
      <c r="F98" s="34" t="s">
        <v>14</v>
      </c>
      <c r="G98" s="34" t="s">
        <v>14</v>
      </c>
      <c r="H98" s="34">
        <f>12320*117/100</f>
        <v>14414.4</v>
      </c>
      <c r="I98" s="34">
        <f t="shared" si="7"/>
        <v>14414.4</v>
      </c>
      <c r="J98" s="111"/>
      <c r="K98" s="715"/>
      <c r="L98" s="715"/>
      <c r="M98" s="673"/>
      <c r="N98" s="674"/>
      <c r="O98" s="672"/>
    </row>
    <row r="99" spans="1:15" ht="14.25" x14ac:dyDescent="0.2">
      <c r="A99" s="595"/>
      <c r="B99" s="717"/>
      <c r="C99" s="718"/>
      <c r="D99" s="718"/>
      <c r="E99" s="718"/>
      <c r="F99" s="718"/>
      <c r="G99" s="718"/>
      <c r="H99" s="718"/>
      <c r="I99" s="718"/>
      <c r="J99" s="718"/>
      <c r="K99" s="718"/>
      <c r="L99" s="718"/>
      <c r="M99" s="718"/>
      <c r="N99" s="718"/>
      <c r="O99" s="719"/>
    </row>
    <row r="100" spans="1:15" ht="15.75" x14ac:dyDescent="0.2">
      <c r="A100" s="556" t="s">
        <v>416</v>
      </c>
      <c r="B100" s="557"/>
      <c r="C100" s="557"/>
      <c r="D100" s="557"/>
      <c r="E100" s="557"/>
      <c r="F100" s="557"/>
      <c r="G100" s="557"/>
      <c r="H100" s="557"/>
      <c r="I100" s="557"/>
      <c r="J100" s="557"/>
      <c r="K100" s="557"/>
      <c r="L100" s="557"/>
      <c r="M100" s="557"/>
      <c r="N100" s="557"/>
      <c r="O100" s="661"/>
    </row>
    <row r="101" spans="1:15" ht="39" customHeight="1" x14ac:dyDescent="0.2">
      <c r="A101" s="593">
        <v>13</v>
      </c>
      <c r="B101" s="585" t="s">
        <v>412</v>
      </c>
      <c r="C101" s="585" t="s">
        <v>89</v>
      </c>
      <c r="D101" s="13" t="s">
        <v>413</v>
      </c>
      <c r="E101" s="14">
        <v>99</v>
      </c>
      <c r="F101" s="15" t="s">
        <v>14</v>
      </c>
      <c r="G101" s="15" t="s">
        <v>14</v>
      </c>
      <c r="H101" s="15">
        <f>90000*117/100</f>
        <v>105300</v>
      </c>
      <c r="I101" s="15">
        <f>H101</f>
        <v>105300</v>
      </c>
      <c r="J101" s="13" t="s">
        <v>13</v>
      </c>
      <c r="K101" s="714" t="s">
        <v>15</v>
      </c>
      <c r="L101" s="714" t="s">
        <v>609</v>
      </c>
      <c r="M101" s="657">
        <f>I101*0.95</f>
        <v>100035</v>
      </c>
      <c r="N101" s="659" t="s">
        <v>18</v>
      </c>
      <c r="O101" s="671">
        <v>256030</v>
      </c>
    </row>
    <row r="102" spans="1:15" ht="25.5" x14ac:dyDescent="0.2">
      <c r="A102" s="594"/>
      <c r="B102" s="586"/>
      <c r="C102" s="586"/>
      <c r="D102" s="111" t="s">
        <v>414</v>
      </c>
      <c r="E102" s="38">
        <v>94</v>
      </c>
      <c r="F102" s="34" t="s">
        <v>14</v>
      </c>
      <c r="G102" s="34" t="s">
        <v>14</v>
      </c>
      <c r="H102" s="34">
        <f>89000*117/100</f>
        <v>104130</v>
      </c>
      <c r="I102" s="34">
        <f>H102</f>
        <v>104130</v>
      </c>
      <c r="J102" s="111" t="s">
        <v>13</v>
      </c>
      <c r="K102" s="715"/>
      <c r="L102" s="715"/>
      <c r="M102" s="673"/>
      <c r="N102" s="674"/>
      <c r="O102" s="672"/>
    </row>
    <row r="103" spans="1:15" ht="14.25" x14ac:dyDescent="0.2">
      <c r="A103" s="594"/>
      <c r="B103" s="586"/>
      <c r="C103" s="586"/>
      <c r="D103" s="111" t="s">
        <v>75</v>
      </c>
      <c r="E103" s="38">
        <v>97</v>
      </c>
      <c r="F103" s="34" t="s">
        <v>14</v>
      </c>
      <c r="G103" s="34" t="s">
        <v>14</v>
      </c>
      <c r="H103" s="34">
        <f>92750*117/100</f>
        <v>108517.5</v>
      </c>
      <c r="I103" s="34">
        <f>H103</f>
        <v>108517.5</v>
      </c>
      <c r="J103" s="111" t="s">
        <v>13</v>
      </c>
      <c r="K103" s="715"/>
      <c r="L103" s="715"/>
      <c r="M103" s="673"/>
      <c r="N103" s="674"/>
      <c r="O103" s="672"/>
    </row>
    <row r="104" spans="1:15" ht="33" customHeight="1" x14ac:dyDescent="0.2">
      <c r="A104" s="594"/>
      <c r="B104" s="586"/>
      <c r="C104" s="586"/>
      <c r="D104" s="111" t="s">
        <v>415</v>
      </c>
      <c r="E104" s="38">
        <v>80</v>
      </c>
      <c r="F104" s="34" t="s">
        <v>14</v>
      </c>
      <c r="G104" s="34" t="s">
        <v>14</v>
      </c>
      <c r="H104" s="34">
        <f>125000*117/100</f>
        <v>146250</v>
      </c>
      <c r="I104" s="34">
        <f>H104</f>
        <v>146250</v>
      </c>
      <c r="J104" s="111"/>
      <c r="K104" s="715"/>
      <c r="L104" s="715"/>
      <c r="M104" s="673"/>
      <c r="N104" s="674"/>
      <c r="O104" s="672"/>
    </row>
    <row r="105" spans="1:15" ht="14.25" x14ac:dyDescent="0.2">
      <c r="A105" s="595"/>
      <c r="B105" s="717"/>
      <c r="C105" s="718"/>
      <c r="D105" s="718"/>
      <c r="E105" s="718"/>
      <c r="F105" s="718"/>
      <c r="G105" s="718"/>
      <c r="H105" s="718"/>
      <c r="I105" s="718"/>
      <c r="J105" s="718"/>
      <c r="K105" s="718"/>
      <c r="L105" s="718"/>
      <c r="M105" s="718"/>
      <c r="N105" s="718"/>
      <c r="O105" s="719"/>
    </row>
    <row r="106" spans="1:15" ht="15.75" x14ac:dyDescent="0.2">
      <c r="A106" s="556" t="s">
        <v>417</v>
      </c>
      <c r="B106" s="557"/>
      <c r="C106" s="557"/>
      <c r="D106" s="557"/>
      <c r="E106" s="557"/>
      <c r="F106" s="557"/>
      <c r="G106" s="557"/>
      <c r="H106" s="557"/>
      <c r="I106" s="557"/>
      <c r="J106" s="557"/>
      <c r="K106" s="557"/>
      <c r="L106" s="557"/>
      <c r="M106" s="557"/>
      <c r="N106" s="557"/>
      <c r="O106" s="661"/>
    </row>
    <row r="107" spans="1:15" ht="39" customHeight="1" x14ac:dyDescent="0.2">
      <c r="A107" s="593">
        <v>14</v>
      </c>
      <c r="B107" s="585" t="s">
        <v>418</v>
      </c>
      <c r="C107" s="585" t="s">
        <v>89</v>
      </c>
      <c r="D107" s="13" t="s">
        <v>264</v>
      </c>
      <c r="E107" s="14">
        <v>100</v>
      </c>
      <c r="F107" s="15" t="s">
        <v>14</v>
      </c>
      <c r="G107" s="15" t="s">
        <v>14</v>
      </c>
      <c r="H107" s="15">
        <f>18000*117/100</f>
        <v>21060</v>
      </c>
      <c r="I107" s="15">
        <f>H107</f>
        <v>21060</v>
      </c>
      <c r="J107" s="13"/>
      <c r="K107" s="714" t="s">
        <v>15</v>
      </c>
      <c r="L107" s="714" t="s">
        <v>610</v>
      </c>
      <c r="M107" s="657">
        <f>I107*0.95</f>
        <v>20007</v>
      </c>
      <c r="N107" s="659" t="s">
        <v>18</v>
      </c>
      <c r="O107" s="671">
        <v>256030</v>
      </c>
    </row>
    <row r="108" spans="1:15" ht="25.5" x14ac:dyDescent="0.2">
      <c r="A108" s="594"/>
      <c r="B108" s="586"/>
      <c r="C108" s="586"/>
      <c r="D108" s="111" t="s">
        <v>419</v>
      </c>
      <c r="E108" s="38">
        <v>66</v>
      </c>
      <c r="F108" s="34" t="s">
        <v>14</v>
      </c>
      <c r="G108" s="34" t="s">
        <v>14</v>
      </c>
      <c r="H108" s="34">
        <f>35000*117/100</f>
        <v>40950</v>
      </c>
      <c r="I108" s="34">
        <f>H108</f>
        <v>40950</v>
      </c>
      <c r="J108" s="111"/>
      <c r="K108" s="715"/>
      <c r="L108" s="715"/>
      <c r="M108" s="673"/>
      <c r="N108" s="674"/>
      <c r="O108" s="672"/>
    </row>
    <row r="109" spans="1:15" ht="25.5" x14ac:dyDescent="0.2">
      <c r="A109" s="594"/>
      <c r="B109" s="586"/>
      <c r="C109" s="586"/>
      <c r="D109" s="111" t="s">
        <v>230</v>
      </c>
      <c r="E109" s="38">
        <v>62</v>
      </c>
      <c r="F109" s="34" t="s">
        <v>14</v>
      </c>
      <c r="G109" s="34" t="s">
        <v>14</v>
      </c>
      <c r="H109" s="34">
        <f>40000*117/100</f>
        <v>46800</v>
      </c>
      <c r="I109" s="34">
        <f>H109</f>
        <v>46800</v>
      </c>
      <c r="J109" s="111"/>
      <c r="K109" s="715"/>
      <c r="L109" s="715"/>
      <c r="M109" s="673"/>
      <c r="N109" s="674"/>
      <c r="O109" s="672"/>
    </row>
    <row r="110" spans="1:15" ht="33" customHeight="1" x14ac:dyDescent="0.2">
      <c r="A110" s="594"/>
      <c r="B110" s="586"/>
      <c r="C110" s="586"/>
      <c r="D110" s="111" t="s">
        <v>420</v>
      </c>
      <c r="E110" s="38">
        <v>55</v>
      </c>
      <c r="F110" s="34" t="s">
        <v>14</v>
      </c>
      <c r="G110" s="34" t="s">
        <v>14</v>
      </c>
      <c r="H110" s="34">
        <f>51000*117/100</f>
        <v>59670</v>
      </c>
      <c r="I110" s="34">
        <f>H110</f>
        <v>59670</v>
      </c>
      <c r="J110" s="111"/>
      <c r="K110" s="715"/>
      <c r="L110" s="715"/>
      <c r="M110" s="673"/>
      <c r="N110" s="674"/>
      <c r="O110" s="672"/>
    </row>
    <row r="111" spans="1:15" ht="14.25" x14ac:dyDescent="0.2">
      <c r="A111" s="595"/>
      <c r="B111" s="717"/>
      <c r="C111" s="718"/>
      <c r="D111" s="718"/>
      <c r="E111" s="718"/>
      <c r="F111" s="718"/>
      <c r="G111" s="718"/>
      <c r="H111" s="718"/>
      <c r="I111" s="718"/>
      <c r="J111" s="718"/>
      <c r="K111" s="718"/>
      <c r="L111" s="718"/>
      <c r="M111" s="718"/>
      <c r="N111" s="718"/>
      <c r="O111" s="719"/>
    </row>
    <row r="112" spans="1:15" ht="15.75" x14ac:dyDescent="0.2">
      <c r="A112" s="556" t="s">
        <v>421</v>
      </c>
      <c r="B112" s="557"/>
      <c r="C112" s="557"/>
      <c r="D112" s="557"/>
      <c r="E112" s="557"/>
      <c r="F112" s="557"/>
      <c r="G112" s="557"/>
      <c r="H112" s="557"/>
      <c r="I112" s="557"/>
      <c r="J112" s="557"/>
      <c r="K112" s="557"/>
      <c r="L112" s="557"/>
      <c r="M112" s="557"/>
      <c r="N112" s="557"/>
      <c r="O112" s="661"/>
    </row>
    <row r="113" spans="1:15" ht="39" customHeight="1" x14ac:dyDescent="0.2">
      <c r="A113" s="593">
        <v>15</v>
      </c>
      <c r="B113" s="585" t="s">
        <v>422</v>
      </c>
      <c r="C113" s="585" t="s">
        <v>89</v>
      </c>
      <c r="D113" s="13" t="s">
        <v>423</v>
      </c>
      <c r="E113" s="14">
        <v>100</v>
      </c>
      <c r="F113" s="15" t="s">
        <v>14</v>
      </c>
      <c r="G113" s="15" t="s">
        <v>14</v>
      </c>
      <c r="H113" s="15">
        <f>17000*117/100</f>
        <v>19890</v>
      </c>
      <c r="I113" s="15">
        <f>H113</f>
        <v>19890</v>
      </c>
      <c r="J113" s="13"/>
      <c r="K113" s="714" t="s">
        <v>15</v>
      </c>
      <c r="L113" s="714" t="s">
        <v>610</v>
      </c>
      <c r="M113" s="657">
        <f>I113*0.95</f>
        <v>18895.5</v>
      </c>
      <c r="N113" s="659" t="s">
        <v>18</v>
      </c>
      <c r="O113" s="671">
        <v>256030</v>
      </c>
    </row>
    <row r="114" spans="1:15" ht="22.15" customHeight="1" x14ac:dyDescent="0.2">
      <c r="A114" s="594"/>
      <c r="B114" s="586"/>
      <c r="C114" s="784"/>
      <c r="D114" s="161" t="s">
        <v>611</v>
      </c>
      <c r="E114" s="38">
        <v>83</v>
      </c>
      <c r="F114" s="34" t="s">
        <v>14</v>
      </c>
      <c r="G114" s="34" t="s">
        <v>14</v>
      </c>
      <c r="H114" s="34">
        <f>22600*117/100</f>
        <v>26442</v>
      </c>
      <c r="I114" s="34">
        <f>H114</f>
        <v>26442</v>
      </c>
      <c r="J114" s="111"/>
      <c r="K114" s="715"/>
      <c r="L114" s="715"/>
      <c r="M114" s="673"/>
      <c r="N114" s="674"/>
      <c r="O114" s="672"/>
    </row>
    <row r="115" spans="1:15" ht="25.5" x14ac:dyDescent="0.2">
      <c r="A115" s="594"/>
      <c r="B115" s="586"/>
      <c r="C115" s="784"/>
      <c r="D115" s="161" t="s">
        <v>612</v>
      </c>
      <c r="E115" s="38">
        <v>74</v>
      </c>
      <c r="F115" s="34" t="s">
        <v>14</v>
      </c>
      <c r="G115" s="34" t="s">
        <v>14</v>
      </c>
      <c r="H115" s="34">
        <f>27200*117/100</f>
        <v>31824</v>
      </c>
      <c r="I115" s="34">
        <f>H115</f>
        <v>31824</v>
      </c>
      <c r="J115" s="111"/>
      <c r="K115" s="715"/>
      <c r="L115" s="715"/>
      <c r="M115" s="673"/>
      <c r="N115" s="674"/>
      <c r="O115" s="672"/>
    </row>
    <row r="116" spans="1:15" ht="33" customHeight="1" x14ac:dyDescent="0.2">
      <c r="A116" s="594"/>
      <c r="B116" s="586"/>
      <c r="C116" s="784"/>
      <c r="D116" s="161" t="s">
        <v>613</v>
      </c>
      <c r="E116" s="38">
        <v>70</v>
      </c>
      <c r="F116" s="34" t="s">
        <v>14</v>
      </c>
      <c r="G116" s="34" t="s">
        <v>14</v>
      </c>
      <c r="H116" s="34">
        <f>29750*117/100</f>
        <v>34807.5</v>
      </c>
      <c r="I116" s="34">
        <f>H116</f>
        <v>34807.5</v>
      </c>
      <c r="J116" s="111"/>
      <c r="K116" s="715"/>
      <c r="L116" s="715"/>
      <c r="M116" s="673"/>
      <c r="N116" s="674"/>
      <c r="O116" s="672"/>
    </row>
    <row r="117" spans="1:15" ht="14.25" x14ac:dyDescent="0.2">
      <c r="A117" s="595"/>
      <c r="B117" s="717"/>
      <c r="C117" s="718"/>
      <c r="D117" s="785"/>
      <c r="E117" s="718"/>
      <c r="F117" s="718"/>
      <c r="G117" s="718"/>
      <c r="H117" s="718"/>
      <c r="I117" s="718"/>
      <c r="J117" s="718"/>
      <c r="K117" s="718"/>
      <c r="L117" s="718"/>
      <c r="M117" s="718"/>
      <c r="N117" s="718"/>
      <c r="O117" s="719"/>
    </row>
    <row r="118" spans="1:15" ht="15.75" x14ac:dyDescent="0.2">
      <c r="A118" s="556" t="s">
        <v>427</v>
      </c>
      <c r="B118" s="557"/>
      <c r="C118" s="557"/>
      <c r="D118" s="557"/>
      <c r="E118" s="557"/>
      <c r="F118" s="557"/>
      <c r="G118" s="557"/>
      <c r="H118" s="557"/>
      <c r="I118" s="557"/>
      <c r="J118" s="557"/>
      <c r="K118" s="557"/>
      <c r="L118" s="557"/>
      <c r="M118" s="557"/>
      <c r="N118" s="557"/>
      <c r="O118" s="661"/>
    </row>
    <row r="119" spans="1:15" ht="38.25" x14ac:dyDescent="0.2">
      <c r="A119" s="593">
        <v>16</v>
      </c>
      <c r="B119" s="585" t="s">
        <v>424</v>
      </c>
      <c r="C119" s="585" t="s">
        <v>89</v>
      </c>
      <c r="D119" s="13" t="s">
        <v>385</v>
      </c>
      <c r="E119" s="14">
        <v>100</v>
      </c>
      <c r="F119" s="15" t="s">
        <v>14</v>
      </c>
      <c r="G119" s="15" t="s">
        <v>14</v>
      </c>
      <c r="H119" s="15">
        <f>48000*117/100</f>
        <v>56160</v>
      </c>
      <c r="I119" s="15">
        <f>H119</f>
        <v>56160</v>
      </c>
      <c r="J119" s="13"/>
      <c r="K119" s="714" t="s">
        <v>15</v>
      </c>
      <c r="L119" s="714" t="s">
        <v>609</v>
      </c>
      <c r="M119" s="657">
        <f>I119*0.95</f>
        <v>53352</v>
      </c>
      <c r="N119" s="659" t="s">
        <v>18</v>
      </c>
      <c r="O119" s="671">
        <v>256030</v>
      </c>
    </row>
    <row r="120" spans="1:15" ht="25.5" x14ac:dyDescent="0.2">
      <c r="A120" s="594"/>
      <c r="B120" s="586"/>
      <c r="C120" s="586"/>
      <c r="D120" s="111" t="s">
        <v>425</v>
      </c>
      <c r="E120" s="38">
        <v>86</v>
      </c>
      <c r="F120" s="34" t="s">
        <v>14</v>
      </c>
      <c r="G120" s="34" t="s">
        <v>14</v>
      </c>
      <c r="H120" s="34">
        <f>60000*117/100</f>
        <v>70200</v>
      </c>
      <c r="I120" s="34">
        <f>H120</f>
        <v>70200</v>
      </c>
      <c r="J120" s="111"/>
      <c r="K120" s="715"/>
      <c r="L120" s="715"/>
      <c r="M120" s="673"/>
      <c r="N120" s="674"/>
      <c r="O120" s="672"/>
    </row>
    <row r="121" spans="1:15" ht="25.5" x14ac:dyDescent="0.2">
      <c r="A121" s="594"/>
      <c r="B121" s="586"/>
      <c r="C121" s="586"/>
      <c r="D121" s="111" t="s">
        <v>387</v>
      </c>
      <c r="E121" s="38">
        <v>80</v>
      </c>
      <c r="F121" s="34" t="s">
        <v>14</v>
      </c>
      <c r="G121" s="34" t="s">
        <v>14</v>
      </c>
      <c r="H121" s="34">
        <f>67000*117/100</f>
        <v>78390</v>
      </c>
      <c r="I121" s="34">
        <f>H121</f>
        <v>78390</v>
      </c>
      <c r="J121" s="111"/>
      <c r="K121" s="715"/>
      <c r="L121" s="715"/>
      <c r="M121" s="673"/>
      <c r="N121" s="674"/>
      <c r="O121" s="672"/>
    </row>
    <row r="122" spans="1:15" ht="25.5" x14ac:dyDescent="0.2">
      <c r="A122" s="594"/>
      <c r="B122" s="586"/>
      <c r="C122" s="586"/>
      <c r="D122" s="111" t="s">
        <v>426</v>
      </c>
      <c r="E122" s="38">
        <v>53</v>
      </c>
      <c r="F122" s="34" t="s">
        <v>14</v>
      </c>
      <c r="G122" s="34" t="s">
        <v>14</v>
      </c>
      <c r="H122" s="34">
        <f>148000*117/100</f>
        <v>173160</v>
      </c>
      <c r="I122" s="34">
        <f>H122</f>
        <v>173160</v>
      </c>
      <c r="J122" s="111"/>
      <c r="K122" s="715"/>
      <c r="L122" s="715"/>
      <c r="M122" s="673"/>
      <c r="N122" s="674"/>
      <c r="O122" s="672"/>
    </row>
    <row r="123" spans="1:15" ht="14.25" x14ac:dyDescent="0.2">
      <c r="A123" s="595"/>
      <c r="B123" s="717"/>
      <c r="C123" s="718"/>
      <c r="D123" s="718"/>
      <c r="E123" s="718"/>
      <c r="F123" s="718"/>
      <c r="G123" s="718"/>
      <c r="H123" s="718"/>
      <c r="I123" s="718"/>
      <c r="J123" s="718"/>
      <c r="K123" s="718"/>
      <c r="L123" s="718"/>
      <c r="M123" s="718"/>
      <c r="N123" s="718"/>
      <c r="O123" s="719"/>
    </row>
    <row r="124" spans="1:15" ht="15.75" x14ac:dyDescent="0.2">
      <c r="A124" s="556" t="s">
        <v>428</v>
      </c>
      <c r="B124" s="557"/>
      <c r="C124" s="557"/>
      <c r="D124" s="557"/>
      <c r="E124" s="557"/>
      <c r="F124" s="557"/>
      <c r="G124" s="557"/>
      <c r="H124" s="557"/>
      <c r="I124" s="557"/>
      <c r="J124" s="557"/>
      <c r="K124" s="557"/>
      <c r="L124" s="557"/>
      <c r="M124" s="557"/>
      <c r="N124" s="557"/>
      <c r="O124" s="661"/>
    </row>
    <row r="125" spans="1:15" ht="30.6" customHeight="1" x14ac:dyDescent="0.2">
      <c r="A125" s="593">
        <v>17</v>
      </c>
      <c r="B125" s="585" t="s">
        <v>429</v>
      </c>
      <c r="C125" s="585" t="s">
        <v>89</v>
      </c>
      <c r="D125" s="13" t="s">
        <v>273</v>
      </c>
      <c r="E125" s="14">
        <v>100</v>
      </c>
      <c r="F125" s="15" t="s">
        <v>14</v>
      </c>
      <c r="G125" s="15" t="s">
        <v>14</v>
      </c>
      <c r="H125" s="15">
        <f>12000*117/100</f>
        <v>14040</v>
      </c>
      <c r="I125" s="15">
        <f>H125</f>
        <v>14040</v>
      </c>
      <c r="J125" s="13"/>
      <c r="K125" s="714" t="s">
        <v>15</v>
      </c>
      <c r="L125" s="714" t="s">
        <v>610</v>
      </c>
      <c r="M125" s="657">
        <f>I125*0.95</f>
        <v>13338</v>
      </c>
      <c r="N125" s="659" t="s">
        <v>18</v>
      </c>
      <c r="O125" s="671">
        <v>256030</v>
      </c>
    </row>
    <row r="126" spans="1:15" ht="25.5" x14ac:dyDescent="0.2">
      <c r="A126" s="594"/>
      <c r="B126" s="586"/>
      <c r="C126" s="586"/>
      <c r="D126" s="117" t="s">
        <v>120</v>
      </c>
      <c r="E126" s="38">
        <v>86</v>
      </c>
      <c r="F126" s="34" t="s">
        <v>14</v>
      </c>
      <c r="G126" s="34" t="s">
        <v>14</v>
      </c>
      <c r="H126" s="34">
        <f>15000*117/100</f>
        <v>17550</v>
      </c>
      <c r="I126" s="34">
        <f>H126</f>
        <v>17550</v>
      </c>
      <c r="J126" s="117"/>
      <c r="K126" s="715"/>
      <c r="L126" s="715"/>
      <c r="M126" s="673"/>
      <c r="N126" s="674"/>
      <c r="O126" s="672"/>
    </row>
    <row r="127" spans="1:15" ht="30.6" customHeight="1" x14ac:dyDescent="0.2">
      <c r="A127" s="594"/>
      <c r="B127" s="586"/>
      <c r="C127" s="586"/>
      <c r="D127" s="117" t="s">
        <v>378</v>
      </c>
      <c r="E127" s="38">
        <v>71</v>
      </c>
      <c r="F127" s="34" t="s">
        <v>14</v>
      </c>
      <c r="G127" s="34" t="s">
        <v>14</v>
      </c>
      <c r="H127" s="34">
        <f>18000*117/100</f>
        <v>21060</v>
      </c>
      <c r="I127" s="34">
        <f>H127</f>
        <v>21060</v>
      </c>
      <c r="J127" s="117"/>
      <c r="K127" s="715"/>
      <c r="L127" s="715"/>
      <c r="M127" s="673"/>
      <c r="N127" s="674"/>
      <c r="O127" s="672"/>
    </row>
    <row r="128" spans="1:15" ht="25.5" x14ac:dyDescent="0.2">
      <c r="A128" s="594"/>
      <c r="B128" s="586"/>
      <c r="C128" s="586"/>
      <c r="D128" s="117" t="s">
        <v>430</v>
      </c>
      <c r="E128" s="38">
        <v>75</v>
      </c>
      <c r="F128" s="34" t="s">
        <v>14</v>
      </c>
      <c r="G128" s="34" t="s">
        <v>14</v>
      </c>
      <c r="H128" s="34">
        <f>18600*117/100</f>
        <v>21762</v>
      </c>
      <c r="I128" s="34">
        <f>H128</f>
        <v>21762</v>
      </c>
      <c r="J128" s="117"/>
      <c r="K128" s="715"/>
      <c r="L128" s="715"/>
      <c r="M128" s="673"/>
      <c r="N128" s="674"/>
      <c r="O128" s="672"/>
    </row>
    <row r="129" spans="1:15" ht="14.25" x14ac:dyDescent="0.2">
      <c r="A129" s="594"/>
      <c r="B129" s="586"/>
      <c r="C129" s="586"/>
      <c r="D129" s="117" t="s">
        <v>431</v>
      </c>
      <c r="E129" s="38">
        <v>46</v>
      </c>
      <c r="F129" s="34" t="s">
        <v>14</v>
      </c>
      <c r="G129" s="34" t="s">
        <v>14</v>
      </c>
      <c r="H129" s="34">
        <f>52000*117/100</f>
        <v>60840</v>
      </c>
      <c r="I129" s="34">
        <f>H129</f>
        <v>60840</v>
      </c>
      <c r="J129" s="117"/>
      <c r="K129" s="715"/>
      <c r="L129" s="715"/>
      <c r="M129" s="673"/>
      <c r="N129" s="674"/>
      <c r="O129" s="672"/>
    </row>
    <row r="130" spans="1:15" ht="14.25" x14ac:dyDescent="0.2">
      <c r="A130" s="595"/>
      <c r="B130" s="717"/>
      <c r="C130" s="718"/>
      <c r="D130" s="718"/>
      <c r="E130" s="718"/>
      <c r="F130" s="718"/>
      <c r="G130" s="718"/>
      <c r="H130" s="718"/>
      <c r="I130" s="718"/>
      <c r="J130" s="718"/>
      <c r="K130" s="718"/>
      <c r="L130" s="718"/>
      <c r="M130" s="718"/>
      <c r="N130" s="718"/>
      <c r="O130" s="719"/>
    </row>
    <row r="131" spans="1:15" ht="15.75" x14ac:dyDescent="0.2">
      <c r="A131" s="556" t="s">
        <v>432</v>
      </c>
      <c r="B131" s="557"/>
      <c r="C131" s="557"/>
      <c r="D131" s="557"/>
      <c r="E131" s="557"/>
      <c r="F131" s="557"/>
      <c r="G131" s="557"/>
      <c r="H131" s="557"/>
      <c r="I131" s="557"/>
      <c r="J131" s="557"/>
      <c r="K131" s="557"/>
      <c r="L131" s="557"/>
      <c r="M131" s="557"/>
      <c r="N131" s="557"/>
      <c r="O131" s="661"/>
    </row>
    <row r="132" spans="1:15" ht="25.5" x14ac:dyDescent="0.2">
      <c r="A132" s="593">
        <v>18</v>
      </c>
      <c r="B132" s="585" t="s">
        <v>433</v>
      </c>
      <c r="C132" s="585" t="s">
        <v>89</v>
      </c>
      <c r="D132" s="13" t="s">
        <v>277</v>
      </c>
      <c r="E132" s="14">
        <v>100</v>
      </c>
      <c r="F132" s="15" t="s">
        <v>14</v>
      </c>
      <c r="G132" s="15" t="s">
        <v>14</v>
      </c>
      <c r="H132" s="15">
        <f>10000*117/100</f>
        <v>11700</v>
      </c>
      <c r="I132" s="15">
        <f t="shared" ref="I132:I139" si="8">H132</f>
        <v>11700</v>
      </c>
      <c r="J132" s="13"/>
      <c r="K132" s="714" t="s">
        <v>15</v>
      </c>
      <c r="L132" s="714" t="s">
        <v>609</v>
      </c>
      <c r="M132" s="657">
        <f>I132*0.95</f>
        <v>11115</v>
      </c>
      <c r="N132" s="659" t="s">
        <v>18</v>
      </c>
      <c r="O132" s="671">
        <v>256030</v>
      </c>
    </row>
    <row r="133" spans="1:15" ht="43.5" customHeight="1" x14ac:dyDescent="0.2">
      <c r="A133" s="594"/>
      <c r="B133" s="586"/>
      <c r="C133" s="586"/>
      <c r="D133" s="117" t="s">
        <v>434</v>
      </c>
      <c r="E133" s="38">
        <v>86</v>
      </c>
      <c r="F133" s="34" t="s">
        <v>14</v>
      </c>
      <c r="G133" s="34" t="s">
        <v>14</v>
      </c>
      <c r="H133" s="34">
        <f>12500*117/100</f>
        <v>14625</v>
      </c>
      <c r="I133" s="34">
        <f t="shared" si="8"/>
        <v>14625</v>
      </c>
      <c r="J133" s="117"/>
      <c r="K133" s="715"/>
      <c r="L133" s="715"/>
      <c r="M133" s="673"/>
      <c r="N133" s="674"/>
      <c r="O133" s="672"/>
    </row>
    <row r="134" spans="1:15" ht="25.5" x14ac:dyDescent="0.2">
      <c r="A134" s="594"/>
      <c r="B134" s="586"/>
      <c r="C134" s="586"/>
      <c r="D134" s="117" t="s">
        <v>279</v>
      </c>
      <c r="E134" s="38">
        <v>86</v>
      </c>
      <c r="F134" s="34" t="s">
        <v>14</v>
      </c>
      <c r="G134" s="34" t="s">
        <v>14</v>
      </c>
      <c r="H134" s="34">
        <f>12500*117/100</f>
        <v>14625</v>
      </c>
      <c r="I134" s="34">
        <f t="shared" si="8"/>
        <v>14625</v>
      </c>
      <c r="J134" s="117"/>
      <c r="K134" s="715"/>
      <c r="L134" s="715"/>
      <c r="M134" s="673"/>
      <c r="N134" s="674"/>
      <c r="O134" s="672"/>
    </row>
    <row r="135" spans="1:15" ht="14.25" x14ac:dyDescent="0.2">
      <c r="A135" s="594"/>
      <c r="B135" s="586"/>
      <c r="C135" s="586"/>
      <c r="D135" s="117" t="s">
        <v>250</v>
      </c>
      <c r="E135" s="38">
        <v>84</v>
      </c>
      <c r="F135" s="34" t="s">
        <v>14</v>
      </c>
      <c r="G135" s="34" t="s">
        <v>14</v>
      </c>
      <c r="H135" s="34">
        <f>13000*117/100</f>
        <v>15210</v>
      </c>
      <c r="I135" s="34">
        <f t="shared" si="8"/>
        <v>15210</v>
      </c>
      <c r="J135" s="117"/>
      <c r="K135" s="715"/>
      <c r="L135" s="715"/>
      <c r="M135" s="673"/>
      <c r="N135" s="674"/>
      <c r="O135" s="672"/>
    </row>
    <row r="136" spans="1:15" ht="25.5" x14ac:dyDescent="0.2">
      <c r="A136" s="594"/>
      <c r="B136" s="586"/>
      <c r="C136" s="586"/>
      <c r="D136" s="117" t="s">
        <v>278</v>
      </c>
      <c r="E136" s="38">
        <v>80</v>
      </c>
      <c r="F136" s="34" t="s">
        <v>14</v>
      </c>
      <c r="G136" s="34" t="s">
        <v>14</v>
      </c>
      <c r="H136" s="34">
        <f>14000*117/100</f>
        <v>16380</v>
      </c>
      <c r="I136" s="34">
        <f t="shared" si="8"/>
        <v>16380</v>
      </c>
      <c r="J136" s="117"/>
      <c r="K136" s="715"/>
      <c r="L136" s="715"/>
      <c r="M136" s="673"/>
      <c r="N136" s="674"/>
      <c r="O136" s="672"/>
    </row>
    <row r="137" spans="1:15" ht="14.25" x14ac:dyDescent="0.2">
      <c r="A137" s="594"/>
      <c r="B137" s="586"/>
      <c r="C137" s="586"/>
      <c r="D137" s="117" t="s">
        <v>378</v>
      </c>
      <c r="E137" s="38">
        <v>77</v>
      </c>
      <c r="F137" s="34" t="s">
        <v>14</v>
      </c>
      <c r="G137" s="34" t="s">
        <v>14</v>
      </c>
      <c r="H137" s="34">
        <f>15000*117/100</f>
        <v>17550</v>
      </c>
      <c r="I137" s="34">
        <f t="shared" si="8"/>
        <v>17550</v>
      </c>
      <c r="J137" s="117"/>
      <c r="K137" s="715"/>
      <c r="L137" s="715"/>
      <c r="M137" s="673"/>
      <c r="N137" s="674"/>
      <c r="O137" s="672"/>
    </row>
    <row r="138" spans="1:15" ht="14.25" x14ac:dyDescent="0.2">
      <c r="A138" s="594"/>
      <c r="B138" s="586"/>
      <c r="C138" s="586"/>
      <c r="D138" s="117" t="s">
        <v>280</v>
      </c>
      <c r="E138" s="38">
        <v>50</v>
      </c>
      <c r="F138" s="34" t="s">
        <v>14</v>
      </c>
      <c r="G138" s="34" t="s">
        <v>14</v>
      </c>
      <c r="H138" s="34">
        <f>35000*117/100</f>
        <v>40950</v>
      </c>
      <c r="I138" s="34">
        <f t="shared" si="8"/>
        <v>40950</v>
      </c>
      <c r="J138" s="117"/>
      <c r="K138" s="715"/>
      <c r="L138" s="715"/>
      <c r="M138" s="673"/>
      <c r="N138" s="674"/>
      <c r="O138" s="672"/>
    </row>
    <row r="139" spans="1:15" ht="47.25" customHeight="1" x14ac:dyDescent="0.2">
      <c r="A139" s="594"/>
      <c r="B139" s="586"/>
      <c r="C139" s="586"/>
      <c r="D139" s="117" t="s">
        <v>435</v>
      </c>
      <c r="E139" s="38">
        <v>45</v>
      </c>
      <c r="F139" s="34" t="s">
        <v>14</v>
      </c>
      <c r="G139" s="34" t="s">
        <v>14</v>
      </c>
      <c r="H139" s="34">
        <f>45600*117/100</f>
        <v>53352</v>
      </c>
      <c r="I139" s="34">
        <f t="shared" si="8"/>
        <v>53352</v>
      </c>
      <c r="J139" s="117"/>
      <c r="K139" s="715"/>
      <c r="L139" s="715"/>
      <c r="M139" s="673"/>
      <c r="N139" s="674"/>
      <c r="O139" s="672"/>
    </row>
    <row r="140" spans="1:15" ht="14.25" x14ac:dyDescent="0.2">
      <c r="A140" s="595"/>
      <c r="B140" s="717"/>
      <c r="C140" s="718"/>
      <c r="D140" s="718"/>
      <c r="E140" s="718"/>
      <c r="F140" s="718"/>
      <c r="G140" s="718"/>
      <c r="H140" s="718"/>
      <c r="I140" s="718"/>
      <c r="J140" s="718"/>
      <c r="K140" s="718"/>
      <c r="L140" s="718"/>
      <c r="M140" s="718"/>
      <c r="N140" s="718"/>
      <c r="O140" s="719"/>
    </row>
    <row r="141" spans="1:15" ht="15.75" x14ac:dyDescent="0.2">
      <c r="A141" s="556" t="s">
        <v>436</v>
      </c>
      <c r="B141" s="557"/>
      <c r="C141" s="557"/>
      <c r="D141" s="557"/>
      <c r="E141" s="557"/>
      <c r="F141" s="557"/>
      <c r="G141" s="557"/>
      <c r="H141" s="557"/>
      <c r="I141" s="557"/>
      <c r="J141" s="557"/>
      <c r="K141" s="557"/>
      <c r="L141" s="557"/>
      <c r="M141" s="557"/>
      <c r="N141" s="557"/>
      <c r="O141" s="661"/>
    </row>
    <row r="142" spans="1:15" ht="30.6" customHeight="1" x14ac:dyDescent="0.2">
      <c r="A142" s="593">
        <v>19</v>
      </c>
      <c r="B142" s="585" t="s">
        <v>437</v>
      </c>
      <c r="C142" s="585" t="s">
        <v>89</v>
      </c>
      <c r="D142" s="13" t="s">
        <v>438</v>
      </c>
      <c r="E142" s="14">
        <v>100</v>
      </c>
      <c r="F142" s="15" t="s">
        <v>14</v>
      </c>
      <c r="G142" s="15" t="s">
        <v>14</v>
      </c>
      <c r="H142" s="15">
        <f>42000*117/100</f>
        <v>49140</v>
      </c>
      <c r="I142" s="15">
        <f>H142</f>
        <v>49140</v>
      </c>
      <c r="J142" s="13"/>
      <c r="K142" s="714" t="s">
        <v>15</v>
      </c>
      <c r="L142" s="714" t="s">
        <v>665</v>
      </c>
      <c r="M142" s="657">
        <f>I142*0.95</f>
        <v>46683</v>
      </c>
      <c r="N142" s="659" t="s">
        <v>18</v>
      </c>
      <c r="O142" s="671">
        <v>256030</v>
      </c>
    </row>
    <row r="143" spans="1:15" ht="25.5" x14ac:dyDescent="0.2">
      <c r="A143" s="594"/>
      <c r="B143" s="586"/>
      <c r="C143" s="586"/>
      <c r="D143" s="117" t="s">
        <v>439</v>
      </c>
      <c r="E143" s="38">
        <v>89</v>
      </c>
      <c r="F143" s="34" t="s">
        <v>14</v>
      </c>
      <c r="G143" s="34" t="s">
        <v>14</v>
      </c>
      <c r="H143" s="34">
        <f>50000*117/100</f>
        <v>58500</v>
      </c>
      <c r="I143" s="34">
        <f>H143</f>
        <v>58500</v>
      </c>
      <c r="J143" s="117"/>
      <c r="K143" s="715"/>
      <c r="L143" s="715"/>
      <c r="M143" s="673"/>
      <c r="N143" s="674"/>
      <c r="O143" s="672"/>
    </row>
    <row r="144" spans="1:15" ht="25.5" x14ac:dyDescent="0.2">
      <c r="A144" s="594"/>
      <c r="B144" s="586"/>
      <c r="C144" s="586"/>
      <c r="D144" s="117" t="s">
        <v>440</v>
      </c>
      <c r="E144" s="38">
        <v>60</v>
      </c>
      <c r="F144" s="34" t="s">
        <v>14</v>
      </c>
      <c r="G144" s="34" t="s">
        <v>14</v>
      </c>
      <c r="H144" s="34">
        <f>97800*117/100</f>
        <v>114426</v>
      </c>
      <c r="I144" s="34">
        <f>H144</f>
        <v>114426</v>
      </c>
      <c r="J144" s="117"/>
      <c r="K144" s="715"/>
      <c r="L144" s="715"/>
      <c r="M144" s="673"/>
      <c r="N144" s="674"/>
      <c r="O144" s="672"/>
    </row>
    <row r="145" spans="1:15" ht="51" x14ac:dyDescent="0.2">
      <c r="A145" s="594"/>
      <c r="B145" s="586"/>
      <c r="C145" s="586"/>
      <c r="D145" s="117" t="s">
        <v>441</v>
      </c>
      <c r="E145" s="38">
        <v>51</v>
      </c>
      <c r="F145" s="34" t="s">
        <v>14</v>
      </c>
      <c r="G145" s="34" t="s">
        <v>14</v>
      </c>
      <c r="H145" s="34">
        <f>140000*117/100</f>
        <v>163800</v>
      </c>
      <c r="I145" s="34">
        <f>H145</f>
        <v>163800</v>
      </c>
      <c r="J145" s="117"/>
      <c r="K145" s="715"/>
      <c r="L145" s="715"/>
      <c r="M145" s="673"/>
      <c r="N145" s="674"/>
      <c r="O145" s="672"/>
    </row>
    <row r="146" spans="1:15" ht="14.25" x14ac:dyDescent="0.2">
      <c r="A146" s="595"/>
      <c r="B146" s="717"/>
      <c r="C146" s="718"/>
      <c r="D146" s="718"/>
      <c r="E146" s="718"/>
      <c r="F146" s="718"/>
      <c r="G146" s="718"/>
      <c r="H146" s="718"/>
      <c r="I146" s="718"/>
      <c r="J146" s="718"/>
      <c r="K146" s="718"/>
      <c r="L146" s="718"/>
      <c r="M146" s="718"/>
      <c r="N146" s="718"/>
      <c r="O146" s="719"/>
    </row>
    <row r="147" spans="1:15" ht="15.75" x14ac:dyDescent="0.2">
      <c r="A147" s="556" t="s">
        <v>442</v>
      </c>
      <c r="B147" s="557"/>
      <c r="C147" s="557"/>
      <c r="D147" s="557"/>
      <c r="E147" s="557"/>
      <c r="F147" s="557"/>
      <c r="G147" s="557"/>
      <c r="H147" s="557"/>
      <c r="I147" s="557"/>
      <c r="J147" s="557"/>
      <c r="K147" s="557"/>
      <c r="L147" s="557"/>
      <c r="M147" s="557"/>
      <c r="N147" s="557"/>
      <c r="O147" s="661"/>
    </row>
    <row r="148" spans="1:15" ht="39.6" customHeight="1" x14ac:dyDescent="0.2">
      <c r="A148" s="593">
        <v>20</v>
      </c>
      <c r="B148" s="585" t="s">
        <v>443</v>
      </c>
      <c r="C148" s="585" t="s">
        <v>89</v>
      </c>
      <c r="D148" s="13" t="s">
        <v>444</v>
      </c>
      <c r="E148" s="14">
        <v>100</v>
      </c>
      <c r="F148" s="15" t="s">
        <v>14</v>
      </c>
      <c r="G148" s="15" t="s">
        <v>14</v>
      </c>
      <c r="H148" s="15">
        <f>8000*117/100</f>
        <v>9360</v>
      </c>
      <c r="I148" s="15">
        <f>H148</f>
        <v>9360</v>
      </c>
      <c r="J148" s="13"/>
      <c r="K148" s="714" t="s">
        <v>15</v>
      </c>
      <c r="L148" s="714" t="s">
        <v>609</v>
      </c>
      <c r="M148" s="657">
        <f>I148*0.95</f>
        <v>8892</v>
      </c>
      <c r="N148" s="659" t="s">
        <v>18</v>
      </c>
      <c r="O148" s="671">
        <v>256030</v>
      </c>
    </row>
    <row r="149" spans="1:15" ht="33" customHeight="1" x14ac:dyDescent="0.2">
      <c r="A149" s="594"/>
      <c r="B149" s="586"/>
      <c r="C149" s="586"/>
      <c r="D149" s="117" t="s">
        <v>445</v>
      </c>
      <c r="E149" s="38">
        <v>89</v>
      </c>
      <c r="F149" s="34" t="s">
        <v>14</v>
      </c>
      <c r="G149" s="34" t="s">
        <v>14</v>
      </c>
      <c r="H149" s="34">
        <f>10000*117/100</f>
        <v>11700</v>
      </c>
      <c r="I149" s="34">
        <f>H149</f>
        <v>11700</v>
      </c>
      <c r="J149" s="117"/>
      <c r="K149" s="715"/>
      <c r="L149" s="715"/>
      <c r="M149" s="673"/>
      <c r="N149" s="674"/>
      <c r="O149" s="672"/>
    </row>
    <row r="150" spans="1:15" ht="25.5" x14ac:dyDescent="0.2">
      <c r="A150" s="594"/>
      <c r="B150" s="586"/>
      <c r="C150" s="586"/>
      <c r="D150" s="117" t="s">
        <v>446</v>
      </c>
      <c r="E150" s="38">
        <v>89</v>
      </c>
      <c r="F150" s="34" t="s">
        <v>14</v>
      </c>
      <c r="G150" s="34" t="s">
        <v>14</v>
      </c>
      <c r="H150" s="34">
        <f>10000*117/100</f>
        <v>11700</v>
      </c>
      <c r="I150" s="34">
        <f>H150</f>
        <v>11700</v>
      </c>
      <c r="J150" s="117"/>
      <c r="K150" s="715"/>
      <c r="L150" s="715"/>
      <c r="M150" s="673"/>
      <c r="N150" s="674"/>
      <c r="O150" s="672"/>
    </row>
    <row r="151" spans="1:15" ht="25.5" x14ac:dyDescent="0.2">
      <c r="A151" s="594"/>
      <c r="B151" s="586"/>
      <c r="C151" s="586"/>
      <c r="D151" s="117" t="s">
        <v>447</v>
      </c>
      <c r="E151" s="38">
        <v>77</v>
      </c>
      <c r="F151" s="34" t="s">
        <v>14</v>
      </c>
      <c r="G151" s="34" t="s">
        <v>14</v>
      </c>
      <c r="H151" s="34">
        <f>12000*117/100</f>
        <v>14040</v>
      </c>
      <c r="I151" s="34">
        <f>H151</f>
        <v>14040</v>
      </c>
      <c r="J151" s="117"/>
      <c r="K151" s="715"/>
      <c r="L151" s="715"/>
      <c r="M151" s="673"/>
      <c r="N151" s="674"/>
      <c r="O151" s="672"/>
    </row>
    <row r="152" spans="1:15" ht="14.25" x14ac:dyDescent="0.2">
      <c r="A152" s="595"/>
      <c r="B152" s="717"/>
      <c r="C152" s="718"/>
      <c r="D152" s="718"/>
      <c r="E152" s="718"/>
      <c r="F152" s="718"/>
      <c r="G152" s="718"/>
      <c r="H152" s="718"/>
      <c r="I152" s="718"/>
      <c r="J152" s="718"/>
      <c r="K152" s="718"/>
      <c r="L152" s="718"/>
      <c r="M152" s="718"/>
      <c r="N152" s="718"/>
      <c r="O152" s="719"/>
    </row>
    <row r="153" spans="1:15" ht="15.75" x14ac:dyDescent="0.2">
      <c r="A153" s="556" t="s">
        <v>448</v>
      </c>
      <c r="B153" s="557"/>
      <c r="C153" s="557"/>
      <c r="D153" s="557"/>
      <c r="E153" s="557"/>
      <c r="F153" s="557"/>
      <c r="G153" s="557"/>
      <c r="H153" s="557"/>
      <c r="I153" s="557"/>
      <c r="J153" s="557"/>
      <c r="K153" s="557"/>
      <c r="L153" s="557"/>
      <c r="M153" s="557"/>
      <c r="N153" s="557"/>
      <c r="O153" s="661"/>
    </row>
    <row r="154" spans="1:15" ht="51" x14ac:dyDescent="0.2">
      <c r="A154" s="593">
        <v>21</v>
      </c>
      <c r="B154" s="585" t="s">
        <v>449</v>
      </c>
      <c r="C154" s="585" t="s">
        <v>89</v>
      </c>
      <c r="D154" s="13" t="s">
        <v>450</v>
      </c>
      <c r="E154" s="14">
        <v>100</v>
      </c>
      <c r="F154" s="15" t="s">
        <v>14</v>
      </c>
      <c r="G154" s="15" t="s">
        <v>14</v>
      </c>
      <c r="H154" s="15">
        <f>40200*117/100</f>
        <v>47034</v>
      </c>
      <c r="I154" s="15">
        <f>H154</f>
        <v>47034</v>
      </c>
      <c r="J154" s="13"/>
      <c r="K154" s="714" t="s">
        <v>15</v>
      </c>
      <c r="L154" s="714" t="s">
        <v>609</v>
      </c>
      <c r="M154" s="657">
        <f>I154*0.95</f>
        <v>44682.299999999996</v>
      </c>
      <c r="N154" s="659" t="s">
        <v>18</v>
      </c>
      <c r="O154" s="671">
        <v>256030</v>
      </c>
    </row>
    <row r="155" spans="1:15" ht="25.5" x14ac:dyDescent="0.2">
      <c r="A155" s="594"/>
      <c r="B155" s="586"/>
      <c r="C155" s="586"/>
      <c r="D155" s="117" t="s">
        <v>451</v>
      </c>
      <c r="E155" s="38">
        <v>68</v>
      </c>
      <c r="F155" s="34" t="s">
        <v>14</v>
      </c>
      <c r="G155" s="34" t="s">
        <v>14</v>
      </c>
      <c r="H155" s="34">
        <f>75000*117/100</f>
        <v>87750</v>
      </c>
      <c r="I155" s="34">
        <f>H155</f>
        <v>87750</v>
      </c>
      <c r="J155" s="117"/>
      <c r="K155" s="715"/>
      <c r="L155" s="715"/>
      <c r="M155" s="673"/>
      <c r="N155" s="674"/>
      <c r="O155" s="672"/>
    </row>
    <row r="156" spans="1:15" ht="25.5" x14ac:dyDescent="0.2">
      <c r="A156" s="594"/>
      <c r="B156" s="586"/>
      <c r="C156" s="586"/>
      <c r="D156" s="117" t="s">
        <v>256</v>
      </c>
      <c r="E156" s="38">
        <v>64</v>
      </c>
      <c r="F156" s="34" t="s">
        <v>14</v>
      </c>
      <c r="G156" s="34" t="s">
        <v>14</v>
      </c>
      <c r="H156" s="34">
        <f>83000*117/100</f>
        <v>97110</v>
      </c>
      <c r="I156" s="34">
        <f>H156</f>
        <v>97110</v>
      </c>
      <c r="J156" s="117"/>
      <c r="K156" s="715"/>
      <c r="L156" s="715"/>
      <c r="M156" s="673"/>
      <c r="N156" s="674"/>
      <c r="O156" s="672"/>
    </row>
    <row r="157" spans="1:15" ht="25.5" x14ac:dyDescent="0.2">
      <c r="A157" s="594"/>
      <c r="B157" s="586"/>
      <c r="C157" s="586"/>
      <c r="D157" s="117" t="s">
        <v>452</v>
      </c>
      <c r="E157" s="38">
        <v>61</v>
      </c>
      <c r="F157" s="34" t="s">
        <v>14</v>
      </c>
      <c r="G157" s="34" t="s">
        <v>14</v>
      </c>
      <c r="H157" s="34">
        <f>90000*117/100</f>
        <v>105300</v>
      </c>
      <c r="I157" s="34">
        <f>H157</f>
        <v>105300</v>
      </c>
      <c r="J157" s="117"/>
      <c r="K157" s="715"/>
      <c r="L157" s="715"/>
      <c r="M157" s="673"/>
      <c r="N157" s="674"/>
      <c r="O157" s="672"/>
    </row>
    <row r="158" spans="1:15" ht="14.25" x14ac:dyDescent="0.2">
      <c r="A158" s="595"/>
      <c r="B158" s="717"/>
      <c r="C158" s="718"/>
      <c r="D158" s="718"/>
      <c r="E158" s="718"/>
      <c r="F158" s="718"/>
      <c r="G158" s="718"/>
      <c r="H158" s="718"/>
      <c r="I158" s="718"/>
      <c r="J158" s="718"/>
      <c r="K158" s="718"/>
      <c r="L158" s="718"/>
      <c r="M158" s="718"/>
      <c r="N158" s="718"/>
      <c r="O158" s="719"/>
    </row>
    <row r="159" spans="1:15" ht="15.75" x14ac:dyDescent="0.2">
      <c r="A159" s="556" t="s">
        <v>453</v>
      </c>
      <c r="B159" s="557"/>
      <c r="C159" s="557"/>
      <c r="D159" s="557"/>
      <c r="E159" s="557"/>
      <c r="F159" s="557"/>
      <c r="G159" s="557"/>
      <c r="H159" s="557"/>
      <c r="I159" s="557"/>
      <c r="J159" s="557"/>
      <c r="K159" s="557"/>
      <c r="L159" s="557"/>
      <c r="M159" s="557"/>
      <c r="N159" s="557"/>
      <c r="O159" s="661"/>
    </row>
    <row r="160" spans="1:15" ht="41.45" customHeight="1" x14ac:dyDescent="0.2">
      <c r="A160" s="593">
        <v>22</v>
      </c>
      <c r="B160" s="585" t="s">
        <v>454</v>
      </c>
      <c r="C160" s="585" t="s">
        <v>89</v>
      </c>
      <c r="D160" s="13" t="s">
        <v>283</v>
      </c>
      <c r="E160" s="14">
        <v>100</v>
      </c>
      <c r="F160" s="15" t="s">
        <v>14</v>
      </c>
      <c r="G160" s="15" t="s">
        <v>14</v>
      </c>
      <c r="H160" s="15">
        <f>2800*117/100</f>
        <v>3276</v>
      </c>
      <c r="I160" s="15">
        <f>H160</f>
        <v>3276</v>
      </c>
      <c r="J160" s="13"/>
      <c r="K160" s="714" t="s">
        <v>15</v>
      </c>
      <c r="L160" s="714" t="s">
        <v>609</v>
      </c>
      <c r="M160" s="657">
        <f>I160*0.95</f>
        <v>3112.2</v>
      </c>
      <c r="N160" s="659" t="s">
        <v>18</v>
      </c>
      <c r="O160" s="671">
        <v>256030</v>
      </c>
    </row>
    <row r="161" spans="1:15" ht="25.5" x14ac:dyDescent="0.2">
      <c r="A161" s="594"/>
      <c r="B161" s="586"/>
      <c r="C161" s="586"/>
      <c r="D161" s="117" t="s">
        <v>278</v>
      </c>
      <c r="E161" s="38">
        <v>82</v>
      </c>
      <c r="F161" s="34" t="s">
        <v>14</v>
      </c>
      <c r="G161" s="34" t="s">
        <v>14</v>
      </c>
      <c r="H161" s="34">
        <f>3800*117/100</f>
        <v>4446</v>
      </c>
      <c r="I161" s="34">
        <f>H161</f>
        <v>4446</v>
      </c>
      <c r="J161" s="117"/>
      <c r="K161" s="715"/>
      <c r="L161" s="715"/>
      <c r="M161" s="673"/>
      <c r="N161" s="674"/>
      <c r="O161" s="672"/>
    </row>
    <row r="162" spans="1:15" ht="25.5" x14ac:dyDescent="0.2">
      <c r="A162" s="594"/>
      <c r="B162" s="586"/>
      <c r="C162" s="586"/>
      <c r="D162" s="117" t="s">
        <v>455</v>
      </c>
      <c r="E162" s="38">
        <v>63</v>
      </c>
      <c r="F162" s="34" t="s">
        <v>14</v>
      </c>
      <c r="G162" s="34" t="s">
        <v>14</v>
      </c>
      <c r="H162" s="34">
        <f>6000*117/100</f>
        <v>7020</v>
      </c>
      <c r="I162" s="34">
        <f>H162</f>
        <v>7020</v>
      </c>
      <c r="J162" s="117"/>
      <c r="K162" s="715"/>
      <c r="L162" s="715"/>
      <c r="M162" s="673"/>
      <c r="N162" s="674"/>
      <c r="O162" s="672"/>
    </row>
    <row r="163" spans="1:15" ht="25.5" x14ac:dyDescent="0.2">
      <c r="A163" s="594"/>
      <c r="B163" s="586"/>
      <c r="C163" s="586"/>
      <c r="D163" s="117" t="s">
        <v>285</v>
      </c>
      <c r="E163" s="38">
        <v>60</v>
      </c>
      <c r="F163" s="34" t="s">
        <v>14</v>
      </c>
      <c r="G163" s="34" t="s">
        <v>14</v>
      </c>
      <c r="H163" s="34">
        <f>6500*117/100</f>
        <v>7605</v>
      </c>
      <c r="I163" s="34">
        <f>H163</f>
        <v>7605</v>
      </c>
      <c r="J163" s="117"/>
      <c r="K163" s="715"/>
      <c r="L163" s="715"/>
      <c r="M163" s="673"/>
      <c r="N163" s="674"/>
      <c r="O163" s="672"/>
    </row>
    <row r="164" spans="1:15" ht="14.25" x14ac:dyDescent="0.2">
      <c r="A164" s="595"/>
      <c r="B164" s="717"/>
      <c r="C164" s="718"/>
      <c r="D164" s="718"/>
      <c r="E164" s="718"/>
      <c r="F164" s="718"/>
      <c r="G164" s="718"/>
      <c r="H164" s="718"/>
      <c r="I164" s="718"/>
      <c r="J164" s="718"/>
      <c r="K164" s="718"/>
      <c r="L164" s="718"/>
      <c r="M164" s="718"/>
      <c r="N164" s="718"/>
      <c r="O164" s="719"/>
    </row>
    <row r="165" spans="1:15" ht="15.75" x14ac:dyDescent="0.2">
      <c r="A165" s="556" t="s">
        <v>456</v>
      </c>
      <c r="B165" s="557"/>
      <c r="C165" s="557"/>
      <c r="D165" s="557"/>
      <c r="E165" s="557"/>
      <c r="F165" s="557"/>
      <c r="G165" s="557"/>
      <c r="H165" s="557"/>
      <c r="I165" s="557"/>
      <c r="J165" s="557"/>
      <c r="K165" s="557"/>
      <c r="L165" s="557"/>
      <c r="M165" s="557"/>
      <c r="N165" s="557"/>
      <c r="O165" s="661"/>
    </row>
    <row r="166" spans="1:15" ht="14.25" x14ac:dyDescent="0.2">
      <c r="A166" s="593">
        <v>23</v>
      </c>
      <c r="B166" s="585" t="s">
        <v>457</v>
      </c>
      <c r="C166" s="585" t="s">
        <v>89</v>
      </c>
      <c r="D166" s="13" t="s">
        <v>445</v>
      </c>
      <c r="E166" s="14">
        <v>100</v>
      </c>
      <c r="F166" s="15" t="s">
        <v>14</v>
      </c>
      <c r="G166" s="15" t="s">
        <v>14</v>
      </c>
      <c r="H166" s="15">
        <f>18000*117/100</f>
        <v>21060</v>
      </c>
      <c r="I166" s="15">
        <f t="shared" ref="I166:I171" si="9">H166</f>
        <v>21060</v>
      </c>
      <c r="J166" s="13"/>
      <c r="K166" s="714" t="s">
        <v>15</v>
      </c>
      <c r="L166" s="714" t="s">
        <v>609</v>
      </c>
      <c r="M166" s="657">
        <f>I166*0.95</f>
        <v>20007</v>
      </c>
      <c r="N166" s="659" t="s">
        <v>18</v>
      </c>
      <c r="O166" s="671">
        <v>256030</v>
      </c>
    </row>
    <row r="167" spans="1:15" ht="25.5" x14ac:dyDescent="0.2">
      <c r="A167" s="594"/>
      <c r="B167" s="586"/>
      <c r="C167" s="586"/>
      <c r="D167" s="117" t="s">
        <v>446</v>
      </c>
      <c r="E167" s="38">
        <v>75</v>
      </c>
      <c r="F167" s="34" t="s">
        <v>14</v>
      </c>
      <c r="G167" s="34" t="s">
        <v>14</v>
      </c>
      <c r="H167" s="34">
        <f>28000*117/100</f>
        <v>32760</v>
      </c>
      <c r="I167" s="34">
        <f t="shared" si="9"/>
        <v>32760</v>
      </c>
      <c r="J167" s="117"/>
      <c r="K167" s="715"/>
      <c r="L167" s="715"/>
      <c r="M167" s="673"/>
      <c r="N167" s="674"/>
      <c r="O167" s="672"/>
    </row>
    <row r="168" spans="1:15" ht="25.5" x14ac:dyDescent="0.2">
      <c r="A168" s="594"/>
      <c r="B168" s="586"/>
      <c r="C168" s="586"/>
      <c r="D168" s="117" t="s">
        <v>458</v>
      </c>
      <c r="E168" s="38">
        <v>62</v>
      </c>
      <c r="F168" s="34" t="s">
        <v>14</v>
      </c>
      <c r="G168" s="34" t="s">
        <v>14</v>
      </c>
      <c r="H168" s="34">
        <f>40000*117/100</f>
        <v>46800</v>
      </c>
      <c r="I168" s="34">
        <f t="shared" si="9"/>
        <v>46800</v>
      </c>
      <c r="J168" s="117"/>
      <c r="K168" s="715"/>
      <c r="L168" s="715"/>
      <c r="M168" s="673"/>
      <c r="N168" s="674"/>
      <c r="O168" s="672"/>
    </row>
    <row r="169" spans="1:15" ht="51" x14ac:dyDescent="0.2">
      <c r="A169" s="594"/>
      <c r="B169" s="586"/>
      <c r="C169" s="586"/>
      <c r="D169" s="117" t="s">
        <v>459</v>
      </c>
      <c r="E169" s="38">
        <v>54</v>
      </c>
      <c r="F169" s="34" t="s">
        <v>14</v>
      </c>
      <c r="G169" s="34" t="s">
        <v>14</v>
      </c>
      <c r="H169" s="34">
        <f>52000*117/100</f>
        <v>60840</v>
      </c>
      <c r="I169" s="34">
        <f t="shared" si="9"/>
        <v>60840</v>
      </c>
      <c r="J169" s="117"/>
      <c r="K169" s="715"/>
      <c r="L169" s="715"/>
      <c r="M169" s="673"/>
      <c r="N169" s="674"/>
      <c r="O169" s="672"/>
    </row>
    <row r="170" spans="1:15" ht="25.5" x14ac:dyDescent="0.2">
      <c r="A170" s="594"/>
      <c r="B170" s="586"/>
      <c r="C170" s="586"/>
      <c r="D170" s="117" t="s">
        <v>460</v>
      </c>
      <c r="E170" s="38">
        <v>53</v>
      </c>
      <c r="F170" s="34" t="s">
        <v>14</v>
      </c>
      <c r="G170" s="34" t="s">
        <v>14</v>
      </c>
      <c r="H170" s="34">
        <f>55800*117/100</f>
        <v>65286</v>
      </c>
      <c r="I170" s="34">
        <f t="shared" si="9"/>
        <v>65286</v>
      </c>
      <c r="J170" s="117"/>
      <c r="K170" s="715"/>
      <c r="L170" s="715"/>
      <c r="M170" s="673"/>
      <c r="N170" s="674"/>
      <c r="O170" s="672"/>
    </row>
    <row r="171" spans="1:15" ht="25.5" x14ac:dyDescent="0.2">
      <c r="A171" s="594"/>
      <c r="B171" s="586"/>
      <c r="C171" s="586"/>
      <c r="D171" s="117" t="s">
        <v>461</v>
      </c>
      <c r="E171" s="38">
        <v>45</v>
      </c>
      <c r="F171" s="34" t="s">
        <v>14</v>
      </c>
      <c r="G171" s="34" t="s">
        <v>14</v>
      </c>
      <c r="H171" s="34">
        <f>83000*117/100</f>
        <v>97110</v>
      </c>
      <c r="I171" s="34">
        <f t="shared" si="9"/>
        <v>97110</v>
      </c>
      <c r="J171" s="117"/>
      <c r="K171" s="715"/>
      <c r="L171" s="715"/>
      <c r="M171" s="673"/>
      <c r="N171" s="674"/>
      <c r="O171" s="672"/>
    </row>
    <row r="172" spans="1:15" ht="14.25" x14ac:dyDescent="0.2">
      <c r="A172" s="595"/>
      <c r="B172" s="717"/>
      <c r="C172" s="718"/>
      <c r="D172" s="718"/>
      <c r="E172" s="718"/>
      <c r="F172" s="718"/>
      <c r="G172" s="718"/>
      <c r="H172" s="718"/>
      <c r="I172" s="718"/>
      <c r="J172" s="718"/>
      <c r="K172" s="718"/>
      <c r="L172" s="718"/>
      <c r="M172" s="718"/>
      <c r="N172" s="718"/>
      <c r="O172" s="719"/>
    </row>
    <row r="173" spans="1:15" ht="15.75" x14ac:dyDescent="0.2">
      <c r="A173" s="556" t="s">
        <v>462</v>
      </c>
      <c r="B173" s="557"/>
      <c r="C173" s="557"/>
      <c r="D173" s="557"/>
      <c r="E173" s="557"/>
      <c r="F173" s="557"/>
      <c r="G173" s="557"/>
      <c r="H173" s="557"/>
      <c r="I173" s="557"/>
      <c r="J173" s="557"/>
      <c r="K173" s="557"/>
      <c r="L173" s="557"/>
      <c r="M173" s="557"/>
      <c r="N173" s="557"/>
      <c r="O173" s="661"/>
    </row>
    <row r="174" spans="1:15" ht="31.9" customHeight="1" x14ac:dyDescent="0.2">
      <c r="A174" s="593">
        <v>24</v>
      </c>
      <c r="B174" s="585" t="s">
        <v>463</v>
      </c>
      <c r="C174" s="585" t="s">
        <v>89</v>
      </c>
      <c r="D174" s="13" t="s">
        <v>378</v>
      </c>
      <c r="E174" s="14">
        <v>100</v>
      </c>
      <c r="F174" s="15" t="s">
        <v>14</v>
      </c>
      <c r="G174" s="15" t="s">
        <v>14</v>
      </c>
      <c r="H174" s="15">
        <f>14000*117/100</f>
        <v>16380</v>
      </c>
      <c r="I174" s="15">
        <f>H174</f>
        <v>16380</v>
      </c>
      <c r="J174" s="13"/>
      <c r="K174" s="714" t="s">
        <v>15</v>
      </c>
      <c r="L174" s="714" t="s">
        <v>609</v>
      </c>
      <c r="M174" s="657">
        <f>I174*0.95</f>
        <v>15561</v>
      </c>
      <c r="N174" s="659" t="s">
        <v>18</v>
      </c>
      <c r="O174" s="671">
        <v>256030</v>
      </c>
    </row>
    <row r="175" spans="1:15" ht="38.25" x14ac:dyDescent="0.2">
      <c r="A175" s="594"/>
      <c r="B175" s="586"/>
      <c r="C175" s="586"/>
      <c r="D175" s="117" t="s">
        <v>464</v>
      </c>
      <c r="E175" s="38">
        <v>96</v>
      </c>
      <c r="F175" s="34" t="s">
        <v>14</v>
      </c>
      <c r="G175" s="34" t="s">
        <v>14</v>
      </c>
      <c r="H175" s="34">
        <f>14800*117/100</f>
        <v>17316</v>
      </c>
      <c r="I175" s="34">
        <f>H175</f>
        <v>17316</v>
      </c>
      <c r="J175" s="117"/>
      <c r="K175" s="715"/>
      <c r="L175" s="715"/>
      <c r="M175" s="673"/>
      <c r="N175" s="674"/>
      <c r="O175" s="672"/>
    </row>
    <row r="176" spans="1:15" ht="25.5" x14ac:dyDescent="0.2">
      <c r="A176" s="594"/>
      <c r="B176" s="586"/>
      <c r="C176" s="586"/>
      <c r="D176" s="117" t="s">
        <v>465</v>
      </c>
      <c r="E176" s="38">
        <v>84</v>
      </c>
      <c r="F176" s="34" t="s">
        <v>14</v>
      </c>
      <c r="G176" s="34" t="s">
        <v>14</v>
      </c>
      <c r="H176" s="34">
        <f>18000*117/100</f>
        <v>21060</v>
      </c>
      <c r="I176" s="34">
        <f>H176</f>
        <v>21060</v>
      </c>
      <c r="J176" s="117"/>
      <c r="K176" s="715"/>
      <c r="L176" s="715"/>
      <c r="M176" s="673"/>
      <c r="N176" s="674"/>
      <c r="O176" s="672"/>
    </row>
    <row r="177" spans="1:17" ht="25.5" x14ac:dyDescent="0.2">
      <c r="A177" s="594"/>
      <c r="B177" s="586"/>
      <c r="C177" s="586"/>
      <c r="D177" s="117" t="s">
        <v>466</v>
      </c>
      <c r="E177" s="38">
        <v>79</v>
      </c>
      <c r="F177" s="34" t="s">
        <v>14</v>
      </c>
      <c r="G177" s="34" t="s">
        <v>14</v>
      </c>
      <c r="H177" s="34">
        <f>19800*117/100</f>
        <v>23166</v>
      </c>
      <c r="I177" s="34">
        <f>H177</f>
        <v>23166</v>
      </c>
      <c r="J177" s="117"/>
      <c r="K177" s="715"/>
      <c r="L177" s="715"/>
      <c r="M177" s="673"/>
      <c r="N177" s="674"/>
      <c r="O177" s="672"/>
    </row>
    <row r="178" spans="1:17" ht="14.25" x14ac:dyDescent="0.2">
      <c r="A178" s="595"/>
      <c r="B178" s="717"/>
      <c r="C178" s="718"/>
      <c r="D178" s="718"/>
      <c r="E178" s="718"/>
      <c r="F178" s="718"/>
      <c r="G178" s="718"/>
      <c r="H178" s="718"/>
      <c r="I178" s="718"/>
      <c r="J178" s="718"/>
      <c r="K178" s="718"/>
      <c r="L178" s="718"/>
      <c r="M178" s="718"/>
      <c r="N178" s="718"/>
      <c r="O178" s="719"/>
    </row>
    <row r="179" spans="1:17" ht="15.75" x14ac:dyDescent="0.2">
      <c r="A179" s="556" t="s">
        <v>467</v>
      </c>
      <c r="B179" s="557"/>
      <c r="C179" s="557"/>
      <c r="D179" s="557"/>
      <c r="E179" s="557"/>
      <c r="F179" s="557"/>
      <c r="G179" s="557"/>
      <c r="H179" s="557"/>
      <c r="I179" s="557"/>
      <c r="J179" s="557"/>
      <c r="K179" s="557"/>
      <c r="L179" s="557"/>
      <c r="M179" s="557"/>
      <c r="N179" s="557"/>
      <c r="O179" s="661"/>
    </row>
    <row r="180" spans="1:17" ht="114.75" x14ac:dyDescent="0.2">
      <c r="A180" s="720">
        <v>25</v>
      </c>
      <c r="B180" s="114" t="s">
        <v>468</v>
      </c>
      <c r="C180" s="114" t="s">
        <v>88</v>
      </c>
      <c r="D180" s="16" t="s">
        <v>469</v>
      </c>
      <c r="E180" s="17">
        <v>100</v>
      </c>
      <c r="F180" s="18" t="s">
        <v>14</v>
      </c>
      <c r="G180" s="18" t="s">
        <v>14</v>
      </c>
      <c r="H180" s="18">
        <f>35417*117/100</f>
        <v>41437.89</v>
      </c>
      <c r="I180" s="18">
        <f>H180</f>
        <v>41437.89</v>
      </c>
      <c r="J180" s="16"/>
      <c r="K180" s="115" t="s">
        <v>116</v>
      </c>
      <c r="L180" s="120" t="s">
        <v>504</v>
      </c>
      <c r="M180" s="57">
        <f>I180*0.9</f>
        <v>37294.101000000002</v>
      </c>
      <c r="N180" s="116" t="s">
        <v>18</v>
      </c>
      <c r="O180" s="58"/>
    </row>
    <row r="181" spans="1:17" ht="14.25" x14ac:dyDescent="0.2">
      <c r="A181" s="721"/>
      <c r="B181" s="717" t="s">
        <v>470</v>
      </c>
      <c r="C181" s="718"/>
      <c r="D181" s="718"/>
      <c r="E181" s="718"/>
      <c r="F181" s="718"/>
      <c r="G181" s="718"/>
      <c r="H181" s="718"/>
      <c r="I181" s="718"/>
      <c r="J181" s="718"/>
      <c r="K181" s="718"/>
      <c r="L181" s="718"/>
      <c r="M181" s="718"/>
      <c r="N181" s="718"/>
      <c r="O181" s="719"/>
    </row>
    <row r="182" spans="1:17" ht="15.75" x14ac:dyDescent="0.2">
      <c r="A182" s="556" t="s">
        <v>471</v>
      </c>
      <c r="B182" s="557"/>
      <c r="C182" s="557"/>
      <c r="D182" s="557"/>
      <c r="E182" s="557"/>
      <c r="F182" s="557"/>
      <c r="G182" s="557"/>
      <c r="H182" s="557"/>
      <c r="I182" s="557"/>
      <c r="J182" s="557"/>
      <c r="K182" s="557"/>
      <c r="L182" s="557"/>
      <c r="M182" s="557"/>
      <c r="N182" s="557"/>
      <c r="O182" s="661"/>
    </row>
    <row r="183" spans="1:17" ht="34.15" customHeight="1" x14ac:dyDescent="0.2">
      <c r="A183" s="593">
        <v>26</v>
      </c>
      <c r="B183" s="585" t="s">
        <v>472</v>
      </c>
      <c r="C183" s="585" t="s">
        <v>88</v>
      </c>
      <c r="D183" s="13" t="s">
        <v>473</v>
      </c>
      <c r="E183" s="14">
        <v>87</v>
      </c>
      <c r="F183" s="15" t="s">
        <v>14</v>
      </c>
      <c r="G183" s="15" t="s">
        <v>14</v>
      </c>
      <c r="H183" s="15">
        <f>180000*117/100</f>
        <v>210600</v>
      </c>
      <c r="I183" s="15">
        <f>H183</f>
        <v>210600</v>
      </c>
      <c r="J183" s="13"/>
      <c r="K183" s="714" t="s">
        <v>15</v>
      </c>
      <c r="L183" s="714" t="s">
        <v>504</v>
      </c>
      <c r="M183" s="657">
        <f>I183*0.9</f>
        <v>189540</v>
      </c>
      <c r="N183" s="659"/>
      <c r="O183" s="671">
        <v>2440132950</v>
      </c>
    </row>
    <row r="184" spans="1:17" ht="37.9" customHeight="1" x14ac:dyDescent="0.2">
      <c r="A184" s="594"/>
      <c r="B184" s="586"/>
      <c r="C184" s="586"/>
      <c r="D184" s="117" t="s">
        <v>474</v>
      </c>
      <c r="E184" s="38">
        <v>84</v>
      </c>
      <c r="F184" s="34" t="s">
        <v>14</v>
      </c>
      <c r="G184" s="34" t="s">
        <v>14</v>
      </c>
      <c r="H184" s="34">
        <f>190000*117/100</f>
        <v>222300</v>
      </c>
      <c r="I184" s="34">
        <f>H184</f>
        <v>222300</v>
      </c>
      <c r="J184" s="117"/>
      <c r="K184" s="715"/>
      <c r="L184" s="715"/>
      <c r="M184" s="673"/>
      <c r="N184" s="674"/>
      <c r="O184" s="672"/>
    </row>
    <row r="185" spans="1:17" ht="25.5" x14ac:dyDescent="0.2">
      <c r="A185" s="594"/>
      <c r="B185" s="586"/>
      <c r="C185" s="586"/>
      <c r="D185" s="117" t="s">
        <v>475</v>
      </c>
      <c r="E185" s="38">
        <v>82</v>
      </c>
      <c r="F185" s="34" t="s">
        <v>14</v>
      </c>
      <c r="G185" s="34" t="s">
        <v>14</v>
      </c>
      <c r="H185" s="34">
        <f>146640*117/100</f>
        <v>171568.8</v>
      </c>
      <c r="I185" s="34">
        <f>H185</f>
        <v>171568.8</v>
      </c>
      <c r="J185" s="117"/>
      <c r="K185" s="715"/>
      <c r="L185" s="715"/>
      <c r="M185" s="673"/>
      <c r="N185" s="674"/>
      <c r="O185" s="672"/>
    </row>
    <row r="186" spans="1:17" ht="25.5" x14ac:dyDescent="0.2">
      <c r="A186" s="594"/>
      <c r="B186" s="586"/>
      <c r="C186" s="586"/>
      <c r="D186" s="117" t="s">
        <v>476</v>
      </c>
      <c r="E186" s="38">
        <v>72</v>
      </c>
      <c r="F186" s="34" t="s">
        <v>14</v>
      </c>
      <c r="G186" s="34" t="s">
        <v>14</v>
      </c>
      <c r="H186" s="34">
        <f>240000*117/100</f>
        <v>280800</v>
      </c>
      <c r="I186" s="34">
        <f>H186</f>
        <v>280800</v>
      </c>
      <c r="J186" s="117"/>
      <c r="K186" s="715"/>
      <c r="L186" s="715"/>
      <c r="M186" s="673"/>
      <c r="N186" s="674"/>
      <c r="O186" s="672"/>
    </row>
    <row r="187" spans="1:17" ht="14.25" x14ac:dyDescent="0.2">
      <c r="A187" s="595"/>
      <c r="B187" s="717"/>
      <c r="C187" s="718"/>
      <c r="D187" s="718"/>
      <c r="E187" s="718"/>
      <c r="F187" s="718"/>
      <c r="G187" s="718"/>
      <c r="H187" s="718"/>
      <c r="I187" s="718"/>
      <c r="J187" s="718"/>
      <c r="K187" s="718"/>
      <c r="L187" s="718"/>
      <c r="M187" s="718"/>
      <c r="N187" s="718"/>
      <c r="O187" s="719"/>
    </row>
    <row r="188" spans="1:17" ht="15.75" x14ac:dyDescent="0.2">
      <c r="A188" s="556" t="s">
        <v>477</v>
      </c>
      <c r="B188" s="557"/>
      <c r="C188" s="557"/>
      <c r="D188" s="557"/>
      <c r="E188" s="557"/>
      <c r="F188" s="557"/>
      <c r="G188" s="557"/>
      <c r="H188" s="557"/>
      <c r="I188" s="557"/>
      <c r="J188" s="557"/>
      <c r="K188" s="557"/>
      <c r="L188" s="557"/>
      <c r="M188" s="557"/>
      <c r="N188" s="557"/>
      <c r="O188" s="661"/>
      <c r="P188" s="10"/>
      <c r="Q188" s="11"/>
    </row>
    <row r="189" spans="1:17" ht="38.25" x14ac:dyDescent="0.2">
      <c r="A189" s="593">
        <v>27</v>
      </c>
      <c r="B189" s="585" t="s">
        <v>478</v>
      </c>
      <c r="C189" s="585" t="s">
        <v>479</v>
      </c>
      <c r="D189" s="124" t="s">
        <v>480</v>
      </c>
      <c r="E189" s="125">
        <v>100</v>
      </c>
      <c r="F189" s="98" t="s">
        <v>12</v>
      </c>
      <c r="G189" s="98" t="s">
        <v>481</v>
      </c>
      <c r="H189" s="98">
        <f>250*117/100</f>
        <v>292.5</v>
      </c>
      <c r="I189" s="98">
        <f>H189*70*8</f>
        <v>163800</v>
      </c>
      <c r="J189" s="124"/>
      <c r="K189" s="560" t="s">
        <v>186</v>
      </c>
      <c r="L189" s="560" t="s">
        <v>485</v>
      </c>
      <c r="M189" s="657"/>
      <c r="N189" s="731"/>
      <c r="O189" s="671"/>
    </row>
    <row r="190" spans="1:17" ht="38.25" x14ac:dyDescent="0.2">
      <c r="A190" s="594"/>
      <c r="B190" s="586"/>
      <c r="C190" s="586"/>
      <c r="D190" s="19" t="s">
        <v>482</v>
      </c>
      <c r="E190" s="24">
        <v>94</v>
      </c>
      <c r="F190" s="34" t="s">
        <v>12</v>
      </c>
      <c r="G190" s="12" t="s">
        <v>481</v>
      </c>
      <c r="H190" s="12">
        <f>250*117/100</f>
        <v>292.5</v>
      </c>
      <c r="I190" s="12">
        <f>H190*70*8</f>
        <v>163800</v>
      </c>
      <c r="J190" s="117"/>
      <c r="K190" s="561"/>
      <c r="L190" s="561"/>
      <c r="M190" s="673"/>
      <c r="N190" s="732"/>
      <c r="O190" s="672"/>
    </row>
    <row r="191" spans="1:17" ht="38.25" x14ac:dyDescent="0.2">
      <c r="A191" s="594"/>
      <c r="B191" s="586"/>
      <c r="C191" s="586"/>
      <c r="D191" s="117" t="s">
        <v>483</v>
      </c>
      <c r="E191" s="38">
        <v>90</v>
      </c>
      <c r="F191" s="34" t="s">
        <v>12</v>
      </c>
      <c r="G191" s="12" t="s">
        <v>481</v>
      </c>
      <c r="H191" s="12">
        <f>290*117/100</f>
        <v>339.3</v>
      </c>
      <c r="I191" s="12">
        <f>H191*70*8</f>
        <v>190008</v>
      </c>
      <c r="J191" s="117"/>
      <c r="K191" s="561"/>
      <c r="L191" s="561"/>
      <c r="M191" s="673"/>
      <c r="N191" s="732"/>
      <c r="O191" s="672"/>
    </row>
    <row r="192" spans="1:17" ht="14.25" x14ac:dyDescent="0.2">
      <c r="A192" s="595"/>
      <c r="B192" s="581"/>
      <c r="C192" s="582"/>
      <c r="D192" s="582"/>
      <c r="E192" s="582"/>
      <c r="F192" s="582"/>
      <c r="G192" s="582"/>
      <c r="H192" s="582"/>
      <c r="I192" s="582"/>
      <c r="J192" s="582"/>
      <c r="K192" s="582"/>
      <c r="L192" s="582"/>
      <c r="M192" s="582"/>
      <c r="N192" s="582"/>
      <c r="O192" s="583"/>
    </row>
    <row r="193" spans="1:13" ht="8.25" customHeight="1" x14ac:dyDescent="0.2">
      <c r="A193" s="20"/>
      <c r="B193" s="39"/>
      <c r="C193" s="39"/>
      <c r="D193" s="39"/>
      <c r="E193" s="39"/>
      <c r="F193" s="39"/>
      <c r="G193" s="39"/>
      <c r="H193" s="39"/>
      <c r="I193" s="39"/>
      <c r="J193" s="39"/>
      <c r="K193" s="39"/>
      <c r="L193" s="39"/>
      <c r="M193" s="39"/>
    </row>
    <row r="194" spans="1:13" x14ac:dyDescent="0.2">
      <c r="B194" s="23"/>
    </row>
  </sheetData>
  <mergeCells count="262">
    <mergeCell ref="A118:O118"/>
    <mergeCell ref="A119:A123"/>
    <mergeCell ref="B119:B122"/>
    <mergeCell ref="C119:C122"/>
    <mergeCell ref="K119:K122"/>
    <mergeCell ref="L119:L122"/>
    <mergeCell ref="M119:M122"/>
    <mergeCell ref="N119:N122"/>
    <mergeCell ref="O119:O122"/>
    <mergeCell ref="B123:O123"/>
    <mergeCell ref="A112:O112"/>
    <mergeCell ref="A113:A117"/>
    <mergeCell ref="B113:B116"/>
    <mergeCell ref="C113:C116"/>
    <mergeCell ref="K113:K116"/>
    <mergeCell ref="L113:L116"/>
    <mergeCell ref="M113:M116"/>
    <mergeCell ref="N113:N116"/>
    <mergeCell ref="O113:O116"/>
    <mergeCell ref="B117:O117"/>
    <mergeCell ref="A106:O106"/>
    <mergeCell ref="A107:A111"/>
    <mergeCell ref="B107:B110"/>
    <mergeCell ref="C107:C110"/>
    <mergeCell ref="K107:K110"/>
    <mergeCell ref="L107:L110"/>
    <mergeCell ref="M107:M110"/>
    <mergeCell ref="N107:N110"/>
    <mergeCell ref="O107:O110"/>
    <mergeCell ref="B111:O111"/>
    <mergeCell ref="A100:O100"/>
    <mergeCell ref="A101:A105"/>
    <mergeCell ref="B101:B104"/>
    <mergeCell ref="C101:C104"/>
    <mergeCell ref="K101:K104"/>
    <mergeCell ref="L101:L104"/>
    <mergeCell ref="M101:M104"/>
    <mergeCell ref="N101:N104"/>
    <mergeCell ref="O101:O104"/>
    <mergeCell ref="B105:O105"/>
    <mergeCell ref="A92:O92"/>
    <mergeCell ref="A93:A99"/>
    <mergeCell ref="B93:B98"/>
    <mergeCell ref="C93:C98"/>
    <mergeCell ref="K93:K98"/>
    <mergeCell ref="L93:L98"/>
    <mergeCell ref="M93:M98"/>
    <mergeCell ref="N93:N98"/>
    <mergeCell ref="O93:O98"/>
    <mergeCell ref="B99:O99"/>
    <mergeCell ref="A86:O86"/>
    <mergeCell ref="A87:A91"/>
    <mergeCell ref="B87:B90"/>
    <mergeCell ref="C87:C90"/>
    <mergeCell ref="K87:K90"/>
    <mergeCell ref="L87:L90"/>
    <mergeCell ref="M87:M90"/>
    <mergeCell ref="N87:N90"/>
    <mergeCell ref="O87:O90"/>
    <mergeCell ref="B91:O91"/>
    <mergeCell ref="A78:O78"/>
    <mergeCell ref="A79:A85"/>
    <mergeCell ref="B79:B84"/>
    <mergeCell ref="C79:C84"/>
    <mergeCell ref="K79:K84"/>
    <mergeCell ref="L79:L84"/>
    <mergeCell ref="M79:M84"/>
    <mergeCell ref="N79:N84"/>
    <mergeCell ref="O79:O84"/>
    <mergeCell ref="B85:O85"/>
    <mergeCell ref="A70:O70"/>
    <mergeCell ref="A71:A77"/>
    <mergeCell ref="B71:B76"/>
    <mergeCell ref="C71:C76"/>
    <mergeCell ref="K71:K76"/>
    <mergeCell ref="L71:L76"/>
    <mergeCell ref="M71:M76"/>
    <mergeCell ref="N71:N76"/>
    <mergeCell ref="O71:O76"/>
    <mergeCell ref="B77:O77"/>
    <mergeCell ref="A62:O62"/>
    <mergeCell ref="A63:A69"/>
    <mergeCell ref="B63:B68"/>
    <mergeCell ref="C63:C68"/>
    <mergeCell ref="K63:K68"/>
    <mergeCell ref="L63:L68"/>
    <mergeCell ref="M63:M68"/>
    <mergeCell ref="N63:N68"/>
    <mergeCell ref="O63:O68"/>
    <mergeCell ref="B69:O69"/>
    <mergeCell ref="A51:O51"/>
    <mergeCell ref="A52:A61"/>
    <mergeCell ref="B52:B60"/>
    <mergeCell ref="C52:C60"/>
    <mergeCell ref="K52:K60"/>
    <mergeCell ref="L52:L60"/>
    <mergeCell ref="M52:M60"/>
    <mergeCell ref="N52:N60"/>
    <mergeCell ref="O52:O60"/>
    <mergeCell ref="B61:O61"/>
    <mergeCell ref="A42:O42"/>
    <mergeCell ref="A43:A50"/>
    <mergeCell ref="B43:B49"/>
    <mergeCell ref="C43:C49"/>
    <mergeCell ref="K43:K49"/>
    <mergeCell ref="L43:L49"/>
    <mergeCell ref="M43:M49"/>
    <mergeCell ref="N43:N49"/>
    <mergeCell ref="O43:O49"/>
    <mergeCell ref="B50:O50"/>
    <mergeCell ref="A33:O33"/>
    <mergeCell ref="A34:A41"/>
    <mergeCell ref="B34:B40"/>
    <mergeCell ref="C34:C40"/>
    <mergeCell ref="K34:K40"/>
    <mergeCell ref="L34:L40"/>
    <mergeCell ref="M34:M40"/>
    <mergeCell ref="N34:N40"/>
    <mergeCell ref="O34:O40"/>
    <mergeCell ref="B41:O41"/>
    <mergeCell ref="A23:O23"/>
    <mergeCell ref="A24:A32"/>
    <mergeCell ref="B24:B31"/>
    <mergeCell ref="C24:C31"/>
    <mergeCell ref="K24:K31"/>
    <mergeCell ref="L24:L31"/>
    <mergeCell ref="M24:M31"/>
    <mergeCell ref="N24:N31"/>
    <mergeCell ref="O24:O31"/>
    <mergeCell ref="B32:O32"/>
    <mergeCell ref="L8:L12"/>
    <mergeCell ref="M8:M12"/>
    <mergeCell ref="N8:N12"/>
    <mergeCell ref="O8:O12"/>
    <mergeCell ref="B13:O13"/>
    <mergeCell ref="N18:N21"/>
    <mergeCell ref="O18:O21"/>
    <mergeCell ref="B22:O22"/>
    <mergeCell ref="A17:O17"/>
    <mergeCell ref="A18:A22"/>
    <mergeCell ref="B18:B21"/>
    <mergeCell ref="C18:C21"/>
    <mergeCell ref="K18:K21"/>
    <mergeCell ref="L18:L21"/>
    <mergeCell ref="M18:M21"/>
    <mergeCell ref="A1:A6"/>
    <mergeCell ref="B1:O1"/>
    <mergeCell ref="B2:O2"/>
    <mergeCell ref="B3:O3"/>
    <mergeCell ref="B4:O4"/>
    <mergeCell ref="B5:O5"/>
    <mergeCell ref="A124:O124"/>
    <mergeCell ref="A125:A130"/>
    <mergeCell ref="B125:B129"/>
    <mergeCell ref="C125:C129"/>
    <mergeCell ref="K125:K129"/>
    <mergeCell ref="L125:L129"/>
    <mergeCell ref="M125:M129"/>
    <mergeCell ref="N125:N129"/>
    <mergeCell ref="O125:O129"/>
    <mergeCell ref="B130:O130"/>
    <mergeCell ref="A14:O14"/>
    <mergeCell ref="A15:A16"/>
    <mergeCell ref="B16:O16"/>
    <mergeCell ref="A7:O7"/>
    <mergeCell ref="A8:A13"/>
    <mergeCell ref="B8:B12"/>
    <mergeCell ref="C8:C12"/>
    <mergeCell ref="K8:K12"/>
    <mergeCell ref="A131:O131"/>
    <mergeCell ref="A132:A140"/>
    <mergeCell ref="B132:B139"/>
    <mergeCell ref="C132:C139"/>
    <mergeCell ref="K132:K139"/>
    <mergeCell ref="L132:L139"/>
    <mergeCell ref="M132:M139"/>
    <mergeCell ref="N132:N139"/>
    <mergeCell ref="O132:O139"/>
    <mergeCell ref="B140:O140"/>
    <mergeCell ref="A141:O141"/>
    <mergeCell ref="A142:A146"/>
    <mergeCell ref="B142:B145"/>
    <mergeCell ref="C142:C145"/>
    <mergeCell ref="K142:K145"/>
    <mergeCell ref="L142:L145"/>
    <mergeCell ref="M142:M145"/>
    <mergeCell ref="N142:N145"/>
    <mergeCell ref="O142:O145"/>
    <mergeCell ref="B146:O146"/>
    <mergeCell ref="A147:O147"/>
    <mergeCell ref="A148:A152"/>
    <mergeCell ref="B148:B151"/>
    <mergeCell ref="C148:C151"/>
    <mergeCell ref="K148:K151"/>
    <mergeCell ref="L148:L151"/>
    <mergeCell ref="M148:M151"/>
    <mergeCell ref="N148:N151"/>
    <mergeCell ref="O148:O151"/>
    <mergeCell ref="B152:O152"/>
    <mergeCell ref="A153:O153"/>
    <mergeCell ref="A154:A158"/>
    <mergeCell ref="B154:B157"/>
    <mergeCell ref="C154:C157"/>
    <mergeCell ref="K154:K157"/>
    <mergeCell ref="L154:L157"/>
    <mergeCell ref="M154:M157"/>
    <mergeCell ref="N154:N157"/>
    <mergeCell ref="O154:O157"/>
    <mergeCell ref="B158:O158"/>
    <mergeCell ref="A159:O159"/>
    <mergeCell ref="A160:A164"/>
    <mergeCell ref="B160:B163"/>
    <mergeCell ref="C160:C163"/>
    <mergeCell ref="K160:K163"/>
    <mergeCell ref="L160:L163"/>
    <mergeCell ref="M160:M163"/>
    <mergeCell ref="N160:N163"/>
    <mergeCell ref="O160:O163"/>
    <mergeCell ref="B164:O164"/>
    <mergeCell ref="A165:O165"/>
    <mergeCell ref="A166:A172"/>
    <mergeCell ref="B166:B171"/>
    <mergeCell ref="C166:C171"/>
    <mergeCell ref="K166:K171"/>
    <mergeCell ref="L166:L171"/>
    <mergeCell ref="M166:M171"/>
    <mergeCell ref="N166:N171"/>
    <mergeCell ref="O166:O171"/>
    <mergeCell ref="B172:O172"/>
    <mergeCell ref="A173:O173"/>
    <mergeCell ref="A174:A178"/>
    <mergeCell ref="B174:B177"/>
    <mergeCell ref="C174:C177"/>
    <mergeCell ref="K174:K177"/>
    <mergeCell ref="L174:L177"/>
    <mergeCell ref="M174:M177"/>
    <mergeCell ref="N174:N177"/>
    <mergeCell ref="O174:O177"/>
    <mergeCell ref="B178:O178"/>
    <mergeCell ref="A179:O179"/>
    <mergeCell ref="A180:A181"/>
    <mergeCell ref="B181:O181"/>
    <mergeCell ref="A182:O182"/>
    <mergeCell ref="A183:A187"/>
    <mergeCell ref="B183:B186"/>
    <mergeCell ref="C183:C186"/>
    <mergeCell ref="K183:K186"/>
    <mergeCell ref="L183:L186"/>
    <mergeCell ref="M183:M186"/>
    <mergeCell ref="N183:N186"/>
    <mergeCell ref="O183:O186"/>
    <mergeCell ref="B187:O187"/>
    <mergeCell ref="A188:O188"/>
    <mergeCell ref="A189:A192"/>
    <mergeCell ref="B189:B191"/>
    <mergeCell ref="C189:C191"/>
    <mergeCell ref="K189:K191"/>
    <mergeCell ref="L189:L191"/>
    <mergeCell ref="M189:M191"/>
    <mergeCell ref="N189:N191"/>
    <mergeCell ref="O189:O191"/>
    <mergeCell ref="B192:O192"/>
  </mergeCells>
  <phoneticPr fontId="18" type="noConversion"/>
  <pageMargins left="0.25" right="0.25" top="0.75" bottom="0.75" header="0.3" footer="0.3"/>
  <pageSetup paperSize="9" scale="72" fitToHeight="0" orientation="landscape" r:id="rId1"/>
  <rowBreaks count="4" manualBreakCount="4">
    <brk id="32" max="16383" man="1"/>
    <brk id="61" max="16383" man="1"/>
    <brk id="146" max="16383" man="1"/>
    <brk id="172"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F5707-5661-41E6-BFEE-76D17211B946}">
  <sheetPr>
    <pageSetUpPr fitToPage="1"/>
  </sheetPr>
  <dimension ref="A1:O16"/>
  <sheetViews>
    <sheetView rightToLeft="1" topLeftCell="A7" zoomScale="85" zoomScaleNormal="85" workbookViewId="0">
      <selection activeCell="A16" sqref="A16:XFD16"/>
    </sheetView>
  </sheetViews>
  <sheetFormatPr defaultColWidth="8.75" defaultRowHeight="15" x14ac:dyDescent="0.2"/>
  <cols>
    <col min="1" max="1" width="4.25" customWidth="1"/>
    <col min="2" max="2" width="21.125" style="6" bestFit="1" customWidth="1"/>
    <col min="4" max="4" width="7.25" customWidth="1"/>
    <col min="5" max="5" width="7.75" customWidth="1"/>
    <col min="6" max="6" width="10.25" bestFit="1" customWidth="1"/>
    <col min="7" max="7" width="12.125" style="7" bestFit="1" customWidth="1"/>
    <col min="8" max="8" width="13.625" style="8" bestFit="1" customWidth="1"/>
    <col min="9" max="9" width="16" style="8" bestFit="1" customWidth="1"/>
    <col min="10" max="10" width="9" customWidth="1"/>
    <col min="11" max="11" width="12.875" style="9" customWidth="1"/>
    <col min="12" max="12" width="19.375" style="9" customWidth="1"/>
    <col min="13" max="13" width="15" style="9" customWidth="1"/>
    <col min="14" max="14" width="10.875" style="10" customWidth="1"/>
    <col min="15" max="15" width="13" style="11" customWidth="1"/>
  </cols>
  <sheetData>
    <row r="1" spans="1:15" ht="20.25" x14ac:dyDescent="0.2">
      <c r="A1" s="571"/>
      <c r="B1" s="572" t="s">
        <v>491</v>
      </c>
      <c r="C1" s="572"/>
      <c r="D1" s="572"/>
      <c r="E1" s="572"/>
      <c r="F1" s="572"/>
      <c r="G1" s="572"/>
      <c r="H1" s="572"/>
      <c r="I1" s="572"/>
      <c r="J1" s="572"/>
      <c r="K1" s="572"/>
      <c r="L1" s="572"/>
      <c r="M1" s="572"/>
      <c r="N1" s="572"/>
      <c r="O1" s="572"/>
    </row>
    <row r="2" spans="1:15" ht="14.25" x14ac:dyDescent="0.2">
      <c r="A2" s="571"/>
      <c r="B2" s="573" t="s">
        <v>131</v>
      </c>
      <c r="C2" s="573"/>
      <c r="D2" s="573"/>
      <c r="E2" s="573"/>
      <c r="F2" s="573"/>
      <c r="G2" s="573"/>
      <c r="H2" s="573"/>
      <c r="I2" s="573"/>
      <c r="J2" s="573"/>
      <c r="K2" s="573"/>
      <c r="L2" s="573"/>
      <c r="M2" s="573"/>
      <c r="N2" s="573"/>
      <c r="O2" s="573"/>
    </row>
    <row r="3" spans="1:15" ht="15.75" x14ac:dyDescent="0.2">
      <c r="A3" s="571"/>
      <c r="B3" s="712" t="s">
        <v>324</v>
      </c>
      <c r="C3" s="712"/>
      <c r="D3" s="712"/>
      <c r="E3" s="712"/>
      <c r="F3" s="712"/>
      <c r="G3" s="712"/>
      <c r="H3" s="712"/>
      <c r="I3" s="712"/>
      <c r="J3" s="712"/>
      <c r="K3" s="712"/>
      <c r="L3" s="712"/>
      <c r="M3" s="712"/>
      <c r="N3" s="712"/>
      <c r="O3" s="712"/>
    </row>
    <row r="4" spans="1:15" ht="14.25" x14ac:dyDescent="0.2">
      <c r="A4" s="571"/>
      <c r="B4" s="713" t="s">
        <v>52</v>
      </c>
      <c r="C4" s="713"/>
      <c r="D4" s="713"/>
      <c r="E4" s="713"/>
      <c r="F4" s="713"/>
      <c r="G4" s="713"/>
      <c r="H4" s="713"/>
      <c r="I4" s="713"/>
      <c r="J4" s="713"/>
      <c r="K4" s="713"/>
      <c r="L4" s="713"/>
      <c r="M4" s="713"/>
      <c r="N4" s="713"/>
      <c r="O4" s="713"/>
    </row>
    <row r="5" spans="1:15" ht="14.25" x14ac:dyDescent="0.2">
      <c r="A5" s="571"/>
      <c r="B5" s="713" t="s">
        <v>51</v>
      </c>
      <c r="C5" s="713"/>
      <c r="D5" s="713"/>
      <c r="E5" s="713"/>
      <c r="F5" s="713"/>
      <c r="G5" s="713"/>
      <c r="H5" s="713"/>
      <c r="I5" s="713"/>
      <c r="J5" s="713"/>
      <c r="K5" s="713"/>
      <c r="L5" s="713"/>
      <c r="M5" s="713"/>
      <c r="N5" s="713"/>
      <c r="O5" s="713"/>
    </row>
    <row r="6" spans="1:15" ht="46.5" customHeight="1" x14ac:dyDescent="0.2">
      <c r="A6" s="571"/>
      <c r="B6" s="48" t="s">
        <v>0</v>
      </c>
      <c r="C6" s="102" t="s">
        <v>1</v>
      </c>
      <c r="D6" s="103" t="s">
        <v>2</v>
      </c>
      <c r="E6" s="103" t="s">
        <v>3</v>
      </c>
      <c r="F6" s="103" t="s">
        <v>4</v>
      </c>
      <c r="G6" s="103" t="s">
        <v>5</v>
      </c>
      <c r="H6" s="2" t="s">
        <v>6</v>
      </c>
      <c r="I6" s="3" t="s">
        <v>7</v>
      </c>
      <c r="J6" s="103" t="s">
        <v>8</v>
      </c>
      <c r="K6" s="103" t="s">
        <v>9</v>
      </c>
      <c r="L6" s="103" t="s">
        <v>95</v>
      </c>
      <c r="M6" s="101" t="s">
        <v>96</v>
      </c>
      <c r="N6" s="35" t="s">
        <v>10</v>
      </c>
      <c r="O6" s="103" t="s">
        <v>11</v>
      </c>
    </row>
    <row r="7" spans="1:15" ht="15.75" x14ac:dyDescent="0.2">
      <c r="A7" s="556" t="s">
        <v>325</v>
      </c>
      <c r="B7" s="557"/>
      <c r="C7" s="557"/>
      <c r="D7" s="557"/>
      <c r="E7" s="557"/>
      <c r="F7" s="557"/>
      <c r="G7" s="557"/>
      <c r="H7" s="557"/>
      <c r="I7" s="557"/>
      <c r="J7" s="557"/>
      <c r="K7" s="557"/>
      <c r="L7" s="557"/>
      <c r="M7" s="557"/>
      <c r="N7" s="557"/>
      <c r="O7" s="661"/>
    </row>
    <row r="8" spans="1:15" ht="46.9" customHeight="1" x14ac:dyDescent="0.2">
      <c r="A8" s="593">
        <v>1</v>
      </c>
      <c r="B8" s="585" t="s">
        <v>326</v>
      </c>
      <c r="C8" s="585" t="s">
        <v>327</v>
      </c>
      <c r="D8" s="16" t="s">
        <v>328</v>
      </c>
      <c r="E8" s="17">
        <v>100</v>
      </c>
      <c r="F8" s="18" t="s">
        <v>14</v>
      </c>
      <c r="G8" s="18" t="s">
        <v>14</v>
      </c>
      <c r="H8" s="18">
        <f>(22500+12450)*117/100</f>
        <v>40891.5</v>
      </c>
      <c r="I8" s="18">
        <f>H8</f>
        <v>40891.5</v>
      </c>
      <c r="J8" s="16" t="s">
        <v>13</v>
      </c>
      <c r="K8" s="560" t="s">
        <v>15</v>
      </c>
      <c r="L8" s="560" t="s">
        <v>97</v>
      </c>
      <c r="M8" s="652">
        <f>I8</f>
        <v>40891.5</v>
      </c>
      <c r="N8" s="731"/>
      <c r="O8" s="671" t="s">
        <v>331</v>
      </c>
    </row>
    <row r="9" spans="1:15" ht="46.9" customHeight="1" x14ac:dyDescent="0.2">
      <c r="A9" s="594"/>
      <c r="B9" s="586"/>
      <c r="C9" s="586"/>
      <c r="D9" s="19" t="s">
        <v>329</v>
      </c>
      <c r="E9" s="24">
        <v>61</v>
      </c>
      <c r="F9" s="12" t="s">
        <v>14</v>
      </c>
      <c r="G9" s="12" t="s">
        <v>14</v>
      </c>
      <c r="H9" s="12">
        <f>80000*117/100</f>
        <v>93600</v>
      </c>
      <c r="I9" s="12">
        <f>H9</f>
        <v>93600</v>
      </c>
      <c r="J9" s="19" t="s">
        <v>13</v>
      </c>
      <c r="K9" s="561"/>
      <c r="L9" s="561"/>
      <c r="M9" s="653"/>
      <c r="N9" s="732"/>
      <c r="O9" s="672"/>
    </row>
    <row r="10" spans="1:15" ht="45" customHeight="1" x14ac:dyDescent="0.2">
      <c r="A10" s="594"/>
      <c r="B10" s="596"/>
      <c r="C10" s="596"/>
      <c r="D10" s="19" t="s">
        <v>330</v>
      </c>
      <c r="E10" s="24">
        <v>50</v>
      </c>
      <c r="F10" s="34" t="s">
        <v>14</v>
      </c>
      <c r="G10" s="12" t="s">
        <v>14</v>
      </c>
      <c r="H10" s="12">
        <f>120000*117/100</f>
        <v>140400</v>
      </c>
      <c r="I10" s="12">
        <f>H10</f>
        <v>140400</v>
      </c>
      <c r="J10" s="100" t="s">
        <v>13</v>
      </c>
      <c r="K10" s="562"/>
      <c r="L10" s="562"/>
      <c r="M10" s="786"/>
      <c r="N10" s="733"/>
      <c r="O10" s="705"/>
    </row>
    <row r="11" spans="1:15" ht="14.25" customHeight="1" x14ac:dyDescent="0.2">
      <c r="A11" s="595"/>
      <c r="B11" s="581"/>
      <c r="C11" s="582"/>
      <c r="D11" s="582"/>
      <c r="E11" s="582"/>
      <c r="F11" s="582"/>
      <c r="G11" s="582"/>
      <c r="H11" s="582"/>
      <c r="I11" s="582"/>
      <c r="J11" s="582"/>
      <c r="K11" s="582"/>
      <c r="L11" s="582"/>
      <c r="M11" s="582"/>
      <c r="N11" s="582"/>
      <c r="O11" s="583"/>
    </row>
    <row r="12" spans="1:15" ht="15.75" x14ac:dyDescent="0.2">
      <c r="A12" s="556" t="s">
        <v>339</v>
      </c>
      <c r="B12" s="557"/>
      <c r="C12" s="557"/>
      <c r="D12" s="557"/>
      <c r="E12" s="557"/>
      <c r="F12" s="557"/>
      <c r="G12" s="557"/>
      <c r="H12" s="557"/>
      <c r="I12" s="557"/>
      <c r="J12" s="557"/>
      <c r="K12" s="557"/>
      <c r="L12" s="557"/>
      <c r="M12" s="557"/>
      <c r="N12" s="557"/>
      <c r="O12" s="661"/>
    </row>
    <row r="13" spans="1:15" ht="38.25" x14ac:dyDescent="0.2">
      <c r="A13" s="720">
        <v>7</v>
      </c>
      <c r="B13" s="104" t="s">
        <v>337</v>
      </c>
      <c r="C13" s="104" t="s">
        <v>335</v>
      </c>
      <c r="D13" s="16" t="s">
        <v>126</v>
      </c>
      <c r="E13" s="17">
        <v>92</v>
      </c>
      <c r="F13" s="18" t="s">
        <v>129</v>
      </c>
      <c r="G13" s="18" t="s">
        <v>336</v>
      </c>
      <c r="H13" s="18">
        <f>42000*117/100</f>
        <v>49140</v>
      </c>
      <c r="I13" s="18">
        <f>H13*4</f>
        <v>196560</v>
      </c>
      <c r="J13" s="16" t="s">
        <v>13</v>
      </c>
      <c r="K13" s="105" t="s">
        <v>116</v>
      </c>
      <c r="L13" s="105" t="s">
        <v>97</v>
      </c>
      <c r="M13" s="57">
        <f>I13</f>
        <v>196560</v>
      </c>
      <c r="N13" s="106"/>
      <c r="O13" s="58">
        <v>1712200750</v>
      </c>
    </row>
    <row r="14" spans="1:15" ht="25.15" customHeight="1" x14ac:dyDescent="0.2">
      <c r="A14" s="721"/>
      <c r="B14" s="717" t="s">
        <v>338</v>
      </c>
      <c r="C14" s="718"/>
      <c r="D14" s="718"/>
      <c r="E14" s="718"/>
      <c r="F14" s="718"/>
      <c r="G14" s="718"/>
      <c r="H14" s="718"/>
      <c r="I14" s="718"/>
      <c r="J14" s="718"/>
      <c r="K14" s="718"/>
      <c r="L14" s="718"/>
      <c r="M14" s="718"/>
      <c r="N14" s="718"/>
      <c r="O14" s="719"/>
    </row>
    <row r="15" spans="1:15" ht="15.75" x14ac:dyDescent="0.2">
      <c r="A15" s="20"/>
      <c r="B15" s="39"/>
      <c r="C15" s="39"/>
      <c r="D15" s="39"/>
      <c r="E15" s="39"/>
      <c r="F15" s="39"/>
      <c r="G15" s="39"/>
      <c r="H15" s="39"/>
      <c r="I15" s="39"/>
      <c r="J15" s="39"/>
      <c r="K15" s="39"/>
      <c r="L15" s="39"/>
      <c r="M15" s="39"/>
    </row>
    <row r="16" spans="1:15" x14ac:dyDescent="0.2">
      <c r="B16" s="23"/>
    </row>
  </sheetData>
  <mergeCells count="19">
    <mergeCell ref="A1:A6"/>
    <mergeCell ref="B1:O1"/>
    <mergeCell ref="B2:O2"/>
    <mergeCell ref="B3:O3"/>
    <mergeCell ref="B4:O4"/>
    <mergeCell ref="B5:O5"/>
    <mergeCell ref="A12:O12"/>
    <mergeCell ref="A13:A14"/>
    <mergeCell ref="B14:O14"/>
    <mergeCell ref="A7:O7"/>
    <mergeCell ref="A8:A11"/>
    <mergeCell ref="B8:B10"/>
    <mergeCell ref="C8:C10"/>
    <mergeCell ref="K8:K10"/>
    <mergeCell ref="L8:L10"/>
    <mergeCell ref="M8:M10"/>
    <mergeCell ref="N8:N10"/>
    <mergeCell ref="O8:O10"/>
    <mergeCell ref="B11:O11"/>
  </mergeCells>
  <pageMargins left="0.25" right="0.25" top="0.75" bottom="0.75" header="0.3" footer="0.3"/>
  <pageSetup paperSize="9" scale="72" fitToHeight="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12016A-FC3F-425A-8467-402A7F1E0C64}">
  <sheetPr>
    <pageSetUpPr fitToPage="1"/>
  </sheetPr>
  <dimension ref="A1:Q145"/>
  <sheetViews>
    <sheetView rightToLeft="1" topLeftCell="A133" zoomScale="85" zoomScaleNormal="85" workbookViewId="0">
      <selection activeCell="A145" sqref="A145:XFD145"/>
    </sheetView>
  </sheetViews>
  <sheetFormatPr defaultColWidth="8.75" defaultRowHeight="15" x14ac:dyDescent="0.2"/>
  <cols>
    <col min="1" max="1" width="4.25" customWidth="1"/>
    <col min="2" max="2" width="21.125" style="6" bestFit="1" customWidth="1"/>
    <col min="4" max="4" width="7.25" customWidth="1"/>
    <col min="5" max="5" width="7.75" customWidth="1"/>
    <col min="6" max="6" width="10.25" bestFit="1" customWidth="1"/>
    <col min="7" max="7" width="12.125" style="7" bestFit="1" customWidth="1"/>
    <col min="8" max="8" width="13.625" style="8" bestFit="1" customWidth="1"/>
    <col min="9" max="9" width="16" style="8" bestFit="1" customWidth="1"/>
    <col min="10" max="10" width="9" customWidth="1"/>
    <col min="11" max="11" width="12.875" style="9" customWidth="1"/>
    <col min="12" max="12" width="19.375" style="9" customWidth="1"/>
    <col min="13" max="13" width="15" style="9" customWidth="1"/>
    <col min="14" max="14" width="10.875" style="10" customWidth="1"/>
    <col min="15" max="15" width="13" style="11" customWidth="1"/>
  </cols>
  <sheetData>
    <row r="1" spans="1:17" ht="20.25" x14ac:dyDescent="0.2">
      <c r="A1" s="571"/>
      <c r="B1" s="572" t="s">
        <v>316</v>
      </c>
      <c r="C1" s="572"/>
      <c r="D1" s="572"/>
      <c r="E1" s="572"/>
      <c r="F1" s="572"/>
      <c r="G1" s="572"/>
      <c r="H1" s="572"/>
      <c r="I1" s="572"/>
      <c r="J1" s="572"/>
      <c r="K1" s="572"/>
      <c r="L1" s="572"/>
      <c r="M1" s="572"/>
      <c r="N1" s="572"/>
      <c r="O1" s="572"/>
    </row>
    <row r="2" spans="1:17" ht="14.25" x14ac:dyDescent="0.2">
      <c r="A2" s="571"/>
      <c r="B2" s="573" t="s">
        <v>131</v>
      </c>
      <c r="C2" s="573"/>
      <c r="D2" s="573"/>
      <c r="E2" s="573"/>
      <c r="F2" s="573"/>
      <c r="G2" s="573"/>
      <c r="H2" s="573"/>
      <c r="I2" s="573"/>
      <c r="J2" s="573"/>
      <c r="K2" s="573"/>
      <c r="L2" s="573"/>
      <c r="M2" s="573"/>
      <c r="N2" s="573"/>
      <c r="O2" s="573"/>
    </row>
    <row r="3" spans="1:17" ht="15.75" x14ac:dyDescent="0.2">
      <c r="A3" s="571"/>
      <c r="B3" s="712" t="s">
        <v>101</v>
      </c>
      <c r="C3" s="712"/>
      <c r="D3" s="712"/>
      <c r="E3" s="712"/>
      <c r="F3" s="712"/>
      <c r="G3" s="712"/>
      <c r="H3" s="712"/>
      <c r="I3" s="712"/>
      <c r="J3" s="712"/>
      <c r="K3" s="712"/>
      <c r="L3" s="712"/>
      <c r="M3" s="712"/>
      <c r="N3" s="712"/>
      <c r="O3" s="712"/>
    </row>
    <row r="4" spans="1:17" ht="14.25" x14ac:dyDescent="0.2">
      <c r="A4" s="571"/>
      <c r="B4" s="713" t="s">
        <v>52</v>
      </c>
      <c r="C4" s="713"/>
      <c r="D4" s="713"/>
      <c r="E4" s="713"/>
      <c r="F4" s="713"/>
      <c r="G4" s="713"/>
      <c r="H4" s="713"/>
      <c r="I4" s="713"/>
      <c r="J4" s="713"/>
      <c r="K4" s="713"/>
      <c r="L4" s="713"/>
      <c r="M4" s="713"/>
      <c r="N4" s="713"/>
      <c r="O4" s="713"/>
    </row>
    <row r="5" spans="1:17" ht="14.25" x14ac:dyDescent="0.2">
      <c r="A5" s="571"/>
      <c r="B5" s="713" t="s">
        <v>51</v>
      </c>
      <c r="C5" s="713"/>
      <c r="D5" s="713"/>
      <c r="E5" s="713"/>
      <c r="F5" s="713"/>
      <c r="G5" s="713"/>
      <c r="H5" s="713"/>
      <c r="I5" s="713"/>
      <c r="J5" s="713"/>
      <c r="K5" s="713"/>
      <c r="L5" s="713"/>
      <c r="M5" s="713"/>
      <c r="N5" s="713"/>
      <c r="O5" s="713"/>
    </row>
    <row r="6" spans="1:17" ht="46.5" customHeight="1" x14ac:dyDescent="0.2">
      <c r="A6" s="571"/>
      <c r="B6" s="48" t="s">
        <v>0</v>
      </c>
      <c r="C6" s="84" t="s">
        <v>1</v>
      </c>
      <c r="D6" s="87" t="s">
        <v>2</v>
      </c>
      <c r="E6" s="87" t="s">
        <v>3</v>
      </c>
      <c r="F6" s="87" t="s">
        <v>4</v>
      </c>
      <c r="G6" s="87" t="s">
        <v>5</v>
      </c>
      <c r="H6" s="2" t="s">
        <v>6</v>
      </c>
      <c r="I6" s="3" t="s">
        <v>7</v>
      </c>
      <c r="J6" s="87" t="s">
        <v>8</v>
      </c>
      <c r="K6" s="87" t="s">
        <v>9</v>
      </c>
      <c r="L6" s="87" t="s">
        <v>95</v>
      </c>
      <c r="M6" s="88" t="s">
        <v>96</v>
      </c>
      <c r="N6" s="35" t="s">
        <v>10</v>
      </c>
      <c r="O6" s="87" t="s">
        <v>11</v>
      </c>
    </row>
    <row r="7" spans="1:17" ht="15.75" x14ac:dyDescent="0.2">
      <c r="A7" s="556" t="s">
        <v>196</v>
      </c>
      <c r="B7" s="557"/>
      <c r="C7" s="557"/>
      <c r="D7" s="557"/>
      <c r="E7" s="557"/>
      <c r="F7" s="557"/>
      <c r="G7" s="557"/>
      <c r="H7" s="557"/>
      <c r="I7" s="557"/>
      <c r="J7" s="557"/>
      <c r="K7" s="557"/>
      <c r="L7" s="557"/>
      <c r="M7" s="557"/>
      <c r="N7" s="557"/>
      <c r="O7" s="661"/>
    </row>
    <row r="8" spans="1:17" ht="46.9" customHeight="1" x14ac:dyDescent="0.2">
      <c r="A8" s="593">
        <v>1</v>
      </c>
      <c r="B8" s="585" t="s">
        <v>190</v>
      </c>
      <c r="C8" s="585" t="s">
        <v>191</v>
      </c>
      <c r="D8" s="31" t="s">
        <v>192</v>
      </c>
      <c r="E8" s="29">
        <v>100</v>
      </c>
      <c r="F8" s="30" t="s">
        <v>129</v>
      </c>
      <c r="G8" s="30" t="s">
        <v>193</v>
      </c>
      <c r="H8" s="30">
        <f>15850*117/100</f>
        <v>18544.5</v>
      </c>
      <c r="I8" s="30">
        <f>H8*12</f>
        <v>222534</v>
      </c>
      <c r="J8" s="31" t="s">
        <v>13</v>
      </c>
      <c r="K8" s="560" t="s">
        <v>15</v>
      </c>
      <c r="L8" s="560" t="s">
        <v>313</v>
      </c>
      <c r="M8" s="652">
        <f>150*1.17*100</f>
        <v>17550</v>
      </c>
      <c r="N8" s="731" t="s">
        <v>18</v>
      </c>
      <c r="O8" s="671">
        <v>1252100410</v>
      </c>
    </row>
    <row r="9" spans="1:17" ht="45" customHeight="1" x14ac:dyDescent="0.2">
      <c r="A9" s="594"/>
      <c r="B9" s="596"/>
      <c r="C9" s="596"/>
      <c r="D9" s="19" t="s">
        <v>194</v>
      </c>
      <c r="E9" s="24">
        <v>95</v>
      </c>
      <c r="F9" s="34" t="s">
        <v>129</v>
      </c>
      <c r="G9" s="12" t="s">
        <v>193</v>
      </c>
      <c r="H9" s="12">
        <f>17000*117/100</f>
        <v>19890</v>
      </c>
      <c r="I9" s="12">
        <f>H9*12</f>
        <v>238680</v>
      </c>
      <c r="J9" s="85" t="s">
        <v>13</v>
      </c>
      <c r="K9" s="562"/>
      <c r="L9" s="562"/>
      <c r="M9" s="786"/>
      <c r="N9" s="733"/>
      <c r="O9" s="705"/>
    </row>
    <row r="10" spans="1:17" ht="14.25" customHeight="1" x14ac:dyDescent="0.2">
      <c r="A10" s="595"/>
      <c r="B10" s="581" t="s">
        <v>195</v>
      </c>
      <c r="C10" s="582"/>
      <c r="D10" s="582"/>
      <c r="E10" s="582"/>
      <c r="F10" s="582"/>
      <c r="G10" s="582"/>
      <c r="H10" s="582"/>
      <c r="I10" s="582"/>
      <c r="J10" s="582"/>
      <c r="K10" s="582"/>
      <c r="L10" s="582"/>
      <c r="M10" s="582"/>
      <c r="N10" s="582"/>
      <c r="O10" s="583"/>
    </row>
    <row r="11" spans="1:17" ht="15.75" x14ac:dyDescent="0.2">
      <c r="A11" s="556" t="s">
        <v>198</v>
      </c>
      <c r="B11" s="557"/>
      <c r="C11" s="557"/>
      <c r="D11" s="557"/>
      <c r="E11" s="557"/>
      <c r="F11" s="557"/>
      <c r="G11" s="557"/>
      <c r="H11" s="557"/>
      <c r="I11" s="557"/>
      <c r="J11" s="557"/>
      <c r="K11" s="557"/>
      <c r="L11" s="557"/>
      <c r="M11" s="557"/>
      <c r="N11" s="557"/>
      <c r="O11" s="661"/>
    </row>
    <row r="12" spans="1:17" ht="242.25" x14ac:dyDescent="0.2">
      <c r="A12" s="593">
        <v>2</v>
      </c>
      <c r="B12" s="89" t="s">
        <v>197</v>
      </c>
      <c r="C12" s="89" t="s">
        <v>150</v>
      </c>
      <c r="D12" s="16" t="s">
        <v>199</v>
      </c>
      <c r="E12" s="17">
        <v>100</v>
      </c>
      <c r="F12" s="18" t="s">
        <v>12</v>
      </c>
      <c r="G12" s="18" t="s">
        <v>26</v>
      </c>
      <c r="H12" s="18">
        <f>400*117/100</f>
        <v>468</v>
      </c>
      <c r="I12" s="18">
        <f>H12*100</f>
        <v>46800</v>
      </c>
      <c r="J12" s="16" t="s">
        <v>13</v>
      </c>
      <c r="K12" s="86" t="s">
        <v>314</v>
      </c>
      <c r="L12" s="86" t="s">
        <v>323</v>
      </c>
      <c r="M12" s="90">
        <v>6000</v>
      </c>
      <c r="N12" s="41" t="s">
        <v>18</v>
      </c>
      <c r="O12" s="62">
        <v>161700581</v>
      </c>
      <c r="P12" s="10"/>
      <c r="Q12" s="11"/>
    </row>
    <row r="13" spans="1:17" x14ac:dyDescent="0.2">
      <c r="A13" s="595"/>
      <c r="B13" s="581" t="s">
        <v>200</v>
      </c>
      <c r="C13" s="582"/>
      <c r="D13" s="582"/>
      <c r="E13" s="582"/>
      <c r="F13" s="582"/>
      <c r="G13" s="582"/>
      <c r="H13" s="582"/>
      <c r="I13" s="582"/>
      <c r="J13" s="582"/>
      <c r="K13" s="582"/>
      <c r="L13" s="582"/>
      <c r="M13" s="582"/>
      <c r="N13" s="582"/>
      <c r="O13" s="583"/>
      <c r="P13" s="10"/>
      <c r="Q13" s="11"/>
    </row>
    <row r="14" spans="1:17" ht="15.75" x14ac:dyDescent="0.2">
      <c r="A14" s="556" t="s">
        <v>201</v>
      </c>
      <c r="B14" s="557"/>
      <c r="C14" s="557"/>
      <c r="D14" s="557"/>
      <c r="E14" s="557"/>
      <c r="F14" s="557"/>
      <c r="G14" s="557"/>
      <c r="H14" s="557"/>
      <c r="I14" s="557"/>
      <c r="J14" s="557"/>
      <c r="K14" s="557"/>
      <c r="L14" s="557"/>
      <c r="M14" s="557"/>
      <c r="N14" s="557"/>
      <c r="O14" s="661"/>
    </row>
    <row r="15" spans="1:17" ht="52.9" customHeight="1" x14ac:dyDescent="0.2">
      <c r="A15" s="593">
        <v>3</v>
      </c>
      <c r="B15" s="585" t="s">
        <v>298</v>
      </c>
      <c r="C15" s="585" t="s">
        <v>150</v>
      </c>
      <c r="D15" s="795" t="s">
        <v>299</v>
      </c>
      <c r="E15" s="791">
        <v>100</v>
      </c>
      <c r="F15" s="97" t="s">
        <v>303</v>
      </c>
      <c r="G15" s="98" t="s">
        <v>302</v>
      </c>
      <c r="H15" s="99">
        <f>420*117/100</f>
        <v>491.4</v>
      </c>
      <c r="I15" s="793">
        <f>(H15*40)+(H16*137.5)</f>
        <v>80788.5</v>
      </c>
      <c r="J15" s="795" t="s">
        <v>13</v>
      </c>
      <c r="K15" s="560" t="s">
        <v>314</v>
      </c>
      <c r="L15" s="560" t="s">
        <v>334</v>
      </c>
      <c r="M15" s="657"/>
      <c r="N15" s="740" t="s">
        <v>18</v>
      </c>
      <c r="O15" s="568">
        <v>161700581</v>
      </c>
      <c r="P15" s="10"/>
      <c r="Q15" s="11"/>
    </row>
    <row r="16" spans="1:17" ht="52.9" customHeight="1" x14ac:dyDescent="0.2">
      <c r="A16" s="594"/>
      <c r="B16" s="596"/>
      <c r="C16" s="596"/>
      <c r="D16" s="796"/>
      <c r="E16" s="792"/>
      <c r="F16" s="97" t="s">
        <v>304</v>
      </c>
      <c r="G16" s="98" t="s">
        <v>301</v>
      </c>
      <c r="H16" s="99">
        <f>380*117/100</f>
        <v>444.6</v>
      </c>
      <c r="I16" s="794"/>
      <c r="J16" s="796"/>
      <c r="K16" s="562"/>
      <c r="L16" s="562"/>
      <c r="M16" s="658"/>
      <c r="N16" s="741"/>
      <c r="O16" s="570"/>
      <c r="P16" s="10"/>
      <c r="Q16" s="11"/>
    </row>
    <row r="17" spans="1:17" x14ac:dyDescent="0.2">
      <c r="A17" s="595"/>
      <c r="B17" s="581" t="s">
        <v>300</v>
      </c>
      <c r="C17" s="582"/>
      <c r="D17" s="582"/>
      <c r="E17" s="582"/>
      <c r="F17" s="582"/>
      <c r="G17" s="582"/>
      <c r="H17" s="582"/>
      <c r="I17" s="582"/>
      <c r="J17" s="582"/>
      <c r="K17" s="582"/>
      <c r="L17" s="582"/>
      <c r="M17" s="582"/>
      <c r="N17" s="582"/>
      <c r="O17" s="583"/>
      <c r="P17" s="10"/>
      <c r="Q17" s="11"/>
    </row>
    <row r="18" spans="1:17" ht="15.75" x14ac:dyDescent="0.2">
      <c r="A18" s="556" t="s">
        <v>203</v>
      </c>
      <c r="B18" s="557"/>
      <c r="C18" s="557"/>
      <c r="D18" s="557"/>
      <c r="E18" s="557"/>
      <c r="F18" s="557"/>
      <c r="G18" s="557"/>
      <c r="H18" s="557"/>
      <c r="I18" s="557"/>
      <c r="J18" s="557"/>
      <c r="K18" s="557"/>
      <c r="L18" s="557"/>
      <c r="M18" s="557"/>
      <c r="N18" s="557"/>
      <c r="O18" s="661"/>
      <c r="P18" s="10"/>
      <c r="Q18" s="11"/>
    </row>
    <row r="19" spans="1:17" ht="25.5" x14ac:dyDescent="0.2">
      <c r="A19" s="593">
        <v>4</v>
      </c>
      <c r="B19" s="585" t="s">
        <v>202</v>
      </c>
      <c r="C19" s="585" t="s">
        <v>204</v>
      </c>
      <c r="D19" s="16" t="s">
        <v>135</v>
      </c>
      <c r="E19" s="17">
        <v>88</v>
      </c>
      <c r="F19" s="18" t="s">
        <v>12</v>
      </c>
      <c r="G19" s="18" t="s">
        <v>32</v>
      </c>
      <c r="H19" s="18">
        <f>180*117/100</f>
        <v>210.6</v>
      </c>
      <c r="I19" s="18">
        <f>H19*150</f>
        <v>31590</v>
      </c>
      <c r="J19" s="16" t="s">
        <v>13</v>
      </c>
      <c r="K19" s="560" t="s">
        <v>15</v>
      </c>
      <c r="L19" s="560" t="s">
        <v>332</v>
      </c>
      <c r="M19" s="657">
        <f>I19</f>
        <v>31590</v>
      </c>
      <c r="N19" s="731" t="s">
        <v>18</v>
      </c>
      <c r="O19" s="671"/>
      <c r="P19" s="10"/>
      <c r="Q19" s="11"/>
    </row>
    <row r="20" spans="1:17" ht="25.5" x14ac:dyDescent="0.2">
      <c r="A20" s="594"/>
      <c r="B20" s="586"/>
      <c r="C20" s="586"/>
      <c r="D20" s="19" t="s">
        <v>205</v>
      </c>
      <c r="E20" s="24">
        <v>76</v>
      </c>
      <c r="F20" s="34" t="s">
        <v>12</v>
      </c>
      <c r="G20" s="12" t="s">
        <v>32</v>
      </c>
      <c r="H20" s="12">
        <f>150*117/100</f>
        <v>175.5</v>
      </c>
      <c r="I20" s="12">
        <f>H20*150</f>
        <v>26325</v>
      </c>
      <c r="J20" s="85"/>
      <c r="K20" s="561"/>
      <c r="L20" s="561"/>
      <c r="M20" s="673"/>
      <c r="N20" s="732"/>
      <c r="O20" s="672"/>
      <c r="P20" s="10"/>
      <c r="Q20" s="11"/>
    </row>
    <row r="21" spans="1:17" ht="38.25" x14ac:dyDescent="0.2">
      <c r="A21" s="594"/>
      <c r="B21" s="586"/>
      <c r="C21" s="586"/>
      <c r="D21" s="85" t="s">
        <v>206</v>
      </c>
      <c r="E21" s="38">
        <v>73</v>
      </c>
      <c r="F21" s="34" t="s">
        <v>12</v>
      </c>
      <c r="G21" s="12" t="s">
        <v>32</v>
      </c>
      <c r="H21" s="12">
        <f>180*117/100</f>
        <v>210.6</v>
      </c>
      <c r="I21" s="12">
        <f>H21*150</f>
        <v>31590</v>
      </c>
      <c r="J21" s="85"/>
      <c r="K21" s="561"/>
      <c r="L21" s="561"/>
      <c r="M21" s="673"/>
      <c r="N21" s="732"/>
      <c r="O21" s="672"/>
    </row>
    <row r="22" spans="1:17" ht="25.5" x14ac:dyDescent="0.2">
      <c r="A22" s="594"/>
      <c r="B22" s="596"/>
      <c r="C22" s="596"/>
      <c r="D22" s="85" t="s">
        <v>207</v>
      </c>
      <c r="E22" s="38">
        <v>57</v>
      </c>
      <c r="F22" s="34" t="s">
        <v>12</v>
      </c>
      <c r="G22" s="12" t="s">
        <v>32</v>
      </c>
      <c r="H22" s="12">
        <f>250*117/100</f>
        <v>292.5</v>
      </c>
      <c r="I22" s="12">
        <f>H22*150</f>
        <v>43875</v>
      </c>
      <c r="J22" s="85"/>
      <c r="K22" s="562"/>
      <c r="L22" s="562"/>
      <c r="M22" s="658"/>
      <c r="N22" s="733"/>
      <c r="O22" s="705"/>
    </row>
    <row r="23" spans="1:17" x14ac:dyDescent="0.2">
      <c r="A23" s="595"/>
      <c r="B23" s="581"/>
      <c r="C23" s="582"/>
      <c r="D23" s="582"/>
      <c r="E23" s="582"/>
      <c r="F23" s="582"/>
      <c r="G23" s="582"/>
      <c r="H23" s="582"/>
      <c r="I23" s="582"/>
      <c r="J23" s="582"/>
      <c r="K23" s="582"/>
      <c r="L23" s="582"/>
      <c r="M23" s="582"/>
      <c r="N23" s="582"/>
      <c r="O23" s="583"/>
      <c r="P23" s="10"/>
      <c r="Q23" s="11"/>
    </row>
    <row r="24" spans="1:17" ht="15.75" x14ac:dyDescent="0.2">
      <c r="A24" s="556" t="s">
        <v>208</v>
      </c>
      <c r="B24" s="557"/>
      <c r="C24" s="557"/>
      <c r="D24" s="557"/>
      <c r="E24" s="557"/>
      <c r="F24" s="557"/>
      <c r="G24" s="557"/>
      <c r="H24" s="557"/>
      <c r="I24" s="557"/>
      <c r="J24" s="557"/>
      <c r="K24" s="557"/>
      <c r="L24" s="557"/>
      <c r="M24" s="557"/>
      <c r="N24" s="557"/>
      <c r="O24" s="661"/>
      <c r="P24" s="10"/>
      <c r="Q24" s="11"/>
    </row>
    <row r="25" spans="1:17" ht="38.25" x14ac:dyDescent="0.2">
      <c r="A25" s="593">
        <v>5</v>
      </c>
      <c r="B25" s="585" t="s">
        <v>209</v>
      </c>
      <c r="C25" s="585" t="s">
        <v>315</v>
      </c>
      <c r="D25" s="13" t="s">
        <v>210</v>
      </c>
      <c r="E25" s="14">
        <v>100</v>
      </c>
      <c r="F25" s="15" t="s">
        <v>12</v>
      </c>
      <c r="G25" s="18" t="s">
        <v>26</v>
      </c>
      <c r="H25" s="18">
        <f>300*117/100</f>
        <v>351</v>
      </c>
      <c r="I25" s="18">
        <f>H25*100</f>
        <v>35100</v>
      </c>
      <c r="J25" s="13" t="s">
        <v>13</v>
      </c>
      <c r="K25" s="560" t="s">
        <v>15</v>
      </c>
      <c r="L25" s="560" t="s">
        <v>333</v>
      </c>
      <c r="M25" s="657">
        <f>I25*0.9</f>
        <v>31590</v>
      </c>
      <c r="N25" s="731" t="s">
        <v>18</v>
      </c>
      <c r="O25" s="671">
        <v>1621000750</v>
      </c>
    </row>
    <row r="26" spans="1:17" ht="38.25" x14ac:dyDescent="0.2">
      <c r="A26" s="594"/>
      <c r="B26" s="586"/>
      <c r="C26" s="586"/>
      <c r="D26" s="19" t="s">
        <v>211</v>
      </c>
      <c r="E26" s="24">
        <v>83</v>
      </c>
      <c r="F26" s="34" t="s">
        <v>12</v>
      </c>
      <c r="G26" s="12" t="s">
        <v>26</v>
      </c>
      <c r="H26" s="12">
        <f>400*117/100</f>
        <v>468</v>
      </c>
      <c r="I26" s="12">
        <f>H26*100</f>
        <v>46800</v>
      </c>
      <c r="J26" s="85"/>
      <c r="K26" s="561"/>
      <c r="L26" s="561"/>
      <c r="M26" s="673"/>
      <c r="N26" s="732"/>
      <c r="O26" s="672"/>
    </row>
    <row r="27" spans="1:17" ht="25.5" x14ac:dyDescent="0.2">
      <c r="A27" s="594"/>
      <c r="B27" s="586"/>
      <c r="C27" s="586"/>
      <c r="D27" s="85" t="s">
        <v>212</v>
      </c>
      <c r="E27" s="38">
        <v>77</v>
      </c>
      <c r="F27" s="34" t="s">
        <v>12</v>
      </c>
      <c r="G27" s="12" t="s">
        <v>26</v>
      </c>
      <c r="H27" s="12">
        <f>450*117/100</f>
        <v>526.5</v>
      </c>
      <c r="I27" s="12">
        <f>H27*100</f>
        <v>52650</v>
      </c>
      <c r="J27" s="85"/>
      <c r="K27" s="561"/>
      <c r="L27" s="561"/>
      <c r="M27" s="673"/>
      <c r="N27" s="732"/>
      <c r="O27" s="672"/>
    </row>
    <row r="28" spans="1:17" ht="38.25" x14ac:dyDescent="0.2">
      <c r="A28" s="594"/>
      <c r="B28" s="596"/>
      <c r="C28" s="596"/>
      <c r="D28" s="85" t="s">
        <v>213</v>
      </c>
      <c r="E28" s="38">
        <v>62</v>
      </c>
      <c r="F28" s="34" t="s">
        <v>12</v>
      </c>
      <c r="G28" s="12" t="s">
        <v>26</v>
      </c>
      <c r="H28" s="12">
        <f>650*117/100</f>
        <v>760.5</v>
      </c>
      <c r="I28" s="12">
        <f>H28*100</f>
        <v>76050</v>
      </c>
      <c r="J28" s="85"/>
      <c r="K28" s="562"/>
      <c r="L28" s="562"/>
      <c r="M28" s="658"/>
      <c r="N28" s="733"/>
      <c r="O28" s="705"/>
    </row>
    <row r="29" spans="1:17" ht="14.25" x14ac:dyDescent="0.2">
      <c r="A29" s="595"/>
      <c r="B29" s="581" t="s">
        <v>214</v>
      </c>
      <c r="C29" s="582"/>
      <c r="D29" s="582"/>
      <c r="E29" s="582"/>
      <c r="F29" s="582"/>
      <c r="G29" s="582"/>
      <c r="H29" s="582"/>
      <c r="I29" s="582"/>
      <c r="J29" s="582"/>
      <c r="K29" s="582"/>
      <c r="L29" s="582"/>
      <c r="M29" s="582"/>
      <c r="N29" s="582"/>
      <c r="O29" s="583"/>
    </row>
    <row r="30" spans="1:17" ht="15.75" x14ac:dyDescent="0.2">
      <c r="A30" s="556" t="s">
        <v>216</v>
      </c>
      <c r="B30" s="557"/>
      <c r="C30" s="557"/>
      <c r="D30" s="557"/>
      <c r="E30" s="557"/>
      <c r="F30" s="557"/>
      <c r="G30" s="557"/>
      <c r="H30" s="557"/>
      <c r="I30" s="557"/>
      <c r="J30" s="557"/>
      <c r="K30" s="557"/>
      <c r="L30" s="557"/>
      <c r="M30" s="557"/>
      <c r="N30" s="557"/>
      <c r="O30" s="661"/>
    </row>
    <row r="31" spans="1:17" ht="38.25" x14ac:dyDescent="0.2">
      <c r="A31" s="593">
        <v>6</v>
      </c>
      <c r="B31" s="585" t="s">
        <v>215</v>
      </c>
      <c r="C31" s="585" t="s">
        <v>88</v>
      </c>
      <c r="D31" s="13" t="s">
        <v>217</v>
      </c>
      <c r="E31" s="14">
        <v>88</v>
      </c>
      <c r="F31" s="15" t="s">
        <v>14</v>
      </c>
      <c r="G31" s="15" t="s">
        <v>14</v>
      </c>
      <c r="H31" s="15">
        <f>37600*117/100</f>
        <v>43992</v>
      </c>
      <c r="I31" s="15">
        <f>H31</f>
        <v>43992</v>
      </c>
      <c r="J31" s="13" t="s">
        <v>13</v>
      </c>
      <c r="K31" s="714" t="s">
        <v>15</v>
      </c>
      <c r="L31" s="714" t="s">
        <v>97</v>
      </c>
      <c r="M31" s="657">
        <f>I31</f>
        <v>43992</v>
      </c>
      <c r="N31" s="659" t="s">
        <v>18</v>
      </c>
      <c r="O31" s="671">
        <v>44013</v>
      </c>
    </row>
    <row r="32" spans="1:17" ht="25.5" x14ac:dyDescent="0.2">
      <c r="A32" s="594"/>
      <c r="B32" s="586"/>
      <c r="C32" s="586"/>
      <c r="D32" s="85" t="s">
        <v>218</v>
      </c>
      <c r="E32" s="38">
        <v>59</v>
      </c>
      <c r="F32" s="34" t="s">
        <v>14</v>
      </c>
      <c r="G32" s="34" t="s">
        <v>14</v>
      </c>
      <c r="H32" s="34">
        <f>91800*117/100</f>
        <v>107406</v>
      </c>
      <c r="I32" s="34">
        <f>H32</f>
        <v>107406</v>
      </c>
      <c r="J32" s="85" t="s">
        <v>13</v>
      </c>
      <c r="K32" s="715"/>
      <c r="L32" s="715"/>
      <c r="M32" s="673"/>
      <c r="N32" s="674"/>
      <c r="O32" s="672"/>
    </row>
    <row r="33" spans="1:15" ht="14.25" x14ac:dyDescent="0.2">
      <c r="A33" s="594"/>
      <c r="B33" s="596"/>
      <c r="C33" s="596"/>
      <c r="D33" s="85" t="s">
        <v>219</v>
      </c>
      <c r="E33" s="38">
        <v>71</v>
      </c>
      <c r="F33" s="34" t="s">
        <v>14</v>
      </c>
      <c r="G33" s="34" t="s">
        <v>14</v>
      </c>
      <c r="H33" s="34">
        <f>85000*117/100</f>
        <v>99450</v>
      </c>
      <c r="I33" s="34">
        <f>H33</f>
        <v>99450</v>
      </c>
      <c r="J33" s="85" t="s">
        <v>13</v>
      </c>
      <c r="K33" s="716"/>
      <c r="L33" s="716"/>
      <c r="M33" s="658"/>
      <c r="N33" s="660"/>
      <c r="O33" s="705"/>
    </row>
    <row r="34" spans="1:15" ht="14.25" x14ac:dyDescent="0.2">
      <c r="A34" s="595"/>
      <c r="B34" s="717"/>
      <c r="C34" s="718"/>
      <c r="D34" s="718"/>
      <c r="E34" s="718"/>
      <c r="F34" s="718"/>
      <c r="G34" s="718"/>
      <c r="H34" s="718"/>
      <c r="I34" s="718"/>
      <c r="J34" s="718"/>
      <c r="K34" s="718"/>
      <c r="L34" s="718"/>
      <c r="M34" s="718"/>
      <c r="N34" s="718"/>
      <c r="O34" s="719"/>
    </row>
    <row r="35" spans="1:15" ht="15.75" x14ac:dyDescent="0.2">
      <c r="A35" s="556" t="s">
        <v>340</v>
      </c>
      <c r="B35" s="557"/>
      <c r="C35" s="557"/>
      <c r="D35" s="557"/>
      <c r="E35" s="557"/>
      <c r="F35" s="557"/>
      <c r="G35" s="557"/>
      <c r="H35" s="557"/>
      <c r="I35" s="557"/>
      <c r="J35" s="557"/>
      <c r="K35" s="557"/>
      <c r="L35" s="557"/>
      <c r="M35" s="557"/>
      <c r="N35" s="557"/>
      <c r="O35" s="661"/>
    </row>
    <row r="36" spans="1:15" ht="89.25" x14ac:dyDescent="0.2">
      <c r="A36" s="720">
        <v>7</v>
      </c>
      <c r="B36" s="56" t="s">
        <v>169</v>
      </c>
      <c r="C36" s="56" t="s">
        <v>170</v>
      </c>
      <c r="D36" s="16" t="s">
        <v>74</v>
      </c>
      <c r="E36" s="17">
        <v>100</v>
      </c>
      <c r="F36" s="18" t="s">
        <v>14</v>
      </c>
      <c r="G36" s="18" t="s">
        <v>14</v>
      </c>
      <c r="H36" s="18">
        <f>147840*117/100</f>
        <v>172972.79999999999</v>
      </c>
      <c r="I36" s="18">
        <f>H36</f>
        <v>172972.79999999999</v>
      </c>
      <c r="J36" s="16" t="s">
        <v>13</v>
      </c>
      <c r="K36" s="91" t="s">
        <v>116</v>
      </c>
      <c r="L36" s="91" t="s">
        <v>322</v>
      </c>
      <c r="M36" s="57">
        <f>I36*0.95</f>
        <v>164324.15999999997</v>
      </c>
      <c r="N36" s="92" t="s">
        <v>18</v>
      </c>
      <c r="O36" s="58">
        <v>2240032750</v>
      </c>
    </row>
    <row r="37" spans="1:15" ht="32.450000000000003" customHeight="1" x14ac:dyDescent="0.2">
      <c r="A37" s="721"/>
      <c r="B37" s="717" t="s">
        <v>220</v>
      </c>
      <c r="C37" s="718"/>
      <c r="D37" s="718"/>
      <c r="E37" s="718"/>
      <c r="F37" s="718"/>
      <c r="G37" s="718"/>
      <c r="H37" s="718"/>
      <c r="I37" s="718"/>
      <c r="J37" s="718"/>
      <c r="K37" s="718"/>
      <c r="L37" s="718"/>
      <c r="M37" s="718"/>
      <c r="N37" s="718"/>
      <c r="O37" s="719"/>
    </row>
    <row r="38" spans="1:15" ht="15.75" x14ac:dyDescent="0.2">
      <c r="A38" s="556" t="s">
        <v>222</v>
      </c>
      <c r="B38" s="557"/>
      <c r="C38" s="557"/>
      <c r="D38" s="557"/>
      <c r="E38" s="557"/>
      <c r="F38" s="557"/>
      <c r="G38" s="557"/>
      <c r="H38" s="557"/>
      <c r="I38" s="557"/>
      <c r="J38" s="557"/>
      <c r="K38" s="557"/>
      <c r="L38" s="557"/>
      <c r="M38" s="557"/>
      <c r="N38" s="557"/>
      <c r="O38" s="661"/>
    </row>
    <row r="39" spans="1:15" ht="25.5" x14ac:dyDescent="0.2">
      <c r="A39" s="593">
        <v>8</v>
      </c>
      <c r="B39" s="585" t="s">
        <v>221</v>
      </c>
      <c r="C39" s="585" t="s">
        <v>88</v>
      </c>
      <c r="D39" s="26" t="s">
        <v>223</v>
      </c>
      <c r="E39" s="27">
        <v>100</v>
      </c>
      <c r="F39" s="28" t="s">
        <v>14</v>
      </c>
      <c r="G39" s="30" t="s">
        <v>14</v>
      </c>
      <c r="H39" s="30">
        <f>493000*117/100</f>
        <v>576810</v>
      </c>
      <c r="I39" s="30">
        <f>H39/2</f>
        <v>288405</v>
      </c>
      <c r="J39" s="26"/>
      <c r="K39" s="714" t="s">
        <v>15</v>
      </c>
      <c r="L39" s="714"/>
      <c r="M39" s="657">
        <f>I39</f>
        <v>288405</v>
      </c>
      <c r="N39" s="659" t="s">
        <v>18</v>
      </c>
      <c r="O39" s="671"/>
    </row>
    <row r="40" spans="1:15" ht="14.25" x14ac:dyDescent="0.2">
      <c r="A40" s="594"/>
      <c r="B40" s="586"/>
      <c r="C40" s="586"/>
      <c r="D40" s="19" t="s">
        <v>224</v>
      </c>
      <c r="E40" s="24">
        <v>88</v>
      </c>
      <c r="F40" s="34" t="s">
        <v>14</v>
      </c>
      <c r="G40" s="12" t="s">
        <v>14</v>
      </c>
      <c r="H40" s="12">
        <f>598000*117/100</f>
        <v>699660</v>
      </c>
      <c r="I40" s="12">
        <f>H40/2</f>
        <v>349830</v>
      </c>
      <c r="J40" s="85"/>
      <c r="K40" s="715"/>
      <c r="L40" s="715"/>
      <c r="M40" s="673"/>
      <c r="N40" s="674"/>
      <c r="O40" s="672"/>
    </row>
    <row r="41" spans="1:15" ht="25.5" x14ac:dyDescent="0.2">
      <c r="A41" s="594"/>
      <c r="B41" s="586"/>
      <c r="C41" s="586"/>
      <c r="D41" s="19" t="s">
        <v>225</v>
      </c>
      <c r="E41" s="24">
        <v>74</v>
      </c>
      <c r="F41" s="34" t="s">
        <v>14</v>
      </c>
      <c r="G41" s="12" t="s">
        <v>14</v>
      </c>
      <c r="H41" s="12">
        <f>790000*117/100</f>
        <v>924300</v>
      </c>
      <c r="I41" s="12">
        <f>H41/2</f>
        <v>462150</v>
      </c>
      <c r="J41" s="85"/>
      <c r="K41" s="715"/>
      <c r="L41" s="715"/>
      <c r="M41" s="673"/>
      <c r="N41" s="674"/>
      <c r="O41" s="672"/>
    </row>
    <row r="42" spans="1:15" ht="14.25" x14ac:dyDescent="0.2">
      <c r="A42" s="594"/>
      <c r="B42" s="586"/>
      <c r="C42" s="586"/>
      <c r="D42" s="19" t="s">
        <v>226</v>
      </c>
      <c r="E42" s="24">
        <v>88</v>
      </c>
      <c r="F42" s="34" t="s">
        <v>14</v>
      </c>
      <c r="G42" s="12" t="s">
        <v>14</v>
      </c>
      <c r="H42" s="12">
        <f>860000*117/100</f>
        <v>1006200</v>
      </c>
      <c r="I42" s="12">
        <f>H42/2</f>
        <v>503100</v>
      </c>
      <c r="J42" s="85" t="s">
        <v>13</v>
      </c>
      <c r="K42" s="715"/>
      <c r="L42" s="715"/>
      <c r="M42" s="673"/>
      <c r="N42" s="674"/>
      <c r="O42" s="672"/>
    </row>
    <row r="43" spans="1:15" ht="25.5" x14ac:dyDescent="0.2">
      <c r="A43" s="594"/>
      <c r="B43" s="596"/>
      <c r="C43" s="596"/>
      <c r="D43" s="19" t="s">
        <v>227</v>
      </c>
      <c r="E43" s="24">
        <v>68</v>
      </c>
      <c r="F43" s="34" t="s">
        <v>14</v>
      </c>
      <c r="G43" s="12" t="s">
        <v>14</v>
      </c>
      <c r="H43" s="12">
        <f>919900*117/100</f>
        <v>1076283</v>
      </c>
      <c r="I43" s="12">
        <f>H43/2</f>
        <v>538141.5</v>
      </c>
      <c r="J43" s="85" t="s">
        <v>13</v>
      </c>
      <c r="K43" s="716"/>
      <c r="L43" s="716"/>
      <c r="M43" s="658"/>
      <c r="N43" s="660"/>
      <c r="O43" s="705"/>
    </row>
    <row r="44" spans="1:15" ht="14.25" x14ac:dyDescent="0.2">
      <c r="A44" s="595"/>
      <c r="B44" s="717" t="s">
        <v>341</v>
      </c>
      <c r="C44" s="718"/>
      <c r="D44" s="718"/>
      <c r="E44" s="718"/>
      <c r="F44" s="718"/>
      <c r="G44" s="718"/>
      <c r="H44" s="718"/>
      <c r="I44" s="718"/>
      <c r="J44" s="718"/>
      <c r="K44" s="718"/>
      <c r="L44" s="718"/>
      <c r="M44" s="718"/>
      <c r="N44" s="718"/>
      <c r="O44" s="719"/>
    </row>
    <row r="45" spans="1:15" ht="15.75" x14ac:dyDescent="0.2">
      <c r="A45" s="556" t="s">
        <v>228</v>
      </c>
      <c r="B45" s="557"/>
      <c r="C45" s="557"/>
      <c r="D45" s="557"/>
      <c r="E45" s="557"/>
      <c r="F45" s="557"/>
      <c r="G45" s="557"/>
      <c r="H45" s="557"/>
      <c r="I45" s="557"/>
      <c r="J45" s="557"/>
      <c r="K45" s="557"/>
      <c r="L45" s="557"/>
      <c r="M45" s="557"/>
      <c r="N45" s="557"/>
      <c r="O45" s="661"/>
    </row>
    <row r="46" spans="1:15" ht="25.5" x14ac:dyDescent="0.2">
      <c r="A46" s="593">
        <v>9</v>
      </c>
      <c r="B46" s="585" t="s">
        <v>229</v>
      </c>
      <c r="C46" s="585" t="s">
        <v>89</v>
      </c>
      <c r="D46" s="13" t="s">
        <v>230</v>
      </c>
      <c r="E46" s="14">
        <v>96</v>
      </c>
      <c r="F46" s="15" t="s">
        <v>14</v>
      </c>
      <c r="G46" s="15" t="s">
        <v>14</v>
      </c>
      <c r="H46" s="15">
        <f>101000*117/100</f>
        <v>118170</v>
      </c>
      <c r="I46" s="15">
        <f t="shared" ref="I46:I53" si="0">H46</f>
        <v>118170</v>
      </c>
      <c r="J46" s="13" t="s">
        <v>13</v>
      </c>
      <c r="K46" s="714" t="s">
        <v>15</v>
      </c>
      <c r="L46" s="714" t="s">
        <v>97</v>
      </c>
      <c r="M46" s="657">
        <f>I46</f>
        <v>118170</v>
      </c>
      <c r="N46" s="659" t="s">
        <v>18</v>
      </c>
      <c r="O46" s="671"/>
    </row>
    <row r="47" spans="1:15" ht="25.5" x14ac:dyDescent="0.2">
      <c r="A47" s="594"/>
      <c r="B47" s="586"/>
      <c r="C47" s="586"/>
      <c r="D47" s="85" t="s">
        <v>122</v>
      </c>
      <c r="E47" s="38">
        <v>63</v>
      </c>
      <c r="F47" s="34" t="s">
        <v>14</v>
      </c>
      <c r="G47" s="34" t="s">
        <v>14</v>
      </c>
      <c r="H47" s="34">
        <f>105000*117/100</f>
        <v>122850</v>
      </c>
      <c r="I47" s="34">
        <f t="shared" si="0"/>
        <v>122850</v>
      </c>
      <c r="J47" s="85" t="s">
        <v>13</v>
      </c>
      <c r="K47" s="715"/>
      <c r="L47" s="715"/>
      <c r="M47" s="673"/>
      <c r="N47" s="674"/>
      <c r="O47" s="672"/>
    </row>
    <row r="48" spans="1:15" ht="25.5" x14ac:dyDescent="0.2">
      <c r="A48" s="594"/>
      <c r="B48" s="586"/>
      <c r="C48" s="586"/>
      <c r="D48" s="85" t="s">
        <v>231</v>
      </c>
      <c r="E48" s="38">
        <v>88</v>
      </c>
      <c r="F48" s="34" t="s">
        <v>14</v>
      </c>
      <c r="G48" s="34" t="s">
        <v>14</v>
      </c>
      <c r="H48" s="34">
        <f>115000*117/100</f>
        <v>134550</v>
      </c>
      <c r="I48" s="34">
        <f t="shared" si="0"/>
        <v>134550</v>
      </c>
      <c r="J48" s="85" t="s">
        <v>13</v>
      </c>
      <c r="K48" s="715"/>
      <c r="L48" s="715"/>
      <c r="M48" s="673"/>
      <c r="N48" s="674"/>
      <c r="O48" s="672"/>
    </row>
    <row r="49" spans="1:15" ht="25.5" x14ac:dyDescent="0.2">
      <c r="A49" s="594"/>
      <c r="B49" s="586"/>
      <c r="C49" s="586"/>
      <c r="D49" s="85" t="s">
        <v>232</v>
      </c>
      <c r="E49" s="38">
        <v>88</v>
      </c>
      <c r="F49" s="34" t="s">
        <v>14</v>
      </c>
      <c r="G49" s="34" t="s">
        <v>14</v>
      </c>
      <c r="H49" s="34">
        <f>115000*117/100</f>
        <v>134550</v>
      </c>
      <c r="I49" s="34">
        <f t="shared" si="0"/>
        <v>134550</v>
      </c>
      <c r="J49" s="85" t="s">
        <v>13</v>
      </c>
      <c r="K49" s="715"/>
      <c r="L49" s="715"/>
      <c r="M49" s="673"/>
      <c r="N49" s="674"/>
      <c r="O49" s="672"/>
    </row>
    <row r="50" spans="1:15" ht="25.5" x14ac:dyDescent="0.2">
      <c r="A50" s="594"/>
      <c r="B50" s="586"/>
      <c r="C50" s="586"/>
      <c r="D50" s="85" t="s">
        <v>233</v>
      </c>
      <c r="E50" s="38">
        <v>82</v>
      </c>
      <c r="F50" s="34" t="s">
        <v>14</v>
      </c>
      <c r="G50" s="34" t="s">
        <v>14</v>
      </c>
      <c r="H50" s="34">
        <f>127000*117/100</f>
        <v>148590</v>
      </c>
      <c r="I50" s="34">
        <f t="shared" si="0"/>
        <v>148590</v>
      </c>
      <c r="J50" s="85" t="s">
        <v>13</v>
      </c>
      <c r="K50" s="715"/>
      <c r="L50" s="715"/>
      <c r="M50" s="673"/>
      <c r="N50" s="674"/>
      <c r="O50" s="672"/>
    </row>
    <row r="51" spans="1:15" ht="25.5" x14ac:dyDescent="0.2">
      <c r="A51" s="594"/>
      <c r="B51" s="586"/>
      <c r="C51" s="586"/>
      <c r="D51" s="85" t="s">
        <v>234</v>
      </c>
      <c r="E51" s="38">
        <v>81</v>
      </c>
      <c r="F51" s="34" t="s">
        <v>14</v>
      </c>
      <c r="G51" s="34" t="s">
        <v>14</v>
      </c>
      <c r="H51" s="34">
        <f>130000*117/100</f>
        <v>152100</v>
      </c>
      <c r="I51" s="34">
        <f t="shared" si="0"/>
        <v>152100</v>
      </c>
      <c r="J51" s="85" t="s">
        <v>13</v>
      </c>
      <c r="K51" s="715"/>
      <c r="L51" s="715"/>
      <c r="M51" s="673"/>
      <c r="N51" s="674"/>
      <c r="O51" s="672"/>
    </row>
    <row r="52" spans="1:15" ht="25.5" x14ac:dyDescent="0.2">
      <c r="A52" s="594"/>
      <c r="B52" s="586"/>
      <c r="C52" s="586"/>
      <c r="D52" s="85" t="s">
        <v>235</v>
      </c>
      <c r="E52" s="38">
        <v>72</v>
      </c>
      <c r="F52" s="34" t="s">
        <v>14</v>
      </c>
      <c r="G52" s="34" t="s">
        <v>14</v>
      </c>
      <c r="H52" s="34">
        <f>160000*117/100</f>
        <v>187200</v>
      </c>
      <c r="I52" s="34">
        <f t="shared" si="0"/>
        <v>187200</v>
      </c>
      <c r="J52" s="85" t="s">
        <v>13</v>
      </c>
      <c r="K52" s="715"/>
      <c r="L52" s="715"/>
      <c r="M52" s="673"/>
      <c r="N52" s="674"/>
      <c r="O52" s="672"/>
    </row>
    <row r="53" spans="1:15" ht="14.25" x14ac:dyDescent="0.2">
      <c r="A53" s="594"/>
      <c r="B53" s="596"/>
      <c r="C53" s="596"/>
      <c r="D53" s="85" t="s">
        <v>236</v>
      </c>
      <c r="E53" s="38">
        <v>59</v>
      </c>
      <c r="F53" s="34" t="s">
        <v>14</v>
      </c>
      <c r="G53" s="34" t="s">
        <v>14</v>
      </c>
      <c r="H53" s="34">
        <f>230000*117/100</f>
        <v>269100</v>
      </c>
      <c r="I53" s="34">
        <f t="shared" si="0"/>
        <v>269100</v>
      </c>
      <c r="J53" s="85" t="s">
        <v>13</v>
      </c>
      <c r="K53" s="716"/>
      <c r="L53" s="716"/>
      <c r="M53" s="658"/>
      <c r="N53" s="660"/>
      <c r="O53" s="705"/>
    </row>
    <row r="54" spans="1:15" ht="14.25" x14ac:dyDescent="0.2">
      <c r="A54" s="595"/>
      <c r="B54" s="717" t="s">
        <v>237</v>
      </c>
      <c r="C54" s="718"/>
      <c r="D54" s="718"/>
      <c r="E54" s="718"/>
      <c r="F54" s="718"/>
      <c r="G54" s="718"/>
      <c r="H54" s="718"/>
      <c r="I54" s="718"/>
      <c r="J54" s="718"/>
      <c r="K54" s="718"/>
      <c r="L54" s="718"/>
      <c r="M54" s="718"/>
      <c r="N54" s="718"/>
      <c r="O54" s="719"/>
    </row>
    <row r="55" spans="1:15" ht="15.75" x14ac:dyDescent="0.2">
      <c r="A55" s="556" t="s">
        <v>238</v>
      </c>
      <c r="B55" s="557"/>
      <c r="C55" s="557"/>
      <c r="D55" s="557"/>
      <c r="E55" s="557"/>
      <c r="F55" s="557"/>
      <c r="G55" s="557"/>
      <c r="H55" s="557"/>
      <c r="I55" s="557"/>
      <c r="J55" s="557"/>
      <c r="K55" s="557"/>
      <c r="L55" s="557"/>
      <c r="M55" s="557"/>
      <c r="N55" s="557"/>
      <c r="O55" s="661"/>
    </row>
    <row r="56" spans="1:15" ht="25.5" x14ac:dyDescent="0.2">
      <c r="A56" s="593">
        <v>10</v>
      </c>
      <c r="B56" s="585" t="s">
        <v>243</v>
      </c>
      <c r="C56" s="585" t="s">
        <v>89</v>
      </c>
      <c r="D56" s="13" t="s">
        <v>239</v>
      </c>
      <c r="E56" s="14">
        <v>100</v>
      </c>
      <c r="F56" s="15" t="s">
        <v>14</v>
      </c>
      <c r="G56" s="15" t="s">
        <v>14</v>
      </c>
      <c r="H56" s="15">
        <f>9000*117/100</f>
        <v>10530</v>
      </c>
      <c r="I56" s="15">
        <f t="shared" ref="I56:I61" si="1">H56</f>
        <v>10530</v>
      </c>
      <c r="J56" s="13" t="s">
        <v>13</v>
      </c>
      <c r="K56" s="714" t="s">
        <v>15</v>
      </c>
      <c r="L56" s="714" t="s">
        <v>97</v>
      </c>
      <c r="M56" s="657">
        <f>I56</f>
        <v>10530</v>
      </c>
      <c r="N56" s="659" t="s">
        <v>18</v>
      </c>
      <c r="O56" s="671"/>
    </row>
    <row r="57" spans="1:15" ht="14.25" x14ac:dyDescent="0.2">
      <c r="A57" s="594"/>
      <c r="B57" s="586"/>
      <c r="C57" s="586"/>
      <c r="D57" s="93" t="s">
        <v>240</v>
      </c>
      <c r="E57" s="38">
        <v>77</v>
      </c>
      <c r="F57" s="34" t="s">
        <v>14</v>
      </c>
      <c r="G57" s="34" t="s">
        <v>14</v>
      </c>
      <c r="H57" s="34">
        <f>13500*117/100</f>
        <v>15795</v>
      </c>
      <c r="I57" s="34">
        <f t="shared" si="1"/>
        <v>15795</v>
      </c>
      <c r="J57" s="93" t="s">
        <v>13</v>
      </c>
      <c r="K57" s="715"/>
      <c r="L57" s="715"/>
      <c r="M57" s="673"/>
      <c r="N57" s="674"/>
      <c r="O57" s="672"/>
    </row>
    <row r="58" spans="1:15" ht="25.5" x14ac:dyDescent="0.2">
      <c r="A58" s="594"/>
      <c r="B58" s="586"/>
      <c r="C58" s="586"/>
      <c r="D58" s="93" t="s">
        <v>105</v>
      </c>
      <c r="E58" s="38">
        <v>72</v>
      </c>
      <c r="F58" s="34" t="s">
        <v>14</v>
      </c>
      <c r="G58" s="34" t="s">
        <v>14</v>
      </c>
      <c r="H58" s="34">
        <f>15000*117/100</f>
        <v>17550</v>
      </c>
      <c r="I58" s="34">
        <f t="shared" si="1"/>
        <v>17550</v>
      </c>
      <c r="J58" s="93" t="s">
        <v>13</v>
      </c>
      <c r="K58" s="715"/>
      <c r="L58" s="715"/>
      <c r="M58" s="673"/>
      <c r="N58" s="674"/>
      <c r="O58" s="672"/>
    </row>
    <row r="59" spans="1:15" ht="25.5" x14ac:dyDescent="0.2">
      <c r="A59" s="594"/>
      <c r="B59" s="586"/>
      <c r="C59" s="586"/>
      <c r="D59" s="93" t="s">
        <v>241</v>
      </c>
      <c r="E59" s="38">
        <v>70</v>
      </c>
      <c r="F59" s="34" t="s">
        <v>14</v>
      </c>
      <c r="G59" s="34" t="s">
        <v>14</v>
      </c>
      <c r="H59" s="34">
        <f>16000*117/100</f>
        <v>18720</v>
      </c>
      <c r="I59" s="34">
        <f t="shared" si="1"/>
        <v>18720</v>
      </c>
      <c r="J59" s="93" t="s">
        <v>13</v>
      </c>
      <c r="K59" s="715"/>
      <c r="L59" s="715"/>
      <c r="M59" s="673"/>
      <c r="N59" s="674"/>
      <c r="O59" s="672"/>
    </row>
    <row r="60" spans="1:15" ht="25.5" x14ac:dyDescent="0.2">
      <c r="A60" s="594"/>
      <c r="B60" s="586"/>
      <c r="C60" s="586"/>
      <c r="D60" s="93" t="s">
        <v>91</v>
      </c>
      <c r="E60" s="38">
        <v>52</v>
      </c>
      <c r="F60" s="34" t="s">
        <v>14</v>
      </c>
      <c r="G60" s="34" t="s">
        <v>14</v>
      </c>
      <c r="H60" s="34">
        <f>28500*117/100</f>
        <v>33345</v>
      </c>
      <c r="I60" s="34">
        <f t="shared" si="1"/>
        <v>33345</v>
      </c>
      <c r="J60" s="93" t="s">
        <v>13</v>
      </c>
      <c r="K60" s="715"/>
      <c r="L60" s="715"/>
      <c r="M60" s="673"/>
      <c r="N60" s="674"/>
      <c r="O60" s="672"/>
    </row>
    <row r="61" spans="1:15" ht="25.5" x14ac:dyDescent="0.2">
      <c r="A61" s="594"/>
      <c r="B61" s="596"/>
      <c r="C61" s="596"/>
      <c r="D61" s="93" t="s">
        <v>71</v>
      </c>
      <c r="E61" s="38">
        <v>51</v>
      </c>
      <c r="F61" s="34" t="s">
        <v>14</v>
      </c>
      <c r="G61" s="34" t="s">
        <v>14</v>
      </c>
      <c r="H61" s="34">
        <f>30000*117/100</f>
        <v>35100</v>
      </c>
      <c r="I61" s="34">
        <f t="shared" si="1"/>
        <v>35100</v>
      </c>
      <c r="J61" s="93" t="s">
        <v>13</v>
      </c>
      <c r="K61" s="716"/>
      <c r="L61" s="716"/>
      <c r="M61" s="658"/>
      <c r="N61" s="660"/>
      <c r="O61" s="705"/>
    </row>
    <row r="62" spans="1:15" ht="14.25" x14ac:dyDescent="0.2">
      <c r="A62" s="595"/>
      <c r="B62" s="717"/>
      <c r="C62" s="718"/>
      <c r="D62" s="718"/>
      <c r="E62" s="718"/>
      <c r="F62" s="718"/>
      <c r="G62" s="718"/>
      <c r="H62" s="718"/>
      <c r="I62" s="718"/>
      <c r="J62" s="718"/>
      <c r="K62" s="718"/>
      <c r="L62" s="718"/>
      <c r="M62" s="718"/>
      <c r="N62" s="718"/>
      <c r="O62" s="719"/>
    </row>
    <row r="63" spans="1:15" ht="15.75" x14ac:dyDescent="0.2">
      <c r="A63" s="556" t="s">
        <v>242</v>
      </c>
      <c r="B63" s="557"/>
      <c r="C63" s="557"/>
      <c r="D63" s="557"/>
      <c r="E63" s="557"/>
      <c r="F63" s="557"/>
      <c r="G63" s="557"/>
      <c r="H63" s="557"/>
      <c r="I63" s="557"/>
      <c r="J63" s="557"/>
      <c r="K63" s="557"/>
      <c r="L63" s="557"/>
      <c r="M63" s="557"/>
      <c r="N63" s="557"/>
      <c r="O63" s="661"/>
    </row>
    <row r="64" spans="1:15" ht="25.5" x14ac:dyDescent="0.2">
      <c r="A64" s="593">
        <v>11</v>
      </c>
      <c r="B64" s="585" t="s">
        <v>321</v>
      </c>
      <c r="C64" s="585" t="s">
        <v>89</v>
      </c>
      <c r="D64" s="13" t="s">
        <v>244</v>
      </c>
      <c r="E64" s="14">
        <v>100</v>
      </c>
      <c r="F64" s="15" t="s">
        <v>14</v>
      </c>
      <c r="G64" s="15" t="s">
        <v>14</v>
      </c>
      <c r="H64" s="15">
        <f>6750*117/100</f>
        <v>7897.5</v>
      </c>
      <c r="I64" s="15">
        <f t="shared" ref="I64:I71" si="2">H64</f>
        <v>7897.5</v>
      </c>
      <c r="J64" s="13" t="s">
        <v>13</v>
      </c>
      <c r="K64" s="714" t="s">
        <v>15</v>
      </c>
      <c r="L64" s="714" t="s">
        <v>97</v>
      </c>
      <c r="M64" s="657">
        <f>I64</f>
        <v>7897.5</v>
      </c>
      <c r="N64" s="659" t="s">
        <v>18</v>
      </c>
      <c r="O64" s="671"/>
    </row>
    <row r="65" spans="1:17" ht="25.5" x14ac:dyDescent="0.2">
      <c r="A65" s="594"/>
      <c r="B65" s="586"/>
      <c r="C65" s="586"/>
      <c r="D65" s="93" t="s">
        <v>245</v>
      </c>
      <c r="E65" s="38">
        <v>91</v>
      </c>
      <c r="F65" s="34" t="s">
        <v>14</v>
      </c>
      <c r="G65" s="34" t="s">
        <v>14</v>
      </c>
      <c r="H65" s="34">
        <f>7000*117/100</f>
        <v>8190</v>
      </c>
      <c r="I65" s="34">
        <f t="shared" si="2"/>
        <v>8190</v>
      </c>
      <c r="J65" s="93" t="s">
        <v>13</v>
      </c>
      <c r="K65" s="715"/>
      <c r="L65" s="715"/>
      <c r="M65" s="673"/>
      <c r="N65" s="674"/>
      <c r="O65" s="672"/>
    </row>
    <row r="66" spans="1:17" ht="14.25" x14ac:dyDescent="0.2">
      <c r="A66" s="594"/>
      <c r="B66" s="586"/>
      <c r="C66" s="586"/>
      <c r="D66" s="93" t="s">
        <v>22</v>
      </c>
      <c r="E66" s="38">
        <v>89</v>
      </c>
      <c r="F66" s="34" t="s">
        <v>14</v>
      </c>
      <c r="G66" s="34" t="s">
        <v>14</v>
      </c>
      <c r="H66" s="34">
        <f>8000*117/100</f>
        <v>9360</v>
      </c>
      <c r="I66" s="34">
        <f t="shared" si="2"/>
        <v>9360</v>
      </c>
      <c r="J66" s="93" t="s">
        <v>13</v>
      </c>
      <c r="K66" s="715"/>
      <c r="L66" s="715"/>
      <c r="M66" s="673"/>
      <c r="N66" s="674"/>
      <c r="O66" s="672"/>
    </row>
    <row r="67" spans="1:17" ht="25.5" x14ac:dyDescent="0.2">
      <c r="A67" s="594"/>
      <c r="B67" s="586"/>
      <c r="C67" s="586"/>
      <c r="D67" s="93" t="s">
        <v>246</v>
      </c>
      <c r="E67" s="38">
        <v>86</v>
      </c>
      <c r="F67" s="34" t="s">
        <v>14</v>
      </c>
      <c r="G67" s="34" t="s">
        <v>14</v>
      </c>
      <c r="H67" s="34">
        <f>8500*117/100</f>
        <v>9945</v>
      </c>
      <c r="I67" s="34">
        <f t="shared" si="2"/>
        <v>9945</v>
      </c>
      <c r="J67" s="93" t="s">
        <v>13</v>
      </c>
      <c r="K67" s="715"/>
      <c r="L67" s="715"/>
      <c r="M67" s="673"/>
      <c r="N67" s="674"/>
      <c r="O67" s="672"/>
    </row>
    <row r="68" spans="1:17" ht="14.25" x14ac:dyDescent="0.2">
      <c r="A68" s="594"/>
      <c r="B68" s="586"/>
      <c r="C68" s="586"/>
      <c r="D68" s="93" t="s">
        <v>247</v>
      </c>
      <c r="E68" s="38">
        <v>84</v>
      </c>
      <c r="F68" s="34" t="s">
        <v>14</v>
      </c>
      <c r="G68" s="34" t="s">
        <v>14</v>
      </c>
      <c r="H68" s="34">
        <f>8750*117/100</f>
        <v>10237.5</v>
      </c>
      <c r="I68" s="34">
        <f t="shared" si="2"/>
        <v>10237.5</v>
      </c>
      <c r="J68" s="93" t="s">
        <v>13</v>
      </c>
      <c r="K68" s="715"/>
      <c r="L68" s="715"/>
      <c r="M68" s="673"/>
      <c r="N68" s="674"/>
      <c r="O68" s="672"/>
    </row>
    <row r="69" spans="1:17" ht="25.5" x14ac:dyDescent="0.2">
      <c r="A69" s="594"/>
      <c r="B69" s="586"/>
      <c r="C69" s="586"/>
      <c r="D69" s="93" t="s">
        <v>248</v>
      </c>
      <c r="E69" s="38">
        <v>78</v>
      </c>
      <c r="F69" s="34" t="s">
        <v>14</v>
      </c>
      <c r="G69" s="34" t="s">
        <v>14</v>
      </c>
      <c r="H69" s="34">
        <f>9900*117/100</f>
        <v>11583</v>
      </c>
      <c r="I69" s="34">
        <f t="shared" si="2"/>
        <v>11583</v>
      </c>
      <c r="J69" s="93" t="s">
        <v>13</v>
      </c>
      <c r="K69" s="715"/>
      <c r="L69" s="715"/>
      <c r="M69" s="673"/>
      <c r="N69" s="674"/>
      <c r="O69" s="672"/>
    </row>
    <row r="70" spans="1:17" ht="25.5" x14ac:dyDescent="0.2">
      <c r="A70" s="594"/>
      <c r="B70" s="586"/>
      <c r="C70" s="586"/>
      <c r="D70" s="93" t="s">
        <v>249</v>
      </c>
      <c r="E70" s="38">
        <v>69</v>
      </c>
      <c r="F70" s="34" t="s">
        <v>14</v>
      </c>
      <c r="G70" s="34" t="s">
        <v>14</v>
      </c>
      <c r="H70" s="34">
        <f>12000*117/100</f>
        <v>14040</v>
      </c>
      <c r="I70" s="34">
        <f t="shared" si="2"/>
        <v>14040</v>
      </c>
      <c r="J70" s="93" t="s">
        <v>13</v>
      </c>
      <c r="K70" s="715"/>
      <c r="L70" s="715"/>
      <c r="M70" s="673"/>
      <c r="N70" s="674"/>
      <c r="O70" s="672"/>
    </row>
    <row r="71" spans="1:17" ht="14.25" x14ac:dyDescent="0.2">
      <c r="A71" s="594"/>
      <c r="B71" s="596"/>
      <c r="C71" s="596"/>
      <c r="D71" s="93" t="s">
        <v>250</v>
      </c>
      <c r="E71" s="38">
        <v>54</v>
      </c>
      <c r="F71" s="34" t="s">
        <v>14</v>
      </c>
      <c r="G71" s="34" t="s">
        <v>14</v>
      </c>
      <c r="H71" s="34">
        <f>16500*117/100</f>
        <v>19305</v>
      </c>
      <c r="I71" s="34">
        <f t="shared" si="2"/>
        <v>19305</v>
      </c>
      <c r="J71" s="93" t="s">
        <v>13</v>
      </c>
      <c r="K71" s="716"/>
      <c r="L71" s="716"/>
      <c r="M71" s="658"/>
      <c r="N71" s="660"/>
      <c r="O71" s="705"/>
    </row>
    <row r="72" spans="1:17" ht="14.25" x14ac:dyDescent="0.2">
      <c r="A72" s="595"/>
      <c r="B72" s="717"/>
      <c r="C72" s="718"/>
      <c r="D72" s="718"/>
      <c r="E72" s="718"/>
      <c r="F72" s="718"/>
      <c r="G72" s="718"/>
      <c r="H72" s="718"/>
      <c r="I72" s="718"/>
      <c r="J72" s="718"/>
      <c r="K72" s="718"/>
      <c r="L72" s="718"/>
      <c r="M72" s="718"/>
      <c r="N72" s="718"/>
      <c r="O72" s="719"/>
    </row>
    <row r="73" spans="1:17" s="10" customFormat="1" ht="15.75" x14ac:dyDescent="0.2">
      <c r="A73" s="556" t="s">
        <v>251</v>
      </c>
      <c r="B73" s="557"/>
      <c r="C73" s="557"/>
      <c r="D73" s="557"/>
      <c r="E73" s="557"/>
      <c r="F73" s="557"/>
      <c r="G73" s="557"/>
      <c r="H73" s="557"/>
      <c r="I73" s="557"/>
      <c r="J73" s="557"/>
      <c r="K73" s="557"/>
      <c r="L73" s="557"/>
      <c r="M73" s="557"/>
      <c r="N73" s="557"/>
      <c r="O73" s="661"/>
      <c r="P73"/>
      <c r="Q73"/>
    </row>
    <row r="74" spans="1:17" s="10" customFormat="1" ht="25.5" x14ac:dyDescent="0.2">
      <c r="A74" s="593">
        <v>12</v>
      </c>
      <c r="B74" s="585" t="s">
        <v>252</v>
      </c>
      <c r="C74" s="585" t="s">
        <v>89</v>
      </c>
      <c r="D74" s="13" t="s">
        <v>253</v>
      </c>
      <c r="E74" s="14">
        <v>100</v>
      </c>
      <c r="F74" s="15" t="s">
        <v>14</v>
      </c>
      <c r="G74" s="15" t="s">
        <v>14</v>
      </c>
      <c r="H74" s="15">
        <f>9500*117/100</f>
        <v>11115</v>
      </c>
      <c r="I74" s="15">
        <f>H74</f>
        <v>11115</v>
      </c>
      <c r="J74" s="13" t="s">
        <v>13</v>
      </c>
      <c r="K74" s="714" t="s">
        <v>15</v>
      </c>
      <c r="L74" s="714" t="s">
        <v>97</v>
      </c>
      <c r="M74" s="657">
        <f>I74</f>
        <v>11115</v>
      </c>
      <c r="N74" s="659" t="s">
        <v>18</v>
      </c>
      <c r="O74" s="671"/>
      <c r="P74"/>
      <c r="Q74"/>
    </row>
    <row r="75" spans="1:17" ht="14.25" x14ac:dyDescent="0.2">
      <c r="A75" s="594"/>
      <c r="B75" s="586"/>
      <c r="C75" s="586"/>
      <c r="D75" s="93" t="s">
        <v>254</v>
      </c>
      <c r="E75" s="38">
        <v>74</v>
      </c>
      <c r="F75" s="34" t="s">
        <v>14</v>
      </c>
      <c r="G75" s="34" t="s">
        <v>14</v>
      </c>
      <c r="H75" s="34">
        <f>15000*117/100</f>
        <v>17550</v>
      </c>
      <c r="I75" s="34">
        <f>H75</f>
        <v>17550</v>
      </c>
      <c r="J75" s="93" t="s">
        <v>13</v>
      </c>
      <c r="K75" s="715"/>
      <c r="L75" s="715"/>
      <c r="M75" s="673"/>
      <c r="N75" s="674"/>
      <c r="O75" s="672"/>
    </row>
    <row r="76" spans="1:17" s="10" customFormat="1" ht="25.5" x14ac:dyDescent="0.2">
      <c r="A76" s="594"/>
      <c r="B76" s="586"/>
      <c r="C76" s="586"/>
      <c r="D76" s="93" t="s">
        <v>255</v>
      </c>
      <c r="E76" s="38">
        <v>55</v>
      </c>
      <c r="F76" s="34" t="s">
        <v>14</v>
      </c>
      <c r="G76" s="34" t="s">
        <v>14</v>
      </c>
      <c r="H76" s="34">
        <f>27000*117/100</f>
        <v>31590</v>
      </c>
      <c r="I76" s="34">
        <f>H76</f>
        <v>31590</v>
      </c>
      <c r="J76" s="93" t="s">
        <v>13</v>
      </c>
      <c r="K76" s="715"/>
      <c r="L76" s="715"/>
      <c r="M76" s="673"/>
      <c r="N76" s="674"/>
      <c r="O76" s="672"/>
      <c r="P76"/>
      <c r="Q76"/>
    </row>
    <row r="77" spans="1:17" s="10" customFormat="1" ht="25.5" x14ac:dyDescent="0.2">
      <c r="A77" s="594"/>
      <c r="B77" s="596"/>
      <c r="C77" s="596"/>
      <c r="D77" s="93" t="s">
        <v>256</v>
      </c>
      <c r="E77" s="38">
        <v>47</v>
      </c>
      <c r="F77" s="34" t="s">
        <v>14</v>
      </c>
      <c r="G77" s="34" t="s">
        <v>14</v>
      </c>
      <c r="H77" s="34">
        <f>40000*117/100</f>
        <v>46800</v>
      </c>
      <c r="I77" s="34">
        <f>H77</f>
        <v>46800</v>
      </c>
      <c r="J77" s="93" t="s">
        <v>13</v>
      </c>
      <c r="K77" s="716"/>
      <c r="L77" s="716"/>
      <c r="M77" s="658"/>
      <c r="N77" s="660"/>
      <c r="O77" s="705"/>
      <c r="P77"/>
      <c r="Q77"/>
    </row>
    <row r="78" spans="1:17" ht="14.25" x14ac:dyDescent="0.2">
      <c r="A78" s="595"/>
      <c r="B78" s="717"/>
      <c r="C78" s="718"/>
      <c r="D78" s="718"/>
      <c r="E78" s="718"/>
      <c r="F78" s="718"/>
      <c r="G78" s="718"/>
      <c r="H78" s="718"/>
      <c r="I78" s="718"/>
      <c r="J78" s="718"/>
      <c r="K78" s="718"/>
      <c r="L78" s="718"/>
      <c r="M78" s="718"/>
      <c r="N78" s="718"/>
      <c r="O78" s="719"/>
    </row>
    <row r="79" spans="1:17" s="10" customFormat="1" ht="15.75" x14ac:dyDescent="0.2">
      <c r="A79" s="556" t="s">
        <v>257</v>
      </c>
      <c r="B79" s="557"/>
      <c r="C79" s="557"/>
      <c r="D79" s="557"/>
      <c r="E79" s="557"/>
      <c r="F79" s="557"/>
      <c r="G79" s="557"/>
      <c r="H79" s="557"/>
      <c r="I79" s="557"/>
      <c r="J79" s="557"/>
      <c r="K79" s="557"/>
      <c r="L79" s="557"/>
      <c r="M79" s="557"/>
      <c r="N79" s="557"/>
      <c r="O79" s="661"/>
      <c r="P79"/>
      <c r="Q79"/>
    </row>
    <row r="80" spans="1:17" s="10" customFormat="1" x14ac:dyDescent="0.2">
      <c r="A80" s="593">
        <v>13</v>
      </c>
      <c r="B80" s="585" t="s">
        <v>258</v>
      </c>
      <c r="C80" s="585" t="s">
        <v>89</v>
      </c>
      <c r="D80" s="13" t="s">
        <v>74</v>
      </c>
      <c r="E80" s="14">
        <v>100</v>
      </c>
      <c r="F80" s="15" t="s">
        <v>14</v>
      </c>
      <c r="G80" s="15" t="s">
        <v>14</v>
      </c>
      <c r="H80" s="15">
        <f>4000*117/100</f>
        <v>4680</v>
      </c>
      <c r="I80" s="15">
        <f t="shared" ref="I80:I85" si="3">H80</f>
        <v>4680</v>
      </c>
      <c r="J80" s="13" t="s">
        <v>13</v>
      </c>
      <c r="K80" s="714" t="s">
        <v>15</v>
      </c>
      <c r="L80" s="714" t="s">
        <v>97</v>
      </c>
      <c r="M80" s="657">
        <f>I80</f>
        <v>4680</v>
      </c>
      <c r="N80" s="659" t="s">
        <v>18</v>
      </c>
      <c r="O80" s="671"/>
      <c r="P80"/>
      <c r="Q80"/>
    </row>
    <row r="81" spans="1:17" ht="25.5" x14ac:dyDescent="0.2">
      <c r="A81" s="594"/>
      <c r="B81" s="586"/>
      <c r="C81" s="586"/>
      <c r="D81" s="94" t="s">
        <v>259</v>
      </c>
      <c r="E81" s="38">
        <v>92</v>
      </c>
      <c r="F81" s="34" t="s">
        <v>14</v>
      </c>
      <c r="G81" s="34" t="s">
        <v>14</v>
      </c>
      <c r="H81" s="34">
        <f>4500*117/100</f>
        <v>5265</v>
      </c>
      <c r="I81" s="34">
        <f t="shared" si="3"/>
        <v>5265</v>
      </c>
      <c r="J81" s="94" t="s">
        <v>13</v>
      </c>
      <c r="K81" s="715"/>
      <c r="L81" s="715"/>
      <c r="M81" s="673"/>
      <c r="N81" s="674"/>
      <c r="O81" s="672"/>
    </row>
    <row r="82" spans="1:17" s="10" customFormat="1" ht="25.5" x14ac:dyDescent="0.2">
      <c r="A82" s="594"/>
      <c r="B82" s="586"/>
      <c r="C82" s="586"/>
      <c r="D82" s="94" t="s">
        <v>260</v>
      </c>
      <c r="E82" s="38">
        <v>86</v>
      </c>
      <c r="F82" s="34" t="s">
        <v>14</v>
      </c>
      <c r="G82" s="34" t="s">
        <v>14</v>
      </c>
      <c r="H82" s="34">
        <f>5000*117/100</f>
        <v>5850</v>
      </c>
      <c r="I82" s="34">
        <f t="shared" si="3"/>
        <v>5850</v>
      </c>
      <c r="J82" s="94" t="s">
        <v>13</v>
      </c>
      <c r="K82" s="715"/>
      <c r="L82" s="715"/>
      <c r="M82" s="673"/>
      <c r="N82" s="674"/>
      <c r="O82" s="672"/>
      <c r="P82"/>
      <c r="Q82"/>
    </row>
    <row r="83" spans="1:17" s="10" customFormat="1" ht="25.5" x14ac:dyDescent="0.2">
      <c r="A83" s="594"/>
      <c r="B83" s="586"/>
      <c r="C83" s="586"/>
      <c r="D83" s="94" t="s">
        <v>248</v>
      </c>
      <c r="E83" s="38">
        <v>73</v>
      </c>
      <c r="F83" s="34" t="s">
        <v>14</v>
      </c>
      <c r="G83" s="34" t="s">
        <v>14</v>
      </c>
      <c r="H83" s="34">
        <f>6500*117/100</f>
        <v>7605</v>
      </c>
      <c r="I83" s="34">
        <f t="shared" si="3"/>
        <v>7605</v>
      </c>
      <c r="J83" s="94" t="s">
        <v>13</v>
      </c>
      <c r="K83" s="715"/>
      <c r="L83" s="715"/>
      <c r="M83" s="673"/>
      <c r="N83" s="674"/>
      <c r="O83" s="672"/>
      <c r="P83"/>
      <c r="Q83"/>
    </row>
    <row r="84" spans="1:17" s="10" customFormat="1" ht="25.5" x14ac:dyDescent="0.2">
      <c r="A84" s="594"/>
      <c r="B84" s="586"/>
      <c r="C84" s="586"/>
      <c r="D84" s="94" t="s">
        <v>261</v>
      </c>
      <c r="E84" s="38">
        <v>70</v>
      </c>
      <c r="F84" s="34" t="s">
        <v>14</v>
      </c>
      <c r="G84" s="34" t="s">
        <v>14</v>
      </c>
      <c r="H84" s="34">
        <f>7000*117/100</f>
        <v>8190</v>
      </c>
      <c r="I84" s="34">
        <f t="shared" si="3"/>
        <v>8190</v>
      </c>
      <c r="J84" s="94" t="s">
        <v>13</v>
      </c>
      <c r="K84" s="715"/>
      <c r="L84" s="715"/>
      <c r="M84" s="673"/>
      <c r="N84" s="674"/>
      <c r="O84" s="672"/>
      <c r="P84"/>
      <c r="Q84"/>
    </row>
    <row r="85" spans="1:17" s="10" customFormat="1" x14ac:dyDescent="0.2">
      <c r="A85" s="594"/>
      <c r="B85" s="596"/>
      <c r="C85" s="596"/>
      <c r="D85" s="94" t="s">
        <v>250</v>
      </c>
      <c r="E85" s="38">
        <v>63</v>
      </c>
      <c r="F85" s="34" t="s">
        <v>14</v>
      </c>
      <c r="G85" s="34" t="s">
        <v>14</v>
      </c>
      <c r="H85" s="34">
        <f>8500*117/100</f>
        <v>9945</v>
      </c>
      <c r="I85" s="34">
        <f t="shared" si="3"/>
        <v>9945</v>
      </c>
      <c r="J85" s="94" t="s">
        <v>13</v>
      </c>
      <c r="K85" s="716"/>
      <c r="L85" s="716"/>
      <c r="M85" s="658"/>
      <c r="N85" s="660"/>
      <c r="O85" s="705"/>
      <c r="P85"/>
      <c r="Q85"/>
    </row>
    <row r="86" spans="1:17" ht="14.25" x14ac:dyDescent="0.2">
      <c r="A86" s="595"/>
      <c r="B86" s="717"/>
      <c r="C86" s="718"/>
      <c r="D86" s="718"/>
      <c r="E86" s="718"/>
      <c r="F86" s="718"/>
      <c r="G86" s="718"/>
      <c r="H86" s="718"/>
      <c r="I86" s="718"/>
      <c r="J86" s="718"/>
      <c r="K86" s="718"/>
      <c r="L86" s="718"/>
      <c r="M86" s="718"/>
      <c r="N86" s="718"/>
      <c r="O86" s="719"/>
    </row>
    <row r="87" spans="1:17" s="10" customFormat="1" ht="15.75" x14ac:dyDescent="0.2">
      <c r="A87" s="556" t="s">
        <v>263</v>
      </c>
      <c r="B87" s="557"/>
      <c r="C87" s="557"/>
      <c r="D87" s="557"/>
      <c r="E87" s="557"/>
      <c r="F87" s="557"/>
      <c r="G87" s="557"/>
      <c r="H87" s="557"/>
      <c r="I87" s="557"/>
      <c r="J87" s="557"/>
      <c r="K87" s="557"/>
      <c r="L87" s="557"/>
      <c r="M87" s="557"/>
      <c r="N87" s="557"/>
      <c r="O87" s="661"/>
      <c r="P87"/>
      <c r="Q87"/>
    </row>
    <row r="88" spans="1:17" s="10" customFormat="1" ht="25.5" x14ac:dyDescent="0.2">
      <c r="A88" s="593">
        <v>14</v>
      </c>
      <c r="B88" s="585" t="s">
        <v>262</v>
      </c>
      <c r="C88" s="585" t="s">
        <v>89</v>
      </c>
      <c r="D88" s="13" t="s">
        <v>230</v>
      </c>
      <c r="E88" s="14">
        <v>100</v>
      </c>
      <c r="F88" s="15" t="s">
        <v>14</v>
      </c>
      <c r="G88" s="15" t="s">
        <v>14</v>
      </c>
      <c r="H88" s="15">
        <f>7000*117/100</f>
        <v>8190</v>
      </c>
      <c r="I88" s="15">
        <f>H88</f>
        <v>8190</v>
      </c>
      <c r="J88" s="13" t="s">
        <v>13</v>
      </c>
      <c r="K88" s="714" t="s">
        <v>15</v>
      </c>
      <c r="L88" s="714" t="s">
        <v>97</v>
      </c>
      <c r="M88" s="657">
        <f>I88</f>
        <v>8190</v>
      </c>
      <c r="N88" s="659" t="s">
        <v>18</v>
      </c>
      <c r="O88" s="671"/>
      <c r="P88"/>
      <c r="Q88"/>
    </row>
    <row r="89" spans="1:17" ht="25.5" x14ac:dyDescent="0.2">
      <c r="A89" s="594"/>
      <c r="B89" s="586"/>
      <c r="C89" s="586"/>
      <c r="D89" s="94" t="s">
        <v>264</v>
      </c>
      <c r="E89" s="38">
        <v>94</v>
      </c>
      <c r="F89" s="34" t="s">
        <v>14</v>
      </c>
      <c r="G89" s="34" t="s">
        <v>14</v>
      </c>
      <c r="H89" s="34">
        <f>7000*117/100</f>
        <v>8190</v>
      </c>
      <c r="I89" s="34">
        <f>H89</f>
        <v>8190</v>
      </c>
      <c r="J89" s="94" t="s">
        <v>13</v>
      </c>
      <c r="K89" s="715"/>
      <c r="L89" s="715"/>
      <c r="M89" s="673"/>
      <c r="N89" s="674"/>
      <c r="O89" s="672"/>
    </row>
    <row r="90" spans="1:17" s="10" customFormat="1" ht="51" x14ac:dyDescent="0.2">
      <c r="A90" s="594"/>
      <c r="B90" s="586"/>
      <c r="C90" s="586"/>
      <c r="D90" s="94" t="s">
        <v>265</v>
      </c>
      <c r="E90" s="38">
        <v>87</v>
      </c>
      <c r="F90" s="34" t="s">
        <v>14</v>
      </c>
      <c r="G90" s="34" t="s">
        <v>14</v>
      </c>
      <c r="H90" s="34">
        <f>8650*117/100</f>
        <v>10120.5</v>
      </c>
      <c r="I90" s="34">
        <f>H90</f>
        <v>10120.5</v>
      </c>
      <c r="J90" s="94" t="s">
        <v>13</v>
      </c>
      <c r="K90" s="715"/>
      <c r="L90" s="715"/>
      <c r="M90" s="673"/>
      <c r="N90" s="674"/>
      <c r="O90" s="672"/>
      <c r="P90"/>
      <c r="Q90"/>
    </row>
    <row r="91" spans="1:17" s="10" customFormat="1" ht="51" x14ac:dyDescent="0.2">
      <c r="A91" s="594"/>
      <c r="B91" s="596"/>
      <c r="C91" s="596"/>
      <c r="D91" s="94" t="s">
        <v>266</v>
      </c>
      <c r="E91" s="38">
        <v>79</v>
      </c>
      <c r="F91" s="34" t="s">
        <v>14</v>
      </c>
      <c r="G91" s="34" t="s">
        <v>14</v>
      </c>
      <c r="H91" s="34">
        <f>10000*117/100</f>
        <v>11700</v>
      </c>
      <c r="I91" s="34">
        <f>H91</f>
        <v>11700</v>
      </c>
      <c r="J91" s="94" t="s">
        <v>13</v>
      </c>
      <c r="K91" s="716"/>
      <c r="L91" s="716"/>
      <c r="M91" s="658"/>
      <c r="N91" s="660"/>
      <c r="O91" s="705"/>
      <c r="P91"/>
      <c r="Q91"/>
    </row>
    <row r="92" spans="1:17" ht="14.25" x14ac:dyDescent="0.2">
      <c r="A92" s="595"/>
      <c r="B92" s="717"/>
      <c r="C92" s="718"/>
      <c r="D92" s="718"/>
      <c r="E92" s="718"/>
      <c r="F92" s="718"/>
      <c r="G92" s="718"/>
      <c r="H92" s="718"/>
      <c r="I92" s="718"/>
      <c r="J92" s="718"/>
      <c r="K92" s="718"/>
      <c r="L92" s="718"/>
      <c r="M92" s="718"/>
      <c r="N92" s="718"/>
      <c r="O92" s="719"/>
    </row>
    <row r="93" spans="1:17" s="10" customFormat="1" ht="15.75" x14ac:dyDescent="0.2">
      <c r="A93" s="556" t="s">
        <v>267</v>
      </c>
      <c r="B93" s="557"/>
      <c r="C93" s="557"/>
      <c r="D93" s="557"/>
      <c r="E93" s="557"/>
      <c r="F93" s="557"/>
      <c r="G93" s="557"/>
      <c r="H93" s="557"/>
      <c r="I93" s="557"/>
      <c r="J93" s="557"/>
      <c r="K93" s="557"/>
      <c r="L93" s="557"/>
      <c r="M93" s="557"/>
      <c r="N93" s="557"/>
      <c r="O93" s="661"/>
      <c r="P93"/>
      <c r="Q93"/>
    </row>
    <row r="94" spans="1:17" s="10" customFormat="1" ht="25.5" x14ac:dyDescent="0.2">
      <c r="A94" s="593">
        <v>15</v>
      </c>
      <c r="B94" s="585" t="s">
        <v>268</v>
      </c>
      <c r="C94" s="585" t="s">
        <v>89</v>
      </c>
      <c r="D94" s="13" t="s">
        <v>253</v>
      </c>
      <c r="E94" s="14">
        <v>100</v>
      </c>
      <c r="F94" s="15" t="s">
        <v>14</v>
      </c>
      <c r="G94" s="15" t="s">
        <v>14</v>
      </c>
      <c r="H94" s="15">
        <f>7500*117/100</f>
        <v>8775</v>
      </c>
      <c r="I94" s="15">
        <f>H94</f>
        <v>8775</v>
      </c>
      <c r="J94" s="13" t="s">
        <v>13</v>
      </c>
      <c r="K94" s="714" t="s">
        <v>15</v>
      </c>
      <c r="L94" s="714" t="s">
        <v>97</v>
      </c>
      <c r="M94" s="657">
        <f>I94</f>
        <v>8775</v>
      </c>
      <c r="N94" s="659" t="s">
        <v>18</v>
      </c>
      <c r="O94" s="671"/>
      <c r="P94"/>
      <c r="Q94"/>
    </row>
    <row r="95" spans="1:17" ht="38.25" x14ac:dyDescent="0.2">
      <c r="A95" s="594"/>
      <c r="B95" s="586"/>
      <c r="C95" s="586"/>
      <c r="D95" s="94" t="s">
        <v>269</v>
      </c>
      <c r="E95" s="38">
        <v>74</v>
      </c>
      <c r="F95" s="34" t="s">
        <v>14</v>
      </c>
      <c r="G95" s="34" t="s">
        <v>14</v>
      </c>
      <c r="H95" s="34">
        <f>12000*117/100</f>
        <v>14040</v>
      </c>
      <c r="I95" s="34">
        <f>H95</f>
        <v>14040</v>
      </c>
      <c r="J95" s="94"/>
      <c r="K95" s="715"/>
      <c r="L95" s="715"/>
      <c r="M95" s="673"/>
      <c r="N95" s="674"/>
      <c r="O95" s="672"/>
    </row>
    <row r="96" spans="1:17" s="10" customFormat="1" ht="25.5" x14ac:dyDescent="0.2">
      <c r="A96" s="594"/>
      <c r="B96" s="586"/>
      <c r="C96" s="586"/>
      <c r="D96" s="94" t="s">
        <v>256</v>
      </c>
      <c r="E96" s="38">
        <v>65</v>
      </c>
      <c r="F96" s="34" t="s">
        <v>14</v>
      </c>
      <c r="G96" s="34" t="s">
        <v>14</v>
      </c>
      <c r="H96" s="34">
        <f>15000*117/100</f>
        <v>17550</v>
      </c>
      <c r="I96" s="34">
        <f>H96</f>
        <v>17550</v>
      </c>
      <c r="J96" s="94" t="s">
        <v>13</v>
      </c>
      <c r="K96" s="715"/>
      <c r="L96" s="715"/>
      <c r="M96" s="673"/>
      <c r="N96" s="674"/>
      <c r="O96" s="672"/>
      <c r="P96"/>
      <c r="Q96"/>
    </row>
    <row r="97" spans="1:17" s="10" customFormat="1" ht="25.5" x14ac:dyDescent="0.2">
      <c r="A97" s="594"/>
      <c r="B97" s="596"/>
      <c r="C97" s="596"/>
      <c r="D97" s="94" t="s">
        <v>270</v>
      </c>
      <c r="E97" s="38">
        <v>65</v>
      </c>
      <c r="F97" s="34" t="s">
        <v>14</v>
      </c>
      <c r="G97" s="34" t="s">
        <v>14</v>
      </c>
      <c r="H97" s="34">
        <f>15000*117/100</f>
        <v>17550</v>
      </c>
      <c r="I97" s="34">
        <f>H97</f>
        <v>17550</v>
      </c>
      <c r="J97" s="94" t="s">
        <v>13</v>
      </c>
      <c r="K97" s="716"/>
      <c r="L97" s="716"/>
      <c r="M97" s="658"/>
      <c r="N97" s="660"/>
      <c r="O97" s="705"/>
      <c r="P97"/>
      <c r="Q97"/>
    </row>
    <row r="98" spans="1:17" ht="14.25" x14ac:dyDescent="0.2">
      <c r="A98" s="595"/>
      <c r="B98" s="717"/>
      <c r="C98" s="718"/>
      <c r="D98" s="718"/>
      <c r="E98" s="718"/>
      <c r="F98" s="718"/>
      <c r="G98" s="718"/>
      <c r="H98" s="718"/>
      <c r="I98" s="718"/>
      <c r="J98" s="718"/>
      <c r="K98" s="718"/>
      <c r="L98" s="718"/>
      <c r="M98" s="718"/>
      <c r="N98" s="718"/>
      <c r="O98" s="719"/>
    </row>
    <row r="99" spans="1:17" s="10" customFormat="1" ht="15.75" x14ac:dyDescent="0.2">
      <c r="A99" s="556" t="s">
        <v>271</v>
      </c>
      <c r="B99" s="557"/>
      <c r="C99" s="557"/>
      <c r="D99" s="557"/>
      <c r="E99" s="557"/>
      <c r="F99" s="557"/>
      <c r="G99" s="557"/>
      <c r="H99" s="557"/>
      <c r="I99" s="557"/>
      <c r="J99" s="557"/>
      <c r="K99" s="557"/>
      <c r="L99" s="557"/>
      <c r="M99" s="557"/>
      <c r="N99" s="557"/>
      <c r="O99" s="661"/>
      <c r="P99"/>
      <c r="Q99"/>
    </row>
    <row r="100" spans="1:17" s="10" customFormat="1" ht="25.5" x14ac:dyDescent="0.2">
      <c r="A100" s="593">
        <v>16</v>
      </c>
      <c r="B100" s="585" t="s">
        <v>272</v>
      </c>
      <c r="C100" s="585" t="s">
        <v>89</v>
      </c>
      <c r="D100" s="13" t="s">
        <v>120</v>
      </c>
      <c r="E100" s="14">
        <v>100</v>
      </c>
      <c r="F100" s="15" t="s">
        <v>14</v>
      </c>
      <c r="G100" s="15" t="s">
        <v>14</v>
      </c>
      <c r="H100" s="15">
        <f>5000*117/100</f>
        <v>5850</v>
      </c>
      <c r="I100" s="15">
        <f>H100</f>
        <v>5850</v>
      </c>
      <c r="J100" s="13" t="s">
        <v>13</v>
      </c>
      <c r="K100" s="714" t="s">
        <v>15</v>
      </c>
      <c r="L100" s="714" t="s">
        <v>97</v>
      </c>
      <c r="M100" s="657">
        <f>I100</f>
        <v>5850</v>
      </c>
      <c r="N100" s="659" t="s">
        <v>18</v>
      </c>
      <c r="O100" s="671"/>
      <c r="P100"/>
      <c r="Q100"/>
    </row>
    <row r="101" spans="1:17" ht="14.25" x14ac:dyDescent="0.2">
      <c r="A101" s="594"/>
      <c r="B101" s="586"/>
      <c r="C101" s="586"/>
      <c r="D101" s="94" t="s">
        <v>273</v>
      </c>
      <c r="E101" s="38">
        <v>79</v>
      </c>
      <c r="F101" s="34" t="s">
        <v>14</v>
      </c>
      <c r="G101" s="34" t="s">
        <v>14</v>
      </c>
      <c r="H101" s="34">
        <f>7200*117/100</f>
        <v>8424</v>
      </c>
      <c r="I101" s="34">
        <f>H101</f>
        <v>8424</v>
      </c>
      <c r="J101" s="94"/>
      <c r="K101" s="715"/>
      <c r="L101" s="715"/>
      <c r="M101" s="673"/>
      <c r="N101" s="674"/>
      <c r="O101" s="672"/>
    </row>
    <row r="102" spans="1:17" s="10" customFormat="1" ht="25.5" x14ac:dyDescent="0.2">
      <c r="A102" s="594"/>
      <c r="B102" s="586"/>
      <c r="C102" s="586"/>
      <c r="D102" s="94" t="s">
        <v>274</v>
      </c>
      <c r="E102" s="38">
        <v>42</v>
      </c>
      <c r="F102" s="34" t="s">
        <v>14</v>
      </c>
      <c r="G102" s="34" t="s">
        <v>14</v>
      </c>
      <c r="H102" s="34">
        <f>28000*117/100</f>
        <v>32760</v>
      </c>
      <c r="I102" s="34">
        <f>H102</f>
        <v>32760</v>
      </c>
      <c r="J102" s="94" t="s">
        <v>13</v>
      </c>
      <c r="K102" s="715"/>
      <c r="L102" s="715"/>
      <c r="M102" s="673"/>
      <c r="N102" s="674"/>
      <c r="O102" s="672"/>
      <c r="P102"/>
      <c r="Q102"/>
    </row>
    <row r="103" spans="1:17" s="10" customFormat="1" ht="25.5" x14ac:dyDescent="0.2">
      <c r="A103" s="594"/>
      <c r="B103" s="596"/>
      <c r="C103" s="596"/>
      <c r="D103" s="94" t="s">
        <v>25</v>
      </c>
      <c r="E103" s="38">
        <v>38</v>
      </c>
      <c r="F103" s="34" t="s">
        <v>14</v>
      </c>
      <c r="G103" s="34" t="s">
        <v>14</v>
      </c>
      <c r="H103" s="34">
        <f>42000*117/100</f>
        <v>49140</v>
      </c>
      <c r="I103" s="34">
        <f>H103</f>
        <v>49140</v>
      </c>
      <c r="J103" s="94" t="s">
        <v>13</v>
      </c>
      <c r="K103" s="716"/>
      <c r="L103" s="716"/>
      <c r="M103" s="658"/>
      <c r="N103" s="660"/>
      <c r="O103" s="705"/>
      <c r="P103"/>
      <c r="Q103"/>
    </row>
    <row r="104" spans="1:17" ht="14.25" x14ac:dyDescent="0.2">
      <c r="A104" s="595"/>
      <c r="B104" s="717"/>
      <c r="C104" s="718"/>
      <c r="D104" s="718"/>
      <c r="E104" s="718"/>
      <c r="F104" s="718"/>
      <c r="G104" s="718"/>
      <c r="H104" s="718"/>
      <c r="I104" s="718"/>
      <c r="J104" s="718"/>
      <c r="K104" s="718"/>
      <c r="L104" s="718"/>
      <c r="M104" s="718"/>
      <c r="N104" s="718"/>
      <c r="O104" s="719"/>
    </row>
    <row r="105" spans="1:17" s="10" customFormat="1" ht="15.75" x14ac:dyDescent="0.2">
      <c r="A105" s="556" t="s">
        <v>275</v>
      </c>
      <c r="B105" s="557"/>
      <c r="C105" s="557"/>
      <c r="D105" s="557"/>
      <c r="E105" s="557"/>
      <c r="F105" s="557"/>
      <c r="G105" s="557"/>
      <c r="H105" s="557"/>
      <c r="I105" s="557"/>
      <c r="J105" s="557"/>
      <c r="K105" s="557"/>
      <c r="L105" s="557"/>
      <c r="M105" s="557"/>
      <c r="N105" s="557"/>
      <c r="O105" s="661"/>
      <c r="P105"/>
      <c r="Q105"/>
    </row>
    <row r="106" spans="1:17" s="10" customFormat="1" ht="25.5" x14ac:dyDescent="0.2">
      <c r="A106" s="593">
        <v>17</v>
      </c>
      <c r="B106" s="585" t="s">
        <v>276</v>
      </c>
      <c r="C106" s="585" t="s">
        <v>89</v>
      </c>
      <c r="D106" s="13" t="s">
        <v>277</v>
      </c>
      <c r="E106" s="14">
        <v>100</v>
      </c>
      <c r="F106" s="15" t="s">
        <v>14</v>
      </c>
      <c r="G106" s="15" t="s">
        <v>14</v>
      </c>
      <c r="H106" s="15">
        <f>7000*117/100</f>
        <v>8190</v>
      </c>
      <c r="I106" s="15">
        <f t="shared" ref="I106:I111" si="4">H106</f>
        <v>8190</v>
      </c>
      <c r="J106" s="13" t="s">
        <v>13</v>
      </c>
      <c r="K106" s="714" t="s">
        <v>15</v>
      </c>
      <c r="L106" s="714" t="s">
        <v>97</v>
      </c>
      <c r="M106" s="657">
        <f>I106</f>
        <v>8190</v>
      </c>
      <c r="N106" s="659" t="s">
        <v>18</v>
      </c>
      <c r="O106" s="671"/>
      <c r="P106"/>
      <c r="Q106"/>
    </row>
    <row r="107" spans="1:17" ht="25.5" x14ac:dyDescent="0.2">
      <c r="A107" s="594"/>
      <c r="B107" s="586"/>
      <c r="C107" s="586"/>
      <c r="D107" s="94" t="s">
        <v>278</v>
      </c>
      <c r="E107" s="38">
        <v>93</v>
      </c>
      <c r="F107" s="34" t="s">
        <v>14</v>
      </c>
      <c r="G107" s="34" t="s">
        <v>14</v>
      </c>
      <c r="H107" s="34">
        <f>7775*117/100</f>
        <v>9096.75</v>
      </c>
      <c r="I107" s="34">
        <f t="shared" si="4"/>
        <v>9096.75</v>
      </c>
      <c r="J107" s="94" t="s">
        <v>13</v>
      </c>
      <c r="K107" s="715"/>
      <c r="L107" s="715"/>
      <c r="M107" s="673"/>
      <c r="N107" s="674"/>
      <c r="O107" s="672"/>
    </row>
    <row r="108" spans="1:17" s="10" customFormat="1" ht="25.5" x14ac:dyDescent="0.2">
      <c r="A108" s="594"/>
      <c r="B108" s="586"/>
      <c r="C108" s="586"/>
      <c r="D108" s="94" t="s">
        <v>21</v>
      </c>
      <c r="E108" s="38">
        <v>88</v>
      </c>
      <c r="F108" s="34" t="s">
        <v>14</v>
      </c>
      <c r="G108" s="34" t="s">
        <v>14</v>
      </c>
      <c r="H108" s="34">
        <f>8500*117/100</f>
        <v>9945</v>
      </c>
      <c r="I108" s="34">
        <f t="shared" si="4"/>
        <v>9945</v>
      </c>
      <c r="J108" s="94" t="s">
        <v>13</v>
      </c>
      <c r="K108" s="715"/>
      <c r="L108" s="715"/>
      <c r="M108" s="673"/>
      <c r="N108" s="674"/>
      <c r="O108" s="672"/>
      <c r="P108"/>
      <c r="Q108"/>
    </row>
    <row r="109" spans="1:17" s="10" customFormat="1" ht="25.5" x14ac:dyDescent="0.2">
      <c r="A109" s="594"/>
      <c r="B109" s="586"/>
      <c r="C109" s="586"/>
      <c r="D109" s="94" t="s">
        <v>279</v>
      </c>
      <c r="E109" s="38">
        <v>82</v>
      </c>
      <c r="F109" s="34" t="s">
        <v>14</v>
      </c>
      <c r="G109" s="34" t="s">
        <v>14</v>
      </c>
      <c r="H109" s="34">
        <f>9500*117/100</f>
        <v>11115</v>
      </c>
      <c r="I109" s="34">
        <f t="shared" si="4"/>
        <v>11115</v>
      </c>
      <c r="J109" s="94" t="s">
        <v>13</v>
      </c>
      <c r="K109" s="715"/>
      <c r="L109" s="715"/>
      <c r="M109" s="673"/>
      <c r="N109" s="674"/>
      <c r="O109" s="672"/>
      <c r="P109"/>
      <c r="Q109"/>
    </row>
    <row r="110" spans="1:17" s="10" customFormat="1" x14ac:dyDescent="0.2">
      <c r="A110" s="594"/>
      <c r="B110" s="586"/>
      <c r="C110" s="586"/>
      <c r="D110" s="94" t="s">
        <v>280</v>
      </c>
      <c r="E110" s="38">
        <v>71</v>
      </c>
      <c r="F110" s="34" t="s">
        <v>14</v>
      </c>
      <c r="G110" s="34" t="s">
        <v>14</v>
      </c>
      <c r="H110" s="34">
        <f>12000*117/100</f>
        <v>14040</v>
      </c>
      <c r="I110" s="34">
        <f t="shared" si="4"/>
        <v>14040</v>
      </c>
      <c r="J110" s="94" t="s">
        <v>13</v>
      </c>
      <c r="K110" s="715"/>
      <c r="L110" s="715"/>
      <c r="M110" s="673"/>
      <c r="N110" s="674"/>
      <c r="O110" s="672"/>
      <c r="P110"/>
      <c r="Q110"/>
    </row>
    <row r="111" spans="1:17" s="10" customFormat="1" x14ac:dyDescent="0.2">
      <c r="A111" s="594"/>
      <c r="B111" s="596"/>
      <c r="C111" s="596"/>
      <c r="D111" s="94" t="s">
        <v>250</v>
      </c>
      <c r="E111" s="38">
        <v>69</v>
      </c>
      <c r="F111" s="34" t="s">
        <v>14</v>
      </c>
      <c r="G111" s="34" t="s">
        <v>14</v>
      </c>
      <c r="H111" s="34">
        <f>12500*117/100</f>
        <v>14625</v>
      </c>
      <c r="I111" s="34">
        <f t="shared" si="4"/>
        <v>14625</v>
      </c>
      <c r="J111" s="94" t="s">
        <v>13</v>
      </c>
      <c r="K111" s="716"/>
      <c r="L111" s="716"/>
      <c r="M111" s="658"/>
      <c r="N111" s="660"/>
      <c r="O111" s="705"/>
      <c r="P111"/>
      <c r="Q111"/>
    </row>
    <row r="112" spans="1:17" ht="14.25" x14ac:dyDescent="0.2">
      <c r="A112" s="595"/>
      <c r="B112" s="717"/>
      <c r="C112" s="718"/>
      <c r="D112" s="718"/>
      <c r="E112" s="718"/>
      <c r="F112" s="718"/>
      <c r="G112" s="718"/>
      <c r="H112" s="718"/>
      <c r="I112" s="718"/>
      <c r="J112" s="718"/>
      <c r="K112" s="718"/>
      <c r="L112" s="718"/>
      <c r="M112" s="718"/>
      <c r="N112" s="718"/>
      <c r="O112" s="719"/>
    </row>
    <row r="113" spans="1:17" s="10" customFormat="1" ht="15.75" x14ac:dyDescent="0.2">
      <c r="A113" s="556" t="s">
        <v>281</v>
      </c>
      <c r="B113" s="557"/>
      <c r="C113" s="557"/>
      <c r="D113" s="557"/>
      <c r="E113" s="557"/>
      <c r="F113" s="557"/>
      <c r="G113" s="557"/>
      <c r="H113" s="557"/>
      <c r="I113" s="557"/>
      <c r="J113" s="557"/>
      <c r="K113" s="557"/>
      <c r="L113" s="557"/>
      <c r="M113" s="557"/>
      <c r="N113" s="557"/>
      <c r="O113" s="661"/>
      <c r="P113"/>
      <c r="Q113"/>
    </row>
    <row r="114" spans="1:17" s="10" customFormat="1" ht="25.5" x14ac:dyDescent="0.2">
      <c r="A114" s="593">
        <v>18</v>
      </c>
      <c r="B114" s="585" t="s">
        <v>282</v>
      </c>
      <c r="C114" s="585" t="s">
        <v>89</v>
      </c>
      <c r="D114" s="13" t="s">
        <v>278</v>
      </c>
      <c r="E114" s="14">
        <v>100</v>
      </c>
      <c r="F114" s="15" t="s">
        <v>14</v>
      </c>
      <c r="G114" s="15" t="s">
        <v>14</v>
      </c>
      <c r="H114" s="15">
        <f>2350*117/100</f>
        <v>2749.5</v>
      </c>
      <c r="I114" s="15">
        <f>H114</f>
        <v>2749.5</v>
      </c>
      <c r="J114" s="13" t="s">
        <v>13</v>
      </c>
      <c r="K114" s="714" t="s">
        <v>15</v>
      </c>
      <c r="L114" s="714" t="s">
        <v>97</v>
      </c>
      <c r="M114" s="657">
        <f>I114</f>
        <v>2749.5</v>
      </c>
      <c r="N114" s="659" t="s">
        <v>18</v>
      </c>
      <c r="O114" s="671"/>
      <c r="P114"/>
      <c r="Q114"/>
    </row>
    <row r="115" spans="1:17" ht="25.5" x14ac:dyDescent="0.2">
      <c r="A115" s="594"/>
      <c r="B115" s="586"/>
      <c r="C115" s="586"/>
      <c r="D115" s="94" t="s">
        <v>283</v>
      </c>
      <c r="E115" s="38">
        <v>96</v>
      </c>
      <c r="F115" s="34" t="s">
        <v>14</v>
      </c>
      <c r="G115" s="34" t="s">
        <v>14</v>
      </c>
      <c r="H115" s="34">
        <f>2500*117/100</f>
        <v>2925</v>
      </c>
      <c r="I115" s="34">
        <f>H115</f>
        <v>2925</v>
      </c>
      <c r="J115" s="94" t="s">
        <v>13</v>
      </c>
      <c r="K115" s="715"/>
      <c r="L115" s="715"/>
      <c r="M115" s="673"/>
      <c r="N115" s="674"/>
      <c r="O115" s="672"/>
    </row>
    <row r="116" spans="1:17" s="10" customFormat="1" ht="25.5" x14ac:dyDescent="0.2">
      <c r="A116" s="594"/>
      <c r="B116" s="586"/>
      <c r="C116" s="586"/>
      <c r="D116" s="94" t="s">
        <v>284</v>
      </c>
      <c r="E116" s="38">
        <v>66</v>
      </c>
      <c r="F116" s="34" t="s">
        <v>14</v>
      </c>
      <c r="G116" s="34" t="s">
        <v>14</v>
      </c>
      <c r="H116" s="34">
        <f>5000*117/100</f>
        <v>5850</v>
      </c>
      <c r="I116" s="34">
        <f>H116</f>
        <v>5850</v>
      </c>
      <c r="J116" s="94" t="s">
        <v>13</v>
      </c>
      <c r="K116" s="715"/>
      <c r="L116" s="715"/>
      <c r="M116" s="673"/>
      <c r="N116" s="674"/>
      <c r="O116" s="672"/>
      <c r="P116"/>
      <c r="Q116"/>
    </row>
    <row r="117" spans="1:17" s="10" customFormat="1" ht="25.5" x14ac:dyDescent="0.2">
      <c r="A117" s="594"/>
      <c r="B117" s="596"/>
      <c r="C117" s="596"/>
      <c r="D117" s="94" t="s">
        <v>285</v>
      </c>
      <c r="E117" s="38">
        <v>54</v>
      </c>
      <c r="F117" s="34" t="s">
        <v>14</v>
      </c>
      <c r="G117" s="34" t="s">
        <v>14</v>
      </c>
      <c r="H117" s="34">
        <f>6750*117/100</f>
        <v>7897.5</v>
      </c>
      <c r="I117" s="34">
        <f>H117</f>
        <v>7897.5</v>
      </c>
      <c r="J117" s="94" t="s">
        <v>13</v>
      </c>
      <c r="K117" s="716"/>
      <c r="L117" s="716"/>
      <c r="M117" s="658"/>
      <c r="N117" s="660"/>
      <c r="O117" s="705"/>
      <c r="P117"/>
      <c r="Q117"/>
    </row>
    <row r="118" spans="1:17" ht="14.25" x14ac:dyDescent="0.2">
      <c r="A118" s="595"/>
      <c r="B118" s="717"/>
      <c r="C118" s="718"/>
      <c r="D118" s="718"/>
      <c r="E118" s="718"/>
      <c r="F118" s="718"/>
      <c r="G118" s="718"/>
      <c r="H118" s="718"/>
      <c r="I118" s="718"/>
      <c r="J118" s="718"/>
      <c r="K118" s="718"/>
      <c r="L118" s="718"/>
      <c r="M118" s="718"/>
      <c r="N118" s="718"/>
      <c r="O118" s="719"/>
    </row>
    <row r="119" spans="1:17" s="10" customFormat="1" ht="15.75" x14ac:dyDescent="0.2">
      <c r="A119" s="556" t="s">
        <v>286</v>
      </c>
      <c r="B119" s="557"/>
      <c r="C119" s="557"/>
      <c r="D119" s="557"/>
      <c r="E119" s="557"/>
      <c r="F119" s="557"/>
      <c r="G119" s="557"/>
      <c r="H119" s="557"/>
      <c r="I119" s="557"/>
      <c r="J119" s="557"/>
      <c r="K119" s="557"/>
      <c r="L119" s="557"/>
      <c r="M119" s="557"/>
      <c r="N119" s="557"/>
      <c r="O119" s="661"/>
      <c r="P119"/>
      <c r="Q119"/>
    </row>
    <row r="120" spans="1:17" s="10" customFormat="1" ht="38.25" x14ac:dyDescent="0.2">
      <c r="A120" s="593">
        <v>19</v>
      </c>
      <c r="B120" s="585" t="s">
        <v>287</v>
      </c>
      <c r="C120" s="597" t="s">
        <v>288</v>
      </c>
      <c r="D120" s="26" t="s">
        <v>289</v>
      </c>
      <c r="E120" s="27">
        <v>100</v>
      </c>
      <c r="F120" s="28" t="s">
        <v>129</v>
      </c>
      <c r="G120" s="28" t="s">
        <v>317</v>
      </c>
      <c r="H120" s="28">
        <f>8000*117/100</f>
        <v>9360</v>
      </c>
      <c r="I120" s="28">
        <f>H120*12</f>
        <v>112320</v>
      </c>
      <c r="J120" s="26" t="s">
        <v>13</v>
      </c>
      <c r="K120" s="714" t="s">
        <v>319</v>
      </c>
      <c r="L120" s="714" t="s">
        <v>318</v>
      </c>
      <c r="M120" s="657">
        <f>H120</f>
        <v>9360</v>
      </c>
      <c r="N120" s="659" t="s">
        <v>18</v>
      </c>
      <c r="O120" s="671"/>
      <c r="P120"/>
      <c r="Q120"/>
    </row>
    <row r="121" spans="1:17" ht="38.25" x14ac:dyDescent="0.2">
      <c r="A121" s="594"/>
      <c r="B121" s="586"/>
      <c r="C121" s="598"/>
      <c r="D121" s="94" t="s">
        <v>290</v>
      </c>
      <c r="E121" s="38">
        <v>83</v>
      </c>
      <c r="F121" s="34" t="s">
        <v>129</v>
      </c>
      <c r="G121" s="34" t="s">
        <v>317</v>
      </c>
      <c r="H121" s="34">
        <f>8500*117/100</f>
        <v>9945</v>
      </c>
      <c r="I121" s="34">
        <f>H121*12</f>
        <v>119340</v>
      </c>
      <c r="J121" s="94" t="s">
        <v>13</v>
      </c>
      <c r="K121" s="715"/>
      <c r="L121" s="715"/>
      <c r="M121" s="673"/>
      <c r="N121" s="674"/>
      <c r="O121" s="672"/>
    </row>
    <row r="122" spans="1:17" s="10" customFormat="1" ht="25.5" x14ac:dyDescent="0.2">
      <c r="A122" s="594"/>
      <c r="B122" s="586"/>
      <c r="C122" s="598"/>
      <c r="D122" s="94" t="s">
        <v>174</v>
      </c>
      <c r="E122" s="38">
        <v>53</v>
      </c>
      <c r="F122" s="34" t="s">
        <v>129</v>
      </c>
      <c r="G122" s="34" t="s">
        <v>317</v>
      </c>
      <c r="H122" s="34">
        <f>11900*117/100</f>
        <v>13923</v>
      </c>
      <c r="I122" s="34">
        <f>H122*12</f>
        <v>167076</v>
      </c>
      <c r="J122" s="94" t="s">
        <v>13</v>
      </c>
      <c r="K122" s="715"/>
      <c r="L122" s="715"/>
      <c r="M122" s="673"/>
      <c r="N122" s="674"/>
      <c r="O122" s="672"/>
      <c r="P122"/>
      <c r="Q122"/>
    </row>
    <row r="123" spans="1:17" s="10" customFormat="1" ht="51" x14ac:dyDescent="0.2">
      <c r="A123" s="594"/>
      <c r="B123" s="586"/>
      <c r="C123" s="598"/>
      <c r="D123" s="94" t="s">
        <v>291</v>
      </c>
      <c r="E123" s="38">
        <v>52</v>
      </c>
      <c r="F123" s="34" t="s">
        <v>129</v>
      </c>
      <c r="G123" s="34" t="s">
        <v>317</v>
      </c>
      <c r="H123" s="34">
        <f>11990*117/100</f>
        <v>14028.3</v>
      </c>
      <c r="I123" s="34">
        <f>H123*12</f>
        <v>168339.59999999998</v>
      </c>
      <c r="J123" s="94" t="s">
        <v>13</v>
      </c>
      <c r="K123" s="715"/>
      <c r="L123" s="715"/>
      <c r="M123" s="673"/>
      <c r="N123" s="674"/>
      <c r="O123" s="672"/>
      <c r="P123"/>
      <c r="Q123"/>
    </row>
    <row r="124" spans="1:17" s="10" customFormat="1" x14ac:dyDescent="0.2">
      <c r="A124" s="594"/>
      <c r="B124" s="596"/>
      <c r="C124" s="599"/>
      <c r="D124" s="94" t="s">
        <v>74</v>
      </c>
      <c r="E124" s="38">
        <v>52</v>
      </c>
      <c r="F124" s="34" t="s">
        <v>129</v>
      </c>
      <c r="G124" s="34" t="s">
        <v>317</v>
      </c>
      <c r="H124" s="34">
        <f>12000*117/100</f>
        <v>14040</v>
      </c>
      <c r="I124" s="34">
        <f>H124*12</f>
        <v>168480</v>
      </c>
      <c r="J124" s="94" t="s">
        <v>13</v>
      </c>
      <c r="K124" s="716"/>
      <c r="L124" s="716"/>
      <c r="M124" s="658"/>
      <c r="N124" s="660"/>
      <c r="O124" s="705"/>
      <c r="P124"/>
      <c r="Q124"/>
    </row>
    <row r="125" spans="1:17" ht="14.25" x14ac:dyDescent="0.2">
      <c r="A125" s="595"/>
      <c r="B125" s="717"/>
      <c r="C125" s="718"/>
      <c r="D125" s="718"/>
      <c r="E125" s="718"/>
      <c r="F125" s="718"/>
      <c r="G125" s="718"/>
      <c r="H125" s="718"/>
      <c r="I125" s="718"/>
      <c r="J125" s="718"/>
      <c r="K125" s="718"/>
      <c r="L125" s="718"/>
      <c r="M125" s="718"/>
      <c r="N125" s="718"/>
      <c r="O125" s="719"/>
    </row>
    <row r="126" spans="1:17" ht="15.75" x14ac:dyDescent="0.2">
      <c r="A126" s="556" t="s">
        <v>292</v>
      </c>
      <c r="B126" s="557"/>
      <c r="C126" s="557"/>
      <c r="D126" s="557"/>
      <c r="E126" s="557"/>
      <c r="F126" s="557"/>
      <c r="G126" s="557"/>
      <c r="H126" s="557"/>
      <c r="I126" s="557"/>
      <c r="J126" s="557"/>
      <c r="K126" s="557"/>
      <c r="L126" s="557"/>
      <c r="M126" s="557"/>
      <c r="N126" s="557"/>
      <c r="O126" s="661"/>
    </row>
    <row r="127" spans="1:17" ht="39.6" customHeight="1" x14ac:dyDescent="0.2">
      <c r="A127" s="593">
        <v>20</v>
      </c>
      <c r="B127" s="585" t="s">
        <v>305</v>
      </c>
      <c r="C127" s="585" t="s">
        <v>175</v>
      </c>
      <c r="D127" s="797" t="s">
        <v>219</v>
      </c>
      <c r="E127" s="799">
        <v>86</v>
      </c>
      <c r="F127" s="801" t="s">
        <v>306</v>
      </c>
      <c r="G127" s="15" t="s">
        <v>307</v>
      </c>
      <c r="H127" s="15">
        <f>327*117/100</f>
        <v>382.59</v>
      </c>
      <c r="I127" s="801">
        <f>35*12*0.4*H127+35*12*0.6*H128</f>
        <v>125012.16</v>
      </c>
      <c r="J127" s="797" t="s">
        <v>13</v>
      </c>
      <c r="K127" s="714" t="s">
        <v>320</v>
      </c>
      <c r="L127" s="714" t="s">
        <v>97</v>
      </c>
      <c r="M127" s="657">
        <f>(35*4*0.4*H127+35*4*0.6*H128)</f>
        <v>41670.720000000001</v>
      </c>
      <c r="N127" s="659" t="s">
        <v>18</v>
      </c>
      <c r="O127" s="671">
        <v>44014</v>
      </c>
    </row>
    <row r="128" spans="1:17" ht="25.5" x14ac:dyDescent="0.2">
      <c r="A128" s="594"/>
      <c r="B128" s="586"/>
      <c r="C128" s="586"/>
      <c r="D128" s="798"/>
      <c r="E128" s="800"/>
      <c r="F128" s="802"/>
      <c r="G128" s="15" t="s">
        <v>308</v>
      </c>
      <c r="H128" s="15">
        <f>206*117/100</f>
        <v>241.02</v>
      </c>
      <c r="I128" s="802"/>
      <c r="J128" s="798"/>
      <c r="K128" s="715"/>
      <c r="L128" s="715"/>
      <c r="M128" s="673"/>
      <c r="N128" s="674"/>
      <c r="O128" s="672"/>
    </row>
    <row r="129" spans="1:17" ht="39.6" customHeight="1" x14ac:dyDescent="0.2">
      <c r="A129" s="594"/>
      <c r="B129" s="586"/>
      <c r="C129" s="586"/>
      <c r="D129" s="787" t="s">
        <v>309</v>
      </c>
      <c r="E129" s="641">
        <v>82</v>
      </c>
      <c r="F129" s="789" t="s">
        <v>306</v>
      </c>
      <c r="G129" s="5" t="s">
        <v>307</v>
      </c>
      <c r="H129" s="5">
        <f>240*117/100</f>
        <v>280.8</v>
      </c>
      <c r="I129" s="789">
        <f>35*12*0.4*H129+35*12*0.6*H130</f>
        <v>100245.6</v>
      </c>
      <c r="J129" s="787" t="s">
        <v>13</v>
      </c>
      <c r="K129" s="715"/>
      <c r="L129" s="715"/>
      <c r="M129" s="673"/>
      <c r="N129" s="674"/>
      <c r="O129" s="672"/>
    </row>
    <row r="130" spans="1:17" ht="26.45" customHeight="1" x14ac:dyDescent="0.2">
      <c r="A130" s="594"/>
      <c r="B130" s="586"/>
      <c r="C130" s="586"/>
      <c r="D130" s="788"/>
      <c r="E130" s="643"/>
      <c r="F130" s="790"/>
      <c r="G130" s="5" t="s">
        <v>308</v>
      </c>
      <c r="H130" s="5">
        <f>180*117/100</f>
        <v>210.6</v>
      </c>
      <c r="I130" s="790"/>
      <c r="J130" s="788"/>
      <c r="K130" s="715"/>
      <c r="L130" s="715"/>
      <c r="M130" s="673"/>
      <c r="N130" s="674"/>
      <c r="O130" s="672"/>
    </row>
    <row r="131" spans="1:17" ht="38.25" x14ac:dyDescent="0.2">
      <c r="A131" s="594"/>
      <c r="B131" s="586"/>
      <c r="C131" s="586"/>
      <c r="D131" s="49" t="s">
        <v>217</v>
      </c>
      <c r="E131" s="4">
        <v>81</v>
      </c>
      <c r="F131" s="95" t="s">
        <v>306</v>
      </c>
      <c r="G131" s="95" t="s">
        <v>306</v>
      </c>
      <c r="H131" s="5">
        <f>280*117/100</f>
        <v>327.60000000000002</v>
      </c>
      <c r="I131" s="95">
        <f>35*12*H131</f>
        <v>137592</v>
      </c>
      <c r="J131" s="96"/>
      <c r="K131" s="715"/>
      <c r="L131" s="715"/>
      <c r="M131" s="673"/>
      <c r="N131" s="674"/>
      <c r="O131" s="672"/>
    </row>
    <row r="132" spans="1:17" ht="25.5" x14ac:dyDescent="0.2">
      <c r="A132" s="594"/>
      <c r="B132" s="586"/>
      <c r="C132" s="586"/>
      <c r="D132" s="787" t="s">
        <v>218</v>
      </c>
      <c r="E132" s="641">
        <v>79</v>
      </c>
      <c r="F132" s="789" t="s">
        <v>306</v>
      </c>
      <c r="G132" s="5" t="s">
        <v>307</v>
      </c>
      <c r="H132" s="5">
        <f>351*117/100</f>
        <v>410.67</v>
      </c>
      <c r="I132" s="789">
        <f>35*12*0.4*H132+35*12*0.6*H133</f>
        <v>144176.76</v>
      </c>
      <c r="J132" s="787" t="s">
        <v>13</v>
      </c>
      <c r="K132" s="715"/>
      <c r="L132" s="715"/>
      <c r="M132" s="673"/>
      <c r="N132" s="674"/>
      <c r="O132" s="672"/>
    </row>
    <row r="133" spans="1:17" ht="25.5" x14ac:dyDescent="0.2">
      <c r="A133" s="594"/>
      <c r="B133" s="586"/>
      <c r="C133" s="586"/>
      <c r="D133" s="788"/>
      <c r="E133" s="643"/>
      <c r="F133" s="790"/>
      <c r="G133" s="5" t="s">
        <v>308</v>
      </c>
      <c r="H133" s="5">
        <f>255*117/100</f>
        <v>298.35000000000002</v>
      </c>
      <c r="I133" s="790"/>
      <c r="J133" s="788"/>
      <c r="K133" s="715"/>
      <c r="L133" s="715"/>
      <c r="M133" s="673"/>
      <c r="N133" s="674"/>
      <c r="O133" s="672"/>
    </row>
    <row r="134" spans="1:17" ht="25.5" x14ac:dyDescent="0.2">
      <c r="A134" s="594"/>
      <c r="B134" s="586"/>
      <c r="C134" s="586"/>
      <c r="D134" s="787" t="s">
        <v>310</v>
      </c>
      <c r="E134" s="641">
        <v>77</v>
      </c>
      <c r="F134" s="789" t="s">
        <v>306</v>
      </c>
      <c r="G134" s="5" t="s">
        <v>307</v>
      </c>
      <c r="H134" s="5">
        <f>245*117/100</f>
        <v>286.64999999999998</v>
      </c>
      <c r="I134" s="789">
        <f>35*12*0.4*H134+35*12*0.6*H135</f>
        <v>118329.12</v>
      </c>
      <c r="J134" s="787" t="s">
        <v>13</v>
      </c>
      <c r="K134" s="715"/>
      <c r="L134" s="715"/>
      <c r="M134" s="673"/>
      <c r="N134" s="674"/>
      <c r="O134" s="672"/>
    </row>
    <row r="135" spans="1:17" ht="25.5" x14ac:dyDescent="0.2">
      <c r="A135" s="594"/>
      <c r="B135" s="586"/>
      <c r="C135" s="586"/>
      <c r="D135" s="788"/>
      <c r="E135" s="643"/>
      <c r="F135" s="790"/>
      <c r="G135" s="5" t="s">
        <v>308</v>
      </c>
      <c r="H135" s="5">
        <f>238*117/100</f>
        <v>278.45999999999998</v>
      </c>
      <c r="I135" s="790"/>
      <c r="J135" s="788"/>
      <c r="K135" s="715"/>
      <c r="L135" s="715"/>
      <c r="M135" s="673"/>
      <c r="N135" s="674"/>
      <c r="O135" s="672"/>
    </row>
    <row r="136" spans="1:17" ht="25.5" x14ac:dyDescent="0.2">
      <c r="A136" s="594"/>
      <c r="B136" s="586"/>
      <c r="C136" s="586"/>
      <c r="D136" s="787" t="s">
        <v>311</v>
      </c>
      <c r="E136" s="641">
        <v>66</v>
      </c>
      <c r="F136" s="789" t="s">
        <v>306</v>
      </c>
      <c r="G136" s="5" t="s">
        <v>307</v>
      </c>
      <c r="H136" s="5">
        <f>290*117/100</f>
        <v>339.3</v>
      </c>
      <c r="I136" s="789">
        <f>35*12*0.4*H136+35*12*0.6*H137</f>
        <v>130712.4</v>
      </c>
      <c r="J136" s="787" t="s">
        <v>13</v>
      </c>
      <c r="K136" s="715"/>
      <c r="L136" s="715"/>
      <c r="M136" s="673"/>
      <c r="N136" s="674"/>
      <c r="O136" s="672"/>
    </row>
    <row r="137" spans="1:17" ht="25.5" x14ac:dyDescent="0.2">
      <c r="A137" s="594"/>
      <c r="B137" s="596"/>
      <c r="C137" s="596"/>
      <c r="D137" s="788"/>
      <c r="E137" s="643"/>
      <c r="F137" s="790"/>
      <c r="G137" s="5" t="s">
        <v>308</v>
      </c>
      <c r="H137" s="5">
        <f>250*117/100</f>
        <v>292.5</v>
      </c>
      <c r="I137" s="790"/>
      <c r="J137" s="788"/>
      <c r="K137" s="716"/>
      <c r="L137" s="716"/>
      <c r="M137" s="658"/>
      <c r="N137" s="660"/>
      <c r="O137" s="705"/>
    </row>
    <row r="138" spans="1:17" ht="14.25" x14ac:dyDescent="0.2">
      <c r="A138" s="595"/>
      <c r="B138" s="717" t="s">
        <v>312</v>
      </c>
      <c r="C138" s="718"/>
      <c r="D138" s="718"/>
      <c r="E138" s="718"/>
      <c r="F138" s="718"/>
      <c r="G138" s="718"/>
      <c r="H138" s="718"/>
      <c r="I138" s="718"/>
      <c r="J138" s="718"/>
      <c r="K138" s="718"/>
      <c r="L138" s="718"/>
      <c r="M138" s="718"/>
      <c r="N138" s="718"/>
      <c r="O138" s="719"/>
    </row>
    <row r="139" spans="1:17" s="10" customFormat="1" ht="15.75" x14ac:dyDescent="0.2">
      <c r="A139" s="556" t="s">
        <v>297</v>
      </c>
      <c r="B139" s="557"/>
      <c r="C139" s="557"/>
      <c r="D139" s="557"/>
      <c r="E139" s="557"/>
      <c r="F139" s="557"/>
      <c r="G139" s="557"/>
      <c r="H139" s="557"/>
      <c r="I139" s="557"/>
      <c r="J139" s="557"/>
      <c r="K139" s="557"/>
      <c r="L139" s="557"/>
      <c r="M139" s="557"/>
      <c r="N139" s="557"/>
      <c r="O139" s="661"/>
      <c r="P139"/>
      <c r="Q139"/>
    </row>
    <row r="140" spans="1:17" s="10" customFormat="1" ht="25.5" x14ac:dyDescent="0.2">
      <c r="A140" s="593">
        <v>21</v>
      </c>
      <c r="B140" s="585" t="s">
        <v>293</v>
      </c>
      <c r="C140" s="585" t="s">
        <v>294</v>
      </c>
      <c r="D140" s="13" t="s">
        <v>295</v>
      </c>
      <c r="E140" s="14">
        <v>100</v>
      </c>
      <c r="F140" s="15" t="s">
        <v>14</v>
      </c>
      <c r="G140" s="15" t="s">
        <v>14</v>
      </c>
      <c r="H140" s="15">
        <f>16000*117/100</f>
        <v>18720</v>
      </c>
      <c r="I140" s="15">
        <f>H140</f>
        <v>18720</v>
      </c>
      <c r="J140" s="13" t="s">
        <v>13</v>
      </c>
      <c r="K140" s="714" t="s">
        <v>15</v>
      </c>
      <c r="L140" s="714" t="s">
        <v>97</v>
      </c>
      <c r="M140" s="657">
        <f>I140</f>
        <v>18720</v>
      </c>
      <c r="N140" s="659" t="s">
        <v>18</v>
      </c>
      <c r="O140" s="671">
        <v>1743000750</v>
      </c>
      <c r="P140"/>
      <c r="Q140"/>
    </row>
    <row r="141" spans="1:17" ht="51" x14ac:dyDescent="0.2">
      <c r="A141" s="594"/>
      <c r="B141" s="586"/>
      <c r="C141" s="586"/>
      <c r="D141" s="94" t="s">
        <v>296</v>
      </c>
      <c r="E141" s="38">
        <v>69</v>
      </c>
      <c r="F141" s="34" t="s">
        <v>14</v>
      </c>
      <c r="G141" s="34" t="s">
        <v>14</v>
      </c>
      <c r="H141" s="34">
        <f>28500*117/100</f>
        <v>33345</v>
      </c>
      <c r="I141" s="34">
        <f>H141</f>
        <v>33345</v>
      </c>
      <c r="J141" s="94" t="s">
        <v>13</v>
      </c>
      <c r="K141" s="715"/>
      <c r="L141" s="715"/>
      <c r="M141" s="673"/>
      <c r="N141" s="674"/>
      <c r="O141" s="672"/>
    </row>
    <row r="142" spans="1:17" s="10" customFormat="1" ht="25.5" x14ac:dyDescent="0.2">
      <c r="A142" s="594"/>
      <c r="B142" s="596"/>
      <c r="C142" s="596"/>
      <c r="D142" s="94" t="s">
        <v>71</v>
      </c>
      <c r="E142" s="38">
        <v>67</v>
      </c>
      <c r="F142" s="34" t="s">
        <v>14</v>
      </c>
      <c r="G142" s="34" t="s">
        <v>14</v>
      </c>
      <c r="H142" s="34">
        <f>30000*117/100</f>
        <v>35100</v>
      </c>
      <c r="I142" s="34">
        <f>H142</f>
        <v>35100</v>
      </c>
      <c r="J142" s="94" t="s">
        <v>13</v>
      </c>
      <c r="K142" s="716"/>
      <c r="L142" s="716"/>
      <c r="M142" s="658"/>
      <c r="N142" s="660"/>
      <c r="O142" s="705"/>
      <c r="P142"/>
      <c r="Q142"/>
    </row>
    <row r="143" spans="1:17" ht="14.25" x14ac:dyDescent="0.2">
      <c r="A143" s="595"/>
      <c r="B143" s="717"/>
      <c r="C143" s="718"/>
      <c r="D143" s="718"/>
      <c r="E143" s="718"/>
      <c r="F143" s="718"/>
      <c r="G143" s="718"/>
      <c r="H143" s="718"/>
      <c r="I143" s="718"/>
      <c r="J143" s="718"/>
      <c r="K143" s="718"/>
      <c r="L143" s="718"/>
      <c r="M143" s="718"/>
      <c r="N143" s="718"/>
      <c r="O143" s="719"/>
    </row>
    <row r="144" spans="1:17" ht="15.75" x14ac:dyDescent="0.2">
      <c r="A144" s="20"/>
      <c r="B144" s="39"/>
      <c r="C144" s="39"/>
      <c r="D144" s="39"/>
      <c r="E144" s="39"/>
      <c r="F144" s="39"/>
      <c r="G144" s="39"/>
      <c r="H144" s="39"/>
      <c r="I144" s="39"/>
      <c r="J144" s="39"/>
      <c r="K144" s="39"/>
      <c r="L144" s="39"/>
      <c r="M144" s="39"/>
    </row>
    <row r="145" spans="2:2" x14ac:dyDescent="0.2">
      <c r="B145" s="23"/>
    </row>
  </sheetData>
  <mergeCells count="231">
    <mergeCell ref="A7:O7"/>
    <mergeCell ref="A18:O18"/>
    <mergeCell ref="O15:O16"/>
    <mergeCell ref="N15:N16"/>
    <mergeCell ref="M15:M16"/>
    <mergeCell ref="L15:L16"/>
    <mergeCell ref="C15:C16"/>
    <mergeCell ref="B13:O13"/>
    <mergeCell ref="M8:M9"/>
    <mergeCell ref="L8:L9"/>
    <mergeCell ref="K8:K9"/>
    <mergeCell ref="C8:C9"/>
    <mergeCell ref="B8:B9"/>
    <mergeCell ref="A8:A10"/>
    <mergeCell ref="N8:N9"/>
    <mergeCell ref="O8:O9"/>
    <mergeCell ref="B10:O10"/>
    <mergeCell ref="A14:O14"/>
    <mergeCell ref="A15:A17"/>
    <mergeCell ref="B17:O17"/>
    <mergeCell ref="A11:O11"/>
    <mergeCell ref="A12:A13"/>
    <mergeCell ref="B15:B16"/>
    <mergeCell ref="D15:D16"/>
    <mergeCell ref="A24:O24"/>
    <mergeCell ref="B23:O23"/>
    <mergeCell ref="O19:O22"/>
    <mergeCell ref="N19:N22"/>
    <mergeCell ref="M19:M22"/>
    <mergeCell ref="L19:L22"/>
    <mergeCell ref="K19:K22"/>
    <mergeCell ref="C19:C22"/>
    <mergeCell ref="B19:B22"/>
    <mergeCell ref="A19:A23"/>
    <mergeCell ref="B29:O29"/>
    <mergeCell ref="O25:O28"/>
    <mergeCell ref="N25:N28"/>
    <mergeCell ref="M25:M28"/>
    <mergeCell ref="L25:L28"/>
    <mergeCell ref="K25:K28"/>
    <mergeCell ref="C25:C28"/>
    <mergeCell ref="B25:B28"/>
    <mergeCell ref="A25:A29"/>
    <mergeCell ref="A119:O119"/>
    <mergeCell ref="A120:A125"/>
    <mergeCell ref="B120:B124"/>
    <mergeCell ref="C120:C124"/>
    <mergeCell ref="K120:K124"/>
    <mergeCell ref="L120:L124"/>
    <mergeCell ref="M120:M124"/>
    <mergeCell ref="N120:N124"/>
    <mergeCell ref="O120:O124"/>
    <mergeCell ref="B125:O125"/>
    <mergeCell ref="A126:O126"/>
    <mergeCell ref="A127:A138"/>
    <mergeCell ref="B127:B137"/>
    <mergeCell ref="C127:C137"/>
    <mergeCell ref="K127:K137"/>
    <mergeCell ref="L127:L137"/>
    <mergeCell ref="M127:M137"/>
    <mergeCell ref="N127:N137"/>
    <mergeCell ref="O127:O137"/>
    <mergeCell ref="B138:O138"/>
    <mergeCell ref="D127:D128"/>
    <mergeCell ref="E127:E128"/>
    <mergeCell ref="F127:F128"/>
    <mergeCell ref="I127:I128"/>
    <mergeCell ref="J127:J128"/>
    <mergeCell ref="D132:D133"/>
    <mergeCell ref="E132:E133"/>
    <mergeCell ref="F132:F133"/>
    <mergeCell ref="I132:I133"/>
    <mergeCell ref="J132:J133"/>
    <mergeCell ref="D129:D130"/>
    <mergeCell ref="E129:E130"/>
    <mergeCell ref="F129:F130"/>
    <mergeCell ref="I129:I130"/>
    <mergeCell ref="A139:O139"/>
    <mergeCell ref="A140:A143"/>
    <mergeCell ref="B140:B142"/>
    <mergeCell ref="C140:C142"/>
    <mergeCell ref="K140:K142"/>
    <mergeCell ref="L140:L142"/>
    <mergeCell ref="M140:M142"/>
    <mergeCell ref="N140:N142"/>
    <mergeCell ref="O140:O142"/>
    <mergeCell ref="B143:O143"/>
    <mergeCell ref="A113:O113"/>
    <mergeCell ref="A114:A118"/>
    <mergeCell ref="B114:B117"/>
    <mergeCell ref="C114:C117"/>
    <mergeCell ref="K114:K117"/>
    <mergeCell ref="L114:L117"/>
    <mergeCell ref="M114:M117"/>
    <mergeCell ref="N114:N117"/>
    <mergeCell ref="O114:O117"/>
    <mergeCell ref="B118:O118"/>
    <mergeCell ref="A105:O105"/>
    <mergeCell ref="A106:A112"/>
    <mergeCell ref="B106:B111"/>
    <mergeCell ref="C106:C111"/>
    <mergeCell ref="K106:K111"/>
    <mergeCell ref="L106:L111"/>
    <mergeCell ref="M106:M111"/>
    <mergeCell ref="N106:N111"/>
    <mergeCell ref="O106:O111"/>
    <mergeCell ref="B112:O112"/>
    <mergeCell ref="B92:O92"/>
    <mergeCell ref="A99:O99"/>
    <mergeCell ref="A100:A104"/>
    <mergeCell ref="B100:B103"/>
    <mergeCell ref="C100:C103"/>
    <mergeCell ref="K100:K103"/>
    <mergeCell ref="L100:L103"/>
    <mergeCell ref="M100:M103"/>
    <mergeCell ref="N100:N103"/>
    <mergeCell ref="O100:O103"/>
    <mergeCell ref="B104:O104"/>
    <mergeCell ref="B98:O98"/>
    <mergeCell ref="C94:C97"/>
    <mergeCell ref="K94:K97"/>
    <mergeCell ref="L94:L97"/>
    <mergeCell ref="M94:M97"/>
    <mergeCell ref="A88:A92"/>
    <mergeCell ref="B88:B91"/>
    <mergeCell ref="C88:C91"/>
    <mergeCell ref="K88:K91"/>
    <mergeCell ref="L88:L91"/>
    <mergeCell ref="N94:N97"/>
    <mergeCell ref="O94:O97"/>
    <mergeCell ref="A93:O93"/>
    <mergeCell ref="M88:M91"/>
    <mergeCell ref="N88:N91"/>
    <mergeCell ref="O88:O91"/>
    <mergeCell ref="A45:O45"/>
    <mergeCell ref="A46:A54"/>
    <mergeCell ref="B46:B53"/>
    <mergeCell ref="C46:C53"/>
    <mergeCell ref="A35:O35"/>
    <mergeCell ref="A36:A37"/>
    <mergeCell ref="B37:O37"/>
    <mergeCell ref="B62:O62"/>
    <mergeCell ref="B86:O86"/>
    <mergeCell ref="A56:A62"/>
    <mergeCell ref="B56:B61"/>
    <mergeCell ref="C56:C61"/>
    <mergeCell ref="K56:K61"/>
    <mergeCell ref="L56:L61"/>
    <mergeCell ref="M56:M61"/>
    <mergeCell ref="N56:N61"/>
    <mergeCell ref="O56:O61"/>
    <mergeCell ref="A63:O63"/>
    <mergeCell ref="M74:M77"/>
    <mergeCell ref="N74:N77"/>
    <mergeCell ref="O74:O77"/>
    <mergeCell ref="O31:O33"/>
    <mergeCell ref="A30:O30"/>
    <mergeCell ref="A31:A34"/>
    <mergeCell ref="B31:B33"/>
    <mergeCell ref="C31:C33"/>
    <mergeCell ref="K31:K33"/>
    <mergeCell ref="L31:L33"/>
    <mergeCell ref="M31:M33"/>
    <mergeCell ref="N31:N33"/>
    <mergeCell ref="E15:E16"/>
    <mergeCell ref="I15:I16"/>
    <mergeCell ref="J15:J16"/>
    <mergeCell ref="K15:K16"/>
    <mergeCell ref="B34:O34"/>
    <mergeCell ref="A94:A98"/>
    <mergeCell ref="B94:B97"/>
    <mergeCell ref="O46:O53"/>
    <mergeCell ref="B54:O54"/>
    <mergeCell ref="A80:A86"/>
    <mergeCell ref="B80:B85"/>
    <mergeCell ref="C80:C85"/>
    <mergeCell ref="K80:K85"/>
    <mergeCell ref="L80:L85"/>
    <mergeCell ref="M80:M85"/>
    <mergeCell ref="N80:N85"/>
    <mergeCell ref="O80:O85"/>
    <mergeCell ref="A87:O87"/>
    <mergeCell ref="A79:O79"/>
    <mergeCell ref="K46:K53"/>
    <mergeCell ref="L46:L53"/>
    <mergeCell ref="M46:M53"/>
    <mergeCell ref="N46:N53"/>
    <mergeCell ref="A55:O55"/>
    <mergeCell ref="N39:N43"/>
    <mergeCell ref="O39:O43"/>
    <mergeCell ref="B44:O44"/>
    <mergeCell ref="B78:O78"/>
    <mergeCell ref="A74:A78"/>
    <mergeCell ref="B74:B77"/>
    <mergeCell ref="C74:C77"/>
    <mergeCell ref="K74:K77"/>
    <mergeCell ref="L74:L77"/>
    <mergeCell ref="M64:M71"/>
    <mergeCell ref="N64:N71"/>
    <mergeCell ref="O64:O71"/>
    <mergeCell ref="B72:O72"/>
    <mergeCell ref="A73:O73"/>
    <mergeCell ref="A64:A72"/>
    <mergeCell ref="B64:B71"/>
    <mergeCell ref="C64:C71"/>
    <mergeCell ref="K64:K71"/>
    <mergeCell ref="L64:L71"/>
    <mergeCell ref="D136:D137"/>
    <mergeCell ref="E136:E137"/>
    <mergeCell ref="F136:F137"/>
    <mergeCell ref="I136:I137"/>
    <mergeCell ref="J136:J137"/>
    <mergeCell ref="A1:A6"/>
    <mergeCell ref="B1:O1"/>
    <mergeCell ref="B2:O2"/>
    <mergeCell ref="B3:O3"/>
    <mergeCell ref="B4:O4"/>
    <mergeCell ref="B5:O5"/>
    <mergeCell ref="J129:J130"/>
    <mergeCell ref="D134:D135"/>
    <mergeCell ref="E134:E135"/>
    <mergeCell ref="F134:F135"/>
    <mergeCell ref="I134:I135"/>
    <mergeCell ref="J134:J135"/>
    <mergeCell ref="A38:O38"/>
    <mergeCell ref="A39:A44"/>
    <mergeCell ref="B39:B43"/>
    <mergeCell ref="C39:C43"/>
    <mergeCell ref="K39:K43"/>
    <mergeCell ref="L39:L43"/>
    <mergeCell ref="M39:M43"/>
  </mergeCells>
  <phoneticPr fontId="18" type="noConversion"/>
  <pageMargins left="0.25" right="0.25" top="0.75" bottom="0.75" header="0.3" footer="0.3"/>
  <pageSetup paperSize="9" scale="72" fitToHeight="0" orientation="landscape" r:id="rId1"/>
  <rowBreaks count="5" manualBreakCount="5">
    <brk id="17" max="16383" man="1"/>
    <brk id="44" max="16383" man="1"/>
    <brk id="72" max="16383" man="1"/>
    <brk id="98" max="16383" man="1"/>
    <brk id="125"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5575C-E4C1-4B1D-B681-C05245949815}">
  <sheetPr>
    <pageSetUpPr fitToPage="1"/>
  </sheetPr>
  <dimension ref="A1:Q49"/>
  <sheetViews>
    <sheetView rightToLeft="1" topLeftCell="A40" zoomScale="85" zoomScaleNormal="85" workbookViewId="0">
      <selection activeCell="A49" sqref="A49:XFD49"/>
    </sheetView>
  </sheetViews>
  <sheetFormatPr defaultColWidth="8.75" defaultRowHeight="15" x14ac:dyDescent="0.2"/>
  <cols>
    <col min="1" max="1" width="4.25" customWidth="1"/>
    <col min="2" max="2" width="21.125" style="6" bestFit="1" customWidth="1"/>
    <col min="4" max="4" width="7.25" customWidth="1"/>
    <col min="5" max="5" width="7.75" customWidth="1"/>
    <col min="6" max="6" width="10.25" bestFit="1" customWidth="1"/>
    <col min="7" max="7" width="12.125" style="7" bestFit="1" customWidth="1"/>
    <col min="8" max="8" width="13.625" style="8" bestFit="1" customWidth="1"/>
    <col min="9" max="9" width="16" style="8" bestFit="1" customWidth="1"/>
    <col min="10" max="10" width="9" customWidth="1"/>
    <col min="11" max="11" width="12.875" style="9" customWidth="1"/>
    <col min="12" max="12" width="19.375" style="9" customWidth="1"/>
    <col min="13" max="13" width="15" style="9" customWidth="1"/>
    <col min="14" max="14" width="10.875" style="10" customWidth="1"/>
    <col min="15" max="15" width="13" style="11" customWidth="1"/>
  </cols>
  <sheetData>
    <row r="1" spans="1:17" ht="20.25" x14ac:dyDescent="0.2">
      <c r="A1" s="571"/>
      <c r="B1" s="572" t="s">
        <v>188</v>
      </c>
      <c r="C1" s="572"/>
      <c r="D1" s="572"/>
      <c r="E1" s="572"/>
      <c r="F1" s="572"/>
      <c r="G1" s="572"/>
      <c r="H1" s="572"/>
      <c r="I1" s="572"/>
      <c r="J1" s="572"/>
      <c r="K1" s="572"/>
      <c r="L1" s="572"/>
      <c r="M1" s="572"/>
      <c r="N1" s="572"/>
      <c r="O1" s="572"/>
    </row>
    <row r="2" spans="1:17" ht="14.25" x14ac:dyDescent="0.2">
      <c r="A2" s="571"/>
      <c r="B2" s="573" t="s">
        <v>131</v>
      </c>
      <c r="C2" s="573"/>
      <c r="D2" s="573"/>
      <c r="E2" s="573"/>
      <c r="F2" s="573"/>
      <c r="G2" s="573"/>
      <c r="H2" s="573"/>
      <c r="I2" s="573"/>
      <c r="J2" s="573"/>
      <c r="K2" s="573"/>
      <c r="L2" s="573"/>
      <c r="M2" s="573"/>
      <c r="N2" s="573"/>
      <c r="O2" s="573"/>
    </row>
    <row r="3" spans="1:17" ht="15.75" x14ac:dyDescent="0.2">
      <c r="A3" s="571"/>
      <c r="B3" s="712" t="s">
        <v>101</v>
      </c>
      <c r="C3" s="712"/>
      <c r="D3" s="712"/>
      <c r="E3" s="712"/>
      <c r="F3" s="712"/>
      <c r="G3" s="712"/>
      <c r="H3" s="712"/>
      <c r="I3" s="712"/>
      <c r="J3" s="712"/>
      <c r="K3" s="712"/>
      <c r="L3" s="712"/>
      <c r="M3" s="712"/>
      <c r="N3" s="712"/>
      <c r="O3" s="712"/>
    </row>
    <row r="4" spans="1:17" ht="14.25" x14ac:dyDescent="0.2">
      <c r="A4" s="571"/>
      <c r="B4" s="713" t="s">
        <v>52</v>
      </c>
      <c r="C4" s="713"/>
      <c r="D4" s="713"/>
      <c r="E4" s="713"/>
      <c r="F4" s="713"/>
      <c r="G4" s="713"/>
      <c r="H4" s="713"/>
      <c r="I4" s="713"/>
      <c r="J4" s="713"/>
      <c r="K4" s="713"/>
      <c r="L4" s="713"/>
      <c r="M4" s="713"/>
      <c r="N4" s="713"/>
      <c r="O4" s="713"/>
    </row>
    <row r="5" spans="1:17" ht="14.25" x14ac:dyDescent="0.2">
      <c r="A5" s="571"/>
      <c r="B5" s="713" t="s">
        <v>51</v>
      </c>
      <c r="C5" s="713"/>
      <c r="D5" s="713"/>
      <c r="E5" s="713"/>
      <c r="F5" s="713"/>
      <c r="G5" s="713"/>
      <c r="H5" s="713"/>
      <c r="I5" s="713"/>
      <c r="J5" s="713"/>
      <c r="K5" s="713"/>
      <c r="L5" s="713"/>
      <c r="M5" s="713"/>
      <c r="N5" s="713"/>
      <c r="O5" s="713"/>
    </row>
    <row r="6" spans="1:17" ht="46.5" customHeight="1" x14ac:dyDescent="0.2">
      <c r="A6" s="571"/>
      <c r="B6" s="48" t="s">
        <v>0</v>
      </c>
      <c r="C6" s="51" t="s">
        <v>1</v>
      </c>
      <c r="D6" s="1" t="s">
        <v>2</v>
      </c>
      <c r="E6" s="1" t="s">
        <v>3</v>
      </c>
      <c r="F6" s="1" t="s">
        <v>4</v>
      </c>
      <c r="G6" s="1" t="s">
        <v>5</v>
      </c>
      <c r="H6" s="2" t="s">
        <v>6</v>
      </c>
      <c r="I6" s="3" t="s">
        <v>7</v>
      </c>
      <c r="J6" s="1" t="s">
        <v>8</v>
      </c>
      <c r="K6" s="1" t="s">
        <v>9</v>
      </c>
      <c r="L6" s="1" t="s">
        <v>95</v>
      </c>
      <c r="M6" s="50" t="s">
        <v>96</v>
      </c>
      <c r="N6" s="35" t="s">
        <v>10</v>
      </c>
      <c r="O6" s="1" t="s">
        <v>11</v>
      </c>
    </row>
    <row r="7" spans="1:17" ht="15.75" x14ac:dyDescent="0.2">
      <c r="A7" s="65"/>
      <c r="B7" s="66" t="s">
        <v>147</v>
      </c>
      <c r="C7" s="67"/>
      <c r="D7" s="68"/>
      <c r="E7" s="68"/>
      <c r="F7" s="68"/>
      <c r="G7" s="68"/>
      <c r="H7" s="69"/>
      <c r="I7" s="70"/>
      <c r="J7" s="68"/>
      <c r="K7" s="68"/>
      <c r="L7" s="68"/>
      <c r="M7" s="71"/>
      <c r="N7" s="72"/>
      <c r="O7" s="73"/>
    </row>
    <row r="8" spans="1:17" ht="15.75" x14ac:dyDescent="0.2">
      <c r="A8" s="556" t="s">
        <v>141</v>
      </c>
      <c r="B8" s="557"/>
      <c r="C8" s="557"/>
      <c r="D8" s="557"/>
      <c r="E8" s="557"/>
      <c r="F8" s="557"/>
      <c r="G8" s="557"/>
      <c r="H8" s="557"/>
      <c r="I8" s="557"/>
      <c r="J8" s="557"/>
      <c r="K8" s="557"/>
      <c r="L8" s="557"/>
      <c r="M8" s="557"/>
      <c r="N8" s="557"/>
      <c r="O8" s="661"/>
    </row>
    <row r="9" spans="1:17" ht="51" x14ac:dyDescent="0.2">
      <c r="A9" s="593">
        <v>9</v>
      </c>
      <c r="B9" s="53" t="s">
        <v>179</v>
      </c>
      <c r="C9" s="53" t="s">
        <v>29</v>
      </c>
      <c r="D9" s="16" t="s">
        <v>84</v>
      </c>
      <c r="E9" s="17">
        <v>100</v>
      </c>
      <c r="F9" s="18" t="s">
        <v>14</v>
      </c>
      <c r="G9" s="18" t="s">
        <v>14</v>
      </c>
      <c r="H9" s="60">
        <f>271575*1.17</f>
        <v>317742.75</v>
      </c>
      <c r="I9" s="18">
        <f>H9</f>
        <v>317742.75</v>
      </c>
      <c r="J9" s="16" t="s">
        <v>13</v>
      </c>
      <c r="K9" s="61" t="s">
        <v>116</v>
      </c>
      <c r="L9" s="61" t="s">
        <v>97</v>
      </c>
      <c r="M9" s="80">
        <f>I9</f>
        <v>317742.75</v>
      </c>
      <c r="N9" s="41" t="s">
        <v>18</v>
      </c>
      <c r="O9" s="62" t="s">
        <v>85</v>
      </c>
      <c r="P9" s="10"/>
      <c r="Q9" s="11"/>
    </row>
    <row r="10" spans="1:17" ht="39.6" customHeight="1" x14ac:dyDescent="0.2">
      <c r="A10" s="595"/>
      <c r="B10" s="581" t="s">
        <v>142</v>
      </c>
      <c r="C10" s="582"/>
      <c r="D10" s="582"/>
      <c r="E10" s="582"/>
      <c r="F10" s="582"/>
      <c r="G10" s="582"/>
      <c r="H10" s="582"/>
      <c r="I10" s="582"/>
      <c r="J10" s="582"/>
      <c r="K10" s="582"/>
      <c r="L10" s="582"/>
      <c r="M10" s="582"/>
      <c r="N10" s="582"/>
      <c r="O10" s="583"/>
      <c r="P10" s="10"/>
      <c r="Q10" s="11"/>
    </row>
    <row r="11" spans="1:17" ht="15.75" x14ac:dyDescent="0.2">
      <c r="A11" s="556" t="s">
        <v>143</v>
      </c>
      <c r="B11" s="557"/>
      <c r="C11" s="557"/>
      <c r="D11" s="557"/>
      <c r="E11" s="557"/>
      <c r="F11" s="557"/>
      <c r="G11" s="557"/>
      <c r="H11" s="557"/>
      <c r="I11" s="557"/>
      <c r="J11" s="557"/>
      <c r="K11" s="557"/>
      <c r="L11" s="557"/>
      <c r="M11" s="557"/>
      <c r="N11" s="557"/>
      <c r="O11" s="661"/>
      <c r="P11" s="10"/>
      <c r="Q11" s="11"/>
    </row>
    <row r="12" spans="1:17" ht="38.25" x14ac:dyDescent="0.2">
      <c r="A12" s="593">
        <v>1</v>
      </c>
      <c r="B12" s="585" t="s">
        <v>189</v>
      </c>
      <c r="C12" s="585" t="s">
        <v>69</v>
      </c>
      <c r="D12" s="13" t="s">
        <v>132</v>
      </c>
      <c r="E12" s="14">
        <v>79</v>
      </c>
      <c r="F12" s="15" t="s">
        <v>14</v>
      </c>
      <c r="G12" s="18" t="s">
        <v>14</v>
      </c>
      <c r="H12" s="18">
        <f>50000*117/100</f>
        <v>58500</v>
      </c>
      <c r="I12" s="18">
        <f>H12</f>
        <v>58500</v>
      </c>
      <c r="J12" s="13"/>
      <c r="K12" s="560" t="s">
        <v>15</v>
      </c>
      <c r="L12" s="560" t="s">
        <v>180</v>
      </c>
      <c r="M12" s="657">
        <f>45000*117/100</f>
        <v>52650</v>
      </c>
      <c r="N12" s="731" t="s">
        <v>18</v>
      </c>
      <c r="O12" s="671">
        <v>2130182750</v>
      </c>
      <c r="P12" s="10"/>
      <c r="Q12" s="11"/>
    </row>
    <row r="13" spans="1:17" x14ac:dyDescent="0.2">
      <c r="A13" s="594"/>
      <c r="B13" s="586"/>
      <c r="C13" s="586"/>
      <c r="D13" s="19" t="s">
        <v>144</v>
      </c>
      <c r="E13" s="24">
        <v>76</v>
      </c>
      <c r="F13" s="34" t="s">
        <v>14</v>
      </c>
      <c r="G13" s="12" t="s">
        <v>14</v>
      </c>
      <c r="H13" s="12">
        <f>35000*117/100</f>
        <v>40950</v>
      </c>
      <c r="I13" s="12">
        <f>H13</f>
        <v>40950</v>
      </c>
      <c r="J13" s="52"/>
      <c r="K13" s="561"/>
      <c r="L13" s="561"/>
      <c r="M13" s="673"/>
      <c r="N13" s="732"/>
      <c r="O13" s="672"/>
      <c r="P13" s="10"/>
      <c r="Q13" s="11"/>
    </row>
    <row r="14" spans="1:17" ht="25.5" x14ac:dyDescent="0.2">
      <c r="A14" s="594"/>
      <c r="B14" s="586"/>
      <c r="C14" s="586"/>
      <c r="D14" s="52" t="s">
        <v>145</v>
      </c>
      <c r="E14" s="38">
        <v>65</v>
      </c>
      <c r="F14" s="34" t="s">
        <v>14</v>
      </c>
      <c r="G14" s="12" t="s">
        <v>14</v>
      </c>
      <c r="H14" s="12">
        <f>70000*117/100</f>
        <v>81900</v>
      </c>
      <c r="I14" s="12">
        <f>H14</f>
        <v>81900</v>
      </c>
      <c r="J14" s="52" t="s">
        <v>13</v>
      </c>
      <c r="K14" s="561"/>
      <c r="L14" s="561"/>
      <c r="M14" s="673"/>
      <c r="N14" s="732"/>
      <c r="O14" s="672"/>
    </row>
    <row r="15" spans="1:17" ht="69" customHeight="1" x14ac:dyDescent="0.2">
      <c r="A15" s="594"/>
      <c r="B15" s="596"/>
      <c r="C15" s="596"/>
      <c r="D15" s="52" t="s">
        <v>146</v>
      </c>
      <c r="E15" s="38">
        <v>59</v>
      </c>
      <c r="F15" s="34" t="s">
        <v>14</v>
      </c>
      <c r="G15" s="12" t="s">
        <v>14</v>
      </c>
      <c r="H15" s="12">
        <f>47000*117/100</f>
        <v>54990</v>
      </c>
      <c r="I15" s="12">
        <f>H15</f>
        <v>54990</v>
      </c>
      <c r="J15" s="52"/>
      <c r="K15" s="562"/>
      <c r="L15" s="562"/>
      <c r="M15" s="658"/>
      <c r="N15" s="733"/>
      <c r="O15" s="705"/>
    </row>
    <row r="16" spans="1:17" x14ac:dyDescent="0.2">
      <c r="A16" s="595"/>
      <c r="B16" s="581"/>
      <c r="C16" s="582"/>
      <c r="D16" s="582"/>
      <c r="E16" s="582"/>
      <c r="F16" s="582"/>
      <c r="G16" s="582"/>
      <c r="H16" s="582"/>
      <c r="I16" s="582"/>
      <c r="J16" s="582"/>
      <c r="K16" s="582"/>
      <c r="L16" s="582"/>
      <c r="M16" s="582"/>
      <c r="N16" s="582"/>
      <c r="O16" s="583"/>
      <c r="P16" s="10"/>
      <c r="Q16" s="11"/>
    </row>
    <row r="17" spans="1:17" ht="15.75" x14ac:dyDescent="0.2">
      <c r="A17" s="59"/>
      <c r="B17" s="63"/>
      <c r="C17" s="63"/>
      <c r="D17" s="63"/>
      <c r="E17" s="63"/>
      <c r="F17" s="63"/>
      <c r="G17" s="63"/>
      <c r="H17" s="63"/>
      <c r="I17" s="63"/>
      <c r="J17" s="63"/>
      <c r="K17" s="63"/>
      <c r="L17" s="63"/>
      <c r="M17" s="63"/>
      <c r="N17" s="63"/>
      <c r="O17" s="64"/>
      <c r="P17" s="10"/>
      <c r="Q17" s="11"/>
    </row>
    <row r="18" spans="1:17" ht="15.75" x14ac:dyDescent="0.2">
      <c r="A18" s="556" t="s">
        <v>148</v>
      </c>
      <c r="B18" s="557"/>
      <c r="C18" s="557"/>
      <c r="D18" s="557"/>
      <c r="E18" s="557"/>
      <c r="F18" s="557"/>
      <c r="G18" s="557"/>
      <c r="H18" s="557"/>
      <c r="I18" s="557"/>
      <c r="J18" s="557"/>
      <c r="K18" s="557"/>
      <c r="L18" s="557"/>
      <c r="M18" s="557"/>
      <c r="N18" s="557"/>
      <c r="O18" s="661"/>
    </row>
    <row r="19" spans="1:17" ht="14.25" x14ac:dyDescent="0.2">
      <c r="A19" s="593">
        <v>1</v>
      </c>
      <c r="B19" s="585" t="s">
        <v>136</v>
      </c>
      <c r="C19" s="585" t="s">
        <v>89</v>
      </c>
      <c r="D19" s="13" t="s">
        <v>137</v>
      </c>
      <c r="E19" s="14">
        <v>100</v>
      </c>
      <c r="F19" s="15" t="s">
        <v>14</v>
      </c>
      <c r="G19" s="15" t="s">
        <v>14</v>
      </c>
      <c r="H19" s="15">
        <f>20000*117/100</f>
        <v>23400</v>
      </c>
      <c r="I19" s="15">
        <f>H19</f>
        <v>23400</v>
      </c>
      <c r="J19" s="13" t="s">
        <v>13</v>
      </c>
      <c r="K19" s="714" t="s">
        <v>15</v>
      </c>
      <c r="L19" s="714" t="s">
        <v>97</v>
      </c>
      <c r="M19" s="657">
        <f>I19</f>
        <v>23400</v>
      </c>
      <c r="N19" s="659" t="s">
        <v>18</v>
      </c>
      <c r="O19" s="671">
        <v>295004</v>
      </c>
    </row>
    <row r="20" spans="1:17" ht="14.25" x14ac:dyDescent="0.2">
      <c r="A20" s="594"/>
      <c r="B20" s="586"/>
      <c r="C20" s="586"/>
      <c r="D20" s="52" t="s">
        <v>74</v>
      </c>
      <c r="E20" s="38">
        <v>80</v>
      </c>
      <c r="F20" s="34" t="s">
        <v>14</v>
      </c>
      <c r="G20" s="34" t="s">
        <v>14</v>
      </c>
      <c r="H20" s="34">
        <f>28000*117/100</f>
        <v>32760</v>
      </c>
      <c r="I20" s="34">
        <f>H20</f>
        <v>32760</v>
      </c>
      <c r="J20" s="52" t="s">
        <v>13</v>
      </c>
      <c r="K20" s="715"/>
      <c r="L20" s="715"/>
      <c r="M20" s="673"/>
      <c r="N20" s="674"/>
      <c r="O20" s="672"/>
    </row>
    <row r="21" spans="1:17" ht="14.25" x14ac:dyDescent="0.2">
      <c r="A21" s="594"/>
      <c r="B21" s="586"/>
      <c r="C21" s="586"/>
      <c r="D21" s="52" t="s">
        <v>138</v>
      </c>
      <c r="E21" s="38">
        <v>71</v>
      </c>
      <c r="F21" s="34" t="s">
        <v>14</v>
      </c>
      <c r="G21" s="34" t="s">
        <v>14</v>
      </c>
      <c r="H21" s="34">
        <f>34000*117/100</f>
        <v>39780</v>
      </c>
      <c r="I21" s="34">
        <f>H21</f>
        <v>39780</v>
      </c>
      <c r="J21" s="52" t="s">
        <v>13</v>
      </c>
      <c r="K21" s="715"/>
      <c r="L21" s="715"/>
      <c r="M21" s="673"/>
      <c r="N21" s="674"/>
      <c r="O21" s="672"/>
    </row>
    <row r="22" spans="1:17" ht="25.5" x14ac:dyDescent="0.2">
      <c r="A22" s="594"/>
      <c r="B22" s="586"/>
      <c r="C22" s="586"/>
      <c r="D22" s="52" t="s">
        <v>139</v>
      </c>
      <c r="E22" s="38">
        <v>69</v>
      </c>
      <c r="F22" s="34" t="s">
        <v>14</v>
      </c>
      <c r="G22" s="34" t="s">
        <v>14</v>
      </c>
      <c r="H22" s="34">
        <f>36000*117/100</f>
        <v>42120</v>
      </c>
      <c r="I22" s="34">
        <f>H22</f>
        <v>42120</v>
      </c>
      <c r="J22" s="52" t="s">
        <v>13</v>
      </c>
      <c r="K22" s="715"/>
      <c r="L22" s="715"/>
      <c r="M22" s="673"/>
      <c r="N22" s="674"/>
      <c r="O22" s="672"/>
    </row>
    <row r="23" spans="1:17" ht="14.25" x14ac:dyDescent="0.2">
      <c r="A23" s="594"/>
      <c r="B23" s="596"/>
      <c r="C23" s="596"/>
      <c r="D23" s="52" t="s">
        <v>90</v>
      </c>
      <c r="E23" s="38">
        <v>67</v>
      </c>
      <c r="F23" s="34" t="s">
        <v>14</v>
      </c>
      <c r="G23" s="34" t="s">
        <v>14</v>
      </c>
      <c r="H23" s="34">
        <f>38000*117/100</f>
        <v>44460</v>
      </c>
      <c r="I23" s="34">
        <f>H23</f>
        <v>44460</v>
      </c>
      <c r="J23" s="52" t="s">
        <v>13</v>
      </c>
      <c r="K23" s="716"/>
      <c r="L23" s="716"/>
      <c r="M23" s="658"/>
      <c r="N23" s="660"/>
      <c r="O23" s="705"/>
    </row>
    <row r="24" spans="1:17" ht="14.25" x14ac:dyDescent="0.2">
      <c r="A24" s="595"/>
      <c r="B24" s="717" t="s">
        <v>140</v>
      </c>
      <c r="C24" s="718"/>
      <c r="D24" s="718"/>
      <c r="E24" s="718"/>
      <c r="F24" s="718"/>
      <c r="G24" s="718"/>
      <c r="H24" s="718"/>
      <c r="I24" s="718"/>
      <c r="J24" s="718"/>
      <c r="K24" s="718"/>
      <c r="L24" s="718"/>
      <c r="M24" s="718"/>
      <c r="N24" s="718"/>
      <c r="O24" s="719"/>
    </row>
    <row r="25" spans="1:17" ht="15.75" x14ac:dyDescent="0.2">
      <c r="A25" s="556" t="s">
        <v>155</v>
      </c>
      <c r="B25" s="557"/>
      <c r="C25" s="557"/>
      <c r="D25" s="557"/>
      <c r="E25" s="557"/>
      <c r="F25" s="557"/>
      <c r="G25" s="557"/>
      <c r="H25" s="557"/>
      <c r="I25" s="557"/>
      <c r="J25" s="557"/>
      <c r="K25" s="557"/>
      <c r="L25" s="557"/>
      <c r="M25" s="557"/>
      <c r="N25" s="557"/>
      <c r="O25" s="661"/>
    </row>
    <row r="26" spans="1:17" ht="25.5" x14ac:dyDescent="0.2">
      <c r="A26" s="593">
        <v>2</v>
      </c>
      <c r="B26" s="585" t="s">
        <v>154</v>
      </c>
      <c r="C26" s="585" t="s">
        <v>150</v>
      </c>
      <c r="D26" s="26" t="s">
        <v>151</v>
      </c>
      <c r="E26" s="27">
        <v>79</v>
      </c>
      <c r="F26" s="28" t="s">
        <v>14</v>
      </c>
      <c r="G26" s="30" t="s">
        <v>14</v>
      </c>
      <c r="H26" s="30">
        <f>58500</f>
        <v>58500</v>
      </c>
      <c r="I26" s="30">
        <f>H26</f>
        <v>58500</v>
      </c>
      <c r="J26" s="26" t="s">
        <v>13</v>
      </c>
      <c r="K26" s="714" t="s">
        <v>15</v>
      </c>
      <c r="L26" s="714" t="s">
        <v>181</v>
      </c>
      <c r="M26" s="657">
        <f>I26*0.9</f>
        <v>52650</v>
      </c>
      <c r="N26" s="659" t="s">
        <v>18</v>
      </c>
      <c r="O26" s="671"/>
    </row>
    <row r="27" spans="1:17" ht="25.5" x14ac:dyDescent="0.2">
      <c r="A27" s="594"/>
      <c r="B27" s="586"/>
      <c r="C27" s="586"/>
      <c r="D27" s="19" t="s">
        <v>152</v>
      </c>
      <c r="E27" s="24">
        <v>76</v>
      </c>
      <c r="F27" s="34" t="s">
        <v>14</v>
      </c>
      <c r="G27" s="12" t="s">
        <v>14</v>
      </c>
      <c r="H27" s="12">
        <f>40950</f>
        <v>40950</v>
      </c>
      <c r="I27" s="12">
        <f>H27</f>
        <v>40950</v>
      </c>
      <c r="J27" s="52" t="s">
        <v>13</v>
      </c>
      <c r="K27" s="715"/>
      <c r="L27" s="715"/>
      <c r="M27" s="673"/>
      <c r="N27" s="674"/>
      <c r="O27" s="672"/>
    </row>
    <row r="28" spans="1:17" ht="38.25" x14ac:dyDescent="0.2">
      <c r="A28" s="594"/>
      <c r="B28" s="596"/>
      <c r="C28" s="596"/>
      <c r="D28" s="49" t="s">
        <v>153</v>
      </c>
      <c r="E28" s="4">
        <v>75</v>
      </c>
      <c r="F28" s="5" t="s">
        <v>14</v>
      </c>
      <c r="G28" s="12" t="s">
        <v>14</v>
      </c>
      <c r="H28" s="12">
        <f>56160</f>
        <v>56160</v>
      </c>
      <c r="I28" s="12">
        <f>H28</f>
        <v>56160</v>
      </c>
      <c r="J28" s="49" t="s">
        <v>13</v>
      </c>
      <c r="K28" s="716"/>
      <c r="L28" s="716"/>
      <c r="M28" s="658"/>
      <c r="N28" s="660"/>
      <c r="O28" s="705"/>
    </row>
    <row r="29" spans="1:17" ht="14.25" x14ac:dyDescent="0.2">
      <c r="A29" s="595"/>
      <c r="B29" s="717" t="s">
        <v>182</v>
      </c>
      <c r="C29" s="718"/>
      <c r="D29" s="718"/>
      <c r="E29" s="718"/>
      <c r="F29" s="718"/>
      <c r="G29" s="718"/>
      <c r="H29" s="718"/>
      <c r="I29" s="718"/>
      <c r="J29" s="718"/>
      <c r="K29" s="718"/>
      <c r="L29" s="718"/>
      <c r="M29" s="718"/>
      <c r="N29" s="718"/>
      <c r="O29" s="719"/>
    </row>
    <row r="30" spans="1:17" ht="15.75" x14ac:dyDescent="0.2">
      <c r="A30" s="556" t="s">
        <v>149</v>
      </c>
      <c r="B30" s="557"/>
      <c r="C30" s="557"/>
      <c r="D30" s="557"/>
      <c r="E30" s="557"/>
      <c r="F30" s="557"/>
      <c r="G30" s="557"/>
      <c r="H30" s="557"/>
      <c r="I30" s="557"/>
      <c r="J30" s="557"/>
      <c r="K30" s="557"/>
      <c r="L30" s="557"/>
      <c r="M30" s="557"/>
      <c r="N30" s="557"/>
      <c r="O30" s="661"/>
    </row>
    <row r="31" spans="1:17" ht="120" x14ac:dyDescent="0.2">
      <c r="A31" s="593">
        <v>3</v>
      </c>
      <c r="B31" s="53" t="s">
        <v>158</v>
      </c>
      <c r="C31" s="37" t="s">
        <v>125</v>
      </c>
      <c r="D31" s="16" t="s">
        <v>124</v>
      </c>
      <c r="E31" s="17">
        <v>100</v>
      </c>
      <c r="F31" s="18" t="s">
        <v>12</v>
      </c>
      <c r="G31" s="18" t="s">
        <v>156</v>
      </c>
      <c r="H31" s="18">
        <f>400*117/100</f>
        <v>468</v>
      </c>
      <c r="I31" s="18">
        <f>H31*30</f>
        <v>14040</v>
      </c>
      <c r="J31" s="16" t="s">
        <v>13</v>
      </c>
      <c r="K31" s="61" t="s">
        <v>116</v>
      </c>
      <c r="L31" s="235" t="s">
        <v>709</v>
      </c>
      <c r="M31" s="80">
        <f>(H31-100)*30</f>
        <v>11040</v>
      </c>
      <c r="N31" s="74" t="s">
        <v>18</v>
      </c>
      <c r="O31" s="62"/>
    </row>
    <row r="32" spans="1:17" ht="14.25" x14ac:dyDescent="0.2">
      <c r="A32" s="595"/>
      <c r="B32" s="581" t="s">
        <v>157</v>
      </c>
      <c r="C32" s="582"/>
      <c r="D32" s="582"/>
      <c r="E32" s="582"/>
      <c r="F32" s="582"/>
      <c r="G32" s="582"/>
      <c r="H32" s="582"/>
      <c r="I32" s="582"/>
      <c r="J32" s="582"/>
      <c r="K32" s="582"/>
      <c r="L32" s="582"/>
      <c r="M32" s="582"/>
      <c r="N32" s="582"/>
      <c r="O32" s="583"/>
    </row>
    <row r="33" spans="1:17" ht="15.75" x14ac:dyDescent="0.2">
      <c r="A33" s="556" t="s">
        <v>162</v>
      </c>
      <c r="B33" s="557"/>
      <c r="C33" s="557"/>
      <c r="D33" s="557"/>
      <c r="E33" s="557"/>
      <c r="F33" s="557"/>
      <c r="G33" s="557"/>
      <c r="H33" s="557"/>
      <c r="I33" s="557"/>
      <c r="J33" s="557"/>
      <c r="K33" s="557"/>
      <c r="L33" s="557"/>
      <c r="M33" s="557"/>
      <c r="N33" s="557"/>
      <c r="O33" s="661"/>
    </row>
    <row r="34" spans="1:17" ht="63.75" x14ac:dyDescent="0.2">
      <c r="A34" s="593">
        <v>4</v>
      </c>
      <c r="B34" s="52" t="s">
        <v>159</v>
      </c>
      <c r="C34" s="52" t="s">
        <v>183</v>
      </c>
      <c r="D34" s="13" t="s">
        <v>115</v>
      </c>
      <c r="E34" s="14">
        <v>100</v>
      </c>
      <c r="F34" s="15" t="s">
        <v>30</v>
      </c>
      <c r="G34" s="15" t="s">
        <v>161</v>
      </c>
      <c r="H34" s="15">
        <f>30000*117/100</f>
        <v>35100</v>
      </c>
      <c r="I34" s="15">
        <f>H34*4</f>
        <v>140400</v>
      </c>
      <c r="J34" s="13"/>
      <c r="K34" s="50" t="s">
        <v>116</v>
      </c>
      <c r="L34" s="50" t="s">
        <v>97</v>
      </c>
      <c r="M34" s="75">
        <f>I34</f>
        <v>140400</v>
      </c>
      <c r="N34" s="42" t="s">
        <v>18</v>
      </c>
      <c r="O34" s="76">
        <v>1811000756</v>
      </c>
    </row>
    <row r="35" spans="1:17" ht="14.25" customHeight="1" x14ac:dyDescent="0.2">
      <c r="A35" s="595"/>
      <c r="B35" s="581" t="s">
        <v>160</v>
      </c>
      <c r="C35" s="582"/>
      <c r="D35" s="582"/>
      <c r="E35" s="582"/>
      <c r="F35" s="582"/>
      <c r="G35" s="582"/>
      <c r="H35" s="582"/>
      <c r="I35" s="582"/>
      <c r="J35" s="582"/>
      <c r="K35" s="582"/>
      <c r="L35" s="582"/>
      <c r="M35" s="582"/>
      <c r="N35" s="582"/>
      <c r="O35" s="583"/>
    </row>
    <row r="36" spans="1:17" ht="15.75" x14ac:dyDescent="0.2">
      <c r="A36" s="556" t="s">
        <v>165</v>
      </c>
      <c r="B36" s="557"/>
      <c r="C36" s="557"/>
      <c r="D36" s="557"/>
      <c r="E36" s="557"/>
      <c r="F36" s="557"/>
      <c r="G36" s="557"/>
      <c r="H36" s="557"/>
      <c r="I36" s="557"/>
      <c r="J36" s="557"/>
      <c r="K36" s="557"/>
      <c r="L36" s="557"/>
      <c r="M36" s="557"/>
      <c r="N36" s="557"/>
      <c r="O36" s="661"/>
    </row>
    <row r="37" spans="1:17" ht="25.5" x14ac:dyDescent="0.2">
      <c r="A37" s="593">
        <v>5</v>
      </c>
      <c r="B37" s="585" t="s">
        <v>110</v>
      </c>
      <c r="C37" s="585" t="s">
        <v>166</v>
      </c>
      <c r="D37" s="13" t="s">
        <v>167</v>
      </c>
      <c r="E37" s="14">
        <v>100</v>
      </c>
      <c r="F37" s="15" t="s">
        <v>12</v>
      </c>
      <c r="G37" s="36" t="s">
        <v>185</v>
      </c>
      <c r="H37" s="18">
        <f>150</f>
        <v>150</v>
      </c>
      <c r="I37" s="18">
        <f>H37*12*4*6</f>
        <v>43200</v>
      </c>
      <c r="J37" s="13" t="s">
        <v>13</v>
      </c>
      <c r="K37" s="560" t="s">
        <v>15</v>
      </c>
      <c r="L37" s="560" t="s">
        <v>97</v>
      </c>
      <c r="M37" s="657">
        <f>I37</f>
        <v>43200</v>
      </c>
      <c r="N37" s="731" t="s">
        <v>18</v>
      </c>
      <c r="O37" s="568">
        <v>1812200750</v>
      </c>
    </row>
    <row r="38" spans="1:17" ht="24" x14ac:dyDescent="0.2">
      <c r="A38" s="594"/>
      <c r="B38" s="586"/>
      <c r="C38" s="586"/>
      <c r="D38" s="19" t="s">
        <v>163</v>
      </c>
      <c r="E38" s="24">
        <v>96</v>
      </c>
      <c r="F38" s="12" t="s">
        <v>12</v>
      </c>
      <c r="G38" s="77" t="s">
        <v>185</v>
      </c>
      <c r="H38" s="12">
        <f>160</f>
        <v>160</v>
      </c>
      <c r="I38" s="12">
        <f>H38*12*4*6</f>
        <v>46080</v>
      </c>
      <c r="J38" s="19" t="s">
        <v>13</v>
      </c>
      <c r="K38" s="561"/>
      <c r="L38" s="561"/>
      <c r="M38" s="673"/>
      <c r="N38" s="732"/>
      <c r="O38" s="569"/>
    </row>
    <row r="39" spans="1:17" s="10" customFormat="1" ht="25.5" x14ac:dyDescent="0.2">
      <c r="A39" s="594"/>
      <c r="B39" s="586"/>
      <c r="C39" s="586"/>
      <c r="D39" s="78" t="s">
        <v>164</v>
      </c>
      <c r="E39" s="79">
        <f>15/17*70+30</f>
        <v>91.764705882352942</v>
      </c>
      <c r="F39" s="34" t="s">
        <v>12</v>
      </c>
      <c r="G39" s="77" t="s">
        <v>185</v>
      </c>
      <c r="H39" s="12">
        <f>170</f>
        <v>170</v>
      </c>
      <c r="I39" s="12">
        <f>H39*12*4*6</f>
        <v>48960</v>
      </c>
      <c r="J39" s="52" t="s">
        <v>13</v>
      </c>
      <c r="K39" s="561"/>
      <c r="L39" s="561"/>
      <c r="M39" s="673"/>
      <c r="N39" s="732"/>
      <c r="O39" s="569"/>
      <c r="P39"/>
      <c r="Q39"/>
    </row>
    <row r="40" spans="1:17" s="10" customFormat="1" ht="25.5" x14ac:dyDescent="0.2">
      <c r="A40" s="594"/>
      <c r="B40" s="596"/>
      <c r="C40" s="596"/>
      <c r="D40" s="78" t="s">
        <v>168</v>
      </c>
      <c r="E40" s="79">
        <f>15/20*70+30</f>
        <v>82.5</v>
      </c>
      <c r="F40" s="34" t="s">
        <v>12</v>
      </c>
      <c r="G40" s="77" t="s">
        <v>185</v>
      </c>
      <c r="H40" s="12">
        <f>200</f>
        <v>200</v>
      </c>
      <c r="I40" s="12">
        <f>H40*12*4*6</f>
        <v>57600</v>
      </c>
      <c r="J40" s="52" t="s">
        <v>13</v>
      </c>
      <c r="K40" s="562"/>
      <c r="L40" s="562"/>
      <c r="M40" s="658"/>
      <c r="N40" s="733"/>
      <c r="O40" s="570"/>
      <c r="P40"/>
      <c r="Q40"/>
    </row>
    <row r="41" spans="1:17" ht="14.25" x14ac:dyDescent="0.2">
      <c r="A41" s="595"/>
      <c r="B41" s="686" t="s">
        <v>184</v>
      </c>
      <c r="C41" s="687"/>
      <c r="D41" s="687"/>
      <c r="E41" s="687"/>
      <c r="F41" s="687"/>
      <c r="G41" s="687"/>
      <c r="H41" s="687"/>
      <c r="I41" s="687"/>
      <c r="J41" s="687"/>
      <c r="K41" s="687"/>
      <c r="L41" s="687"/>
      <c r="M41" s="687"/>
      <c r="N41" s="687"/>
      <c r="O41" s="688"/>
    </row>
    <row r="42" spans="1:17" s="10" customFormat="1" ht="15.75" x14ac:dyDescent="0.2">
      <c r="A42" s="556" t="s">
        <v>171</v>
      </c>
      <c r="B42" s="557"/>
      <c r="C42" s="557"/>
      <c r="D42" s="557"/>
      <c r="E42" s="557"/>
      <c r="F42" s="557"/>
      <c r="G42" s="557"/>
      <c r="H42" s="557"/>
      <c r="I42" s="557"/>
      <c r="J42" s="557"/>
      <c r="K42" s="557"/>
      <c r="L42" s="557"/>
      <c r="M42" s="557"/>
      <c r="N42" s="557"/>
      <c r="O42" s="661"/>
      <c r="P42"/>
      <c r="Q42"/>
    </row>
    <row r="43" spans="1:17" s="10" customFormat="1" ht="66.75" customHeight="1" x14ac:dyDescent="0.2">
      <c r="A43" s="720">
        <v>6</v>
      </c>
      <c r="B43" s="46" t="s">
        <v>169</v>
      </c>
      <c r="C43" s="46" t="s">
        <v>170</v>
      </c>
      <c r="D43" s="81" t="s">
        <v>74</v>
      </c>
      <c r="E43" s="82">
        <v>100</v>
      </c>
      <c r="F43" s="83" t="s">
        <v>14</v>
      </c>
      <c r="G43" s="83" t="s">
        <v>14</v>
      </c>
      <c r="H43" s="83">
        <f>147840*117/100</f>
        <v>172972.79999999999</v>
      </c>
      <c r="I43" s="83">
        <f>H43</f>
        <v>172972.79999999999</v>
      </c>
      <c r="J43" s="81" t="s">
        <v>13</v>
      </c>
      <c r="K43" s="43" t="s">
        <v>186</v>
      </c>
      <c r="L43" s="43" t="s">
        <v>187</v>
      </c>
      <c r="M43" s="47"/>
      <c r="N43" s="44" t="s">
        <v>18</v>
      </c>
      <c r="O43" s="45">
        <v>2240032750</v>
      </c>
      <c r="P43"/>
      <c r="Q43"/>
    </row>
    <row r="44" spans="1:17" s="10" customFormat="1" x14ac:dyDescent="0.2">
      <c r="A44" s="721"/>
      <c r="B44" s="717" t="s">
        <v>178</v>
      </c>
      <c r="C44" s="718"/>
      <c r="D44" s="718"/>
      <c r="E44" s="718"/>
      <c r="F44" s="718"/>
      <c r="G44" s="718"/>
      <c r="H44" s="718"/>
      <c r="I44" s="718"/>
      <c r="J44" s="718"/>
      <c r="K44" s="718"/>
      <c r="L44" s="718"/>
      <c r="M44" s="718"/>
      <c r="N44" s="718"/>
      <c r="O44" s="719"/>
      <c r="P44"/>
      <c r="Q44"/>
    </row>
    <row r="45" spans="1:17" ht="15.75" x14ac:dyDescent="0.2">
      <c r="A45" s="556" t="s">
        <v>172</v>
      </c>
      <c r="B45" s="557"/>
      <c r="C45" s="557"/>
      <c r="D45" s="557"/>
      <c r="E45" s="557"/>
      <c r="F45" s="557"/>
      <c r="G45" s="557"/>
      <c r="H45" s="557"/>
      <c r="I45" s="557"/>
      <c r="J45" s="557"/>
      <c r="K45" s="557"/>
      <c r="L45" s="557"/>
      <c r="M45" s="557"/>
      <c r="N45" s="557"/>
      <c r="O45" s="661"/>
    </row>
    <row r="46" spans="1:17" ht="63.75" x14ac:dyDescent="0.2">
      <c r="A46" s="720">
        <v>7</v>
      </c>
      <c r="B46" s="56" t="s">
        <v>173</v>
      </c>
      <c r="C46" s="56" t="s">
        <v>175</v>
      </c>
      <c r="D46" s="16" t="s">
        <v>174</v>
      </c>
      <c r="E46" s="14">
        <v>100</v>
      </c>
      <c r="F46" s="15" t="s">
        <v>12</v>
      </c>
      <c r="G46" s="18" t="s">
        <v>177</v>
      </c>
      <c r="H46" s="18">
        <f>192*117/100</f>
        <v>224.64</v>
      </c>
      <c r="I46" s="18">
        <f>H46*30*12</f>
        <v>80870.399999999994</v>
      </c>
      <c r="J46" s="13" t="s">
        <v>13</v>
      </c>
      <c r="K46" s="55" t="s">
        <v>116</v>
      </c>
      <c r="L46" s="55" t="s">
        <v>97</v>
      </c>
      <c r="M46" s="57">
        <f>I46</f>
        <v>80870.399999999994</v>
      </c>
      <c r="N46" s="54"/>
      <c r="O46" s="58">
        <v>24005</v>
      </c>
    </row>
    <row r="47" spans="1:17" ht="14.25" x14ac:dyDescent="0.2">
      <c r="A47" s="721"/>
      <c r="B47" s="717" t="s">
        <v>176</v>
      </c>
      <c r="C47" s="718"/>
      <c r="D47" s="718"/>
      <c r="E47" s="718"/>
      <c r="F47" s="718"/>
      <c r="G47" s="718"/>
      <c r="H47" s="718"/>
      <c r="I47" s="718"/>
      <c r="J47" s="718"/>
      <c r="K47" s="718"/>
      <c r="L47" s="718"/>
      <c r="M47" s="718"/>
      <c r="N47" s="718"/>
      <c r="O47" s="719"/>
    </row>
    <row r="48" spans="1:17" ht="15.75" x14ac:dyDescent="0.2">
      <c r="A48" s="20"/>
      <c r="B48" s="39"/>
      <c r="C48" s="39"/>
      <c r="D48" s="39"/>
      <c r="E48" s="39"/>
      <c r="F48" s="39"/>
      <c r="G48" s="39"/>
      <c r="H48" s="39"/>
      <c r="I48" s="39"/>
      <c r="J48" s="39"/>
      <c r="K48" s="39"/>
      <c r="L48" s="39"/>
      <c r="M48" s="39"/>
    </row>
    <row r="49" spans="2:2" x14ac:dyDescent="0.2">
      <c r="B49" s="23"/>
    </row>
  </sheetData>
  <mergeCells count="61">
    <mergeCell ref="A18:O18"/>
    <mergeCell ref="B10:O10"/>
    <mergeCell ref="A9:A10"/>
    <mergeCell ref="A8:O8"/>
    <mergeCell ref="A26:A29"/>
    <mergeCell ref="A25:O25"/>
    <mergeCell ref="B24:O24"/>
    <mergeCell ref="O19:O23"/>
    <mergeCell ref="N19:N23"/>
    <mergeCell ref="M19:M23"/>
    <mergeCell ref="L19:L23"/>
    <mergeCell ref="K19:K23"/>
    <mergeCell ref="C19:C23"/>
    <mergeCell ref="B19:B23"/>
    <mergeCell ref="A19:A24"/>
    <mergeCell ref="B29:O29"/>
    <mergeCell ref="C26:C28"/>
    <mergeCell ref="B26:B28"/>
    <mergeCell ref="A33:O33"/>
    <mergeCell ref="A34:A35"/>
    <mergeCell ref="B35:O35"/>
    <mergeCell ref="O26:O28"/>
    <mergeCell ref="N26:N28"/>
    <mergeCell ref="M26:M28"/>
    <mergeCell ref="L26:L28"/>
    <mergeCell ref="K26:K28"/>
    <mergeCell ref="A30:O30"/>
    <mergeCell ref="A31:A32"/>
    <mergeCell ref="B32:O32"/>
    <mergeCell ref="A36:O36"/>
    <mergeCell ref="A37:A41"/>
    <mergeCell ref="B37:B40"/>
    <mergeCell ref="C37:C40"/>
    <mergeCell ref="K37:K40"/>
    <mergeCell ref="L37:L40"/>
    <mergeCell ref="M37:M40"/>
    <mergeCell ref="N37:N40"/>
    <mergeCell ref="O37:O40"/>
    <mergeCell ref="B41:O41"/>
    <mergeCell ref="A1:A6"/>
    <mergeCell ref="B1:O1"/>
    <mergeCell ref="B2:O2"/>
    <mergeCell ref="B3:O3"/>
    <mergeCell ref="B4:O4"/>
    <mergeCell ref="B5:O5"/>
    <mergeCell ref="A11:O11"/>
    <mergeCell ref="A12:A16"/>
    <mergeCell ref="B12:B15"/>
    <mergeCell ref="C12:C15"/>
    <mergeCell ref="K12:K15"/>
    <mergeCell ref="L12:L15"/>
    <mergeCell ref="M12:M15"/>
    <mergeCell ref="N12:N15"/>
    <mergeCell ref="O12:O15"/>
    <mergeCell ref="B16:O16"/>
    <mergeCell ref="A45:O45"/>
    <mergeCell ref="A46:A47"/>
    <mergeCell ref="B47:O47"/>
    <mergeCell ref="A42:O42"/>
    <mergeCell ref="A43:A44"/>
    <mergeCell ref="B44:O44"/>
  </mergeCells>
  <pageMargins left="0.25" right="0.25" top="0.75" bottom="0.75" header="0.3" footer="0.3"/>
  <pageSetup paperSize="9" scale="72"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BAEC3-0658-4D37-A476-F87710ED1205}">
  <dimension ref="A1:S86"/>
  <sheetViews>
    <sheetView rightToLeft="1" topLeftCell="B1" workbookViewId="0">
      <selection activeCell="B1" sqref="B1:S1"/>
    </sheetView>
  </sheetViews>
  <sheetFormatPr defaultRowHeight="14.25" x14ac:dyDescent="0.2"/>
  <cols>
    <col min="4" max="4" width="18.875" bestFit="1" customWidth="1"/>
    <col min="10" max="11" width="10.75" bestFit="1" customWidth="1"/>
    <col min="12" max="12" width="11.875" bestFit="1" customWidth="1"/>
    <col min="13" max="13" width="12.375" bestFit="1" customWidth="1"/>
    <col min="18" max="18" width="12.375" customWidth="1"/>
  </cols>
  <sheetData>
    <row r="1" spans="1:19" ht="20.25" x14ac:dyDescent="0.2">
      <c r="A1" s="607"/>
      <c r="B1" s="610" t="s">
        <v>1383</v>
      </c>
      <c r="C1" s="611"/>
      <c r="D1" s="611"/>
      <c r="E1" s="611"/>
      <c r="F1" s="611"/>
      <c r="G1" s="611"/>
      <c r="H1" s="611"/>
      <c r="I1" s="611"/>
      <c r="J1" s="611"/>
      <c r="K1" s="611"/>
      <c r="L1" s="611"/>
      <c r="M1" s="611"/>
      <c r="N1" s="611"/>
      <c r="O1" s="611"/>
      <c r="P1" s="611"/>
      <c r="Q1" s="611"/>
      <c r="R1" s="611"/>
      <c r="S1" s="612"/>
    </row>
    <row r="2" spans="1:19" x14ac:dyDescent="0.2">
      <c r="A2" s="608"/>
      <c r="B2" s="613" t="s">
        <v>1365</v>
      </c>
      <c r="C2" s="614"/>
      <c r="D2" s="614"/>
      <c r="E2" s="614"/>
      <c r="F2" s="614"/>
      <c r="G2" s="614"/>
      <c r="H2" s="614"/>
      <c r="I2" s="614"/>
      <c r="J2" s="614"/>
      <c r="K2" s="614"/>
      <c r="L2" s="614"/>
      <c r="M2" s="614"/>
      <c r="N2" s="614"/>
      <c r="O2" s="614"/>
      <c r="P2" s="614"/>
      <c r="Q2" s="614"/>
      <c r="R2" s="614"/>
      <c r="S2" s="615"/>
    </row>
    <row r="3" spans="1:19" ht="15.75" x14ac:dyDescent="0.2">
      <c r="A3" s="608"/>
      <c r="B3" s="616" t="s">
        <v>795</v>
      </c>
      <c r="C3" s="617"/>
      <c r="D3" s="617"/>
      <c r="E3" s="617"/>
      <c r="F3" s="617"/>
      <c r="G3" s="617"/>
      <c r="H3" s="617"/>
      <c r="I3" s="617"/>
      <c r="J3" s="617"/>
      <c r="K3" s="617"/>
      <c r="L3" s="617"/>
      <c r="M3" s="617"/>
      <c r="N3" s="617"/>
      <c r="O3" s="617"/>
      <c r="P3" s="617"/>
      <c r="Q3" s="617"/>
      <c r="R3" s="617"/>
      <c r="S3" s="618"/>
    </row>
    <row r="4" spans="1:19" x14ac:dyDescent="0.2">
      <c r="A4" s="608"/>
      <c r="B4" s="619" t="s">
        <v>52</v>
      </c>
      <c r="C4" s="620"/>
      <c r="D4" s="620"/>
      <c r="E4" s="620"/>
      <c r="F4" s="620"/>
      <c r="G4" s="620"/>
      <c r="H4" s="620"/>
      <c r="I4" s="620"/>
      <c r="J4" s="620"/>
      <c r="K4" s="620"/>
      <c r="L4" s="620"/>
      <c r="M4" s="620"/>
      <c r="N4" s="620"/>
      <c r="O4" s="620"/>
      <c r="P4" s="620"/>
      <c r="Q4" s="620"/>
      <c r="R4" s="620"/>
      <c r="S4" s="621"/>
    </row>
    <row r="5" spans="1:19" x14ac:dyDescent="0.2">
      <c r="A5" s="608"/>
      <c r="B5" s="619" t="s">
        <v>51</v>
      </c>
      <c r="C5" s="620"/>
      <c r="D5" s="620"/>
      <c r="E5" s="620"/>
      <c r="F5" s="620"/>
      <c r="G5" s="620"/>
      <c r="H5" s="620"/>
      <c r="I5" s="620"/>
      <c r="J5" s="620"/>
      <c r="K5" s="620"/>
      <c r="L5" s="620"/>
      <c r="M5" s="620"/>
      <c r="N5" s="620"/>
      <c r="O5" s="620"/>
      <c r="P5" s="620"/>
      <c r="Q5" s="620"/>
      <c r="R5" s="620"/>
      <c r="S5" s="621"/>
    </row>
    <row r="6" spans="1:19" ht="78.75" x14ac:dyDescent="0.2">
      <c r="A6" s="609"/>
      <c r="B6" s="222" t="s">
        <v>0</v>
      </c>
      <c r="C6" s="222" t="s">
        <v>1</v>
      </c>
      <c r="D6" s="222" t="s">
        <v>830</v>
      </c>
      <c r="E6" s="222" t="s">
        <v>35</v>
      </c>
      <c r="F6" s="222" t="s">
        <v>831</v>
      </c>
      <c r="G6" s="222" t="s">
        <v>2</v>
      </c>
      <c r="H6" s="222" t="s">
        <v>3</v>
      </c>
      <c r="I6" s="222" t="s">
        <v>832</v>
      </c>
      <c r="J6" s="222" t="s">
        <v>833</v>
      </c>
      <c r="K6" s="502" t="s">
        <v>834</v>
      </c>
      <c r="L6" s="2" t="s">
        <v>835</v>
      </c>
      <c r="M6" s="3" t="s">
        <v>836</v>
      </c>
      <c r="N6" s="222" t="s">
        <v>8</v>
      </c>
      <c r="O6" s="222" t="s">
        <v>9</v>
      </c>
      <c r="P6" s="222" t="s">
        <v>95</v>
      </c>
      <c r="Q6" s="222" t="s">
        <v>837</v>
      </c>
      <c r="R6" s="513" t="s">
        <v>729</v>
      </c>
      <c r="S6" s="222" t="s">
        <v>10</v>
      </c>
    </row>
    <row r="7" spans="1:19" x14ac:dyDescent="0.2">
      <c r="A7" s="576" t="s">
        <v>1366</v>
      </c>
      <c r="B7" s="577"/>
      <c r="C7" s="577"/>
      <c r="D7" s="577"/>
      <c r="E7" s="577"/>
      <c r="F7" s="577"/>
      <c r="G7" s="577"/>
      <c r="H7" s="577"/>
      <c r="I7" s="577"/>
      <c r="J7" s="577"/>
      <c r="K7" s="577"/>
      <c r="L7" s="577"/>
      <c r="M7" s="577"/>
      <c r="N7" s="577"/>
      <c r="O7" s="577"/>
      <c r="P7" s="577"/>
      <c r="Q7" s="577"/>
      <c r="R7" s="577"/>
      <c r="S7" s="578"/>
    </row>
    <row r="8" spans="1:19" ht="38.25" x14ac:dyDescent="0.2">
      <c r="A8" s="579">
        <v>1</v>
      </c>
      <c r="B8" s="585" t="s">
        <v>1371</v>
      </c>
      <c r="C8" s="585" t="s">
        <v>1109</v>
      </c>
      <c r="D8" s="585" t="s">
        <v>1289</v>
      </c>
      <c r="E8" s="587" t="s">
        <v>41</v>
      </c>
      <c r="F8" s="587" t="s">
        <v>54</v>
      </c>
      <c r="G8" s="471" t="s">
        <v>1372</v>
      </c>
      <c r="H8" s="14">
        <v>100</v>
      </c>
      <c r="I8" s="15" t="s">
        <v>73</v>
      </c>
      <c r="J8" s="470">
        <v>185</v>
      </c>
      <c r="K8" s="364">
        <v>250</v>
      </c>
      <c r="L8" s="470">
        <v>46250</v>
      </c>
      <c r="M8" s="470">
        <v>54112</v>
      </c>
      <c r="N8" s="13" t="s">
        <v>1111</v>
      </c>
      <c r="O8" s="560" t="s">
        <v>86</v>
      </c>
      <c r="P8" s="560" t="s">
        <v>97</v>
      </c>
      <c r="Q8" s="589"/>
      <c r="R8" s="591">
        <v>54112</v>
      </c>
      <c r="S8" s="568"/>
    </row>
    <row r="9" spans="1:19" ht="25.5" x14ac:dyDescent="0.2">
      <c r="A9" s="584"/>
      <c r="B9" s="586"/>
      <c r="C9" s="586"/>
      <c r="D9" s="586"/>
      <c r="E9" s="588"/>
      <c r="F9" s="588"/>
      <c r="G9" s="463" t="s">
        <v>71</v>
      </c>
      <c r="H9" s="79">
        <v>73</v>
      </c>
      <c r="I9" s="118" t="s">
        <v>73</v>
      </c>
      <c r="J9" s="423">
        <v>301</v>
      </c>
      <c r="K9" s="464">
        <v>250</v>
      </c>
      <c r="L9" s="423">
        <v>75250</v>
      </c>
      <c r="M9" s="503">
        <v>88042</v>
      </c>
      <c r="N9" s="78" t="s">
        <v>1111</v>
      </c>
      <c r="O9" s="561"/>
      <c r="P9" s="561"/>
      <c r="Q9" s="590"/>
      <c r="R9" s="592"/>
      <c r="S9" s="569"/>
    </row>
    <row r="10" spans="1:19" x14ac:dyDescent="0.2">
      <c r="A10" s="584"/>
      <c r="B10" s="586"/>
      <c r="C10" s="586"/>
      <c r="D10" s="586"/>
      <c r="E10" s="588"/>
      <c r="F10" s="588"/>
      <c r="G10" s="463" t="s">
        <v>240</v>
      </c>
      <c r="H10" s="79">
        <v>62</v>
      </c>
      <c r="I10" s="118" t="s">
        <v>73</v>
      </c>
      <c r="J10" s="423">
        <v>400</v>
      </c>
      <c r="K10" s="464">
        <v>250</v>
      </c>
      <c r="L10" s="423">
        <v>100000</v>
      </c>
      <c r="M10" s="503">
        <v>117000</v>
      </c>
      <c r="N10" s="78" t="s">
        <v>1111</v>
      </c>
      <c r="O10" s="561"/>
      <c r="P10" s="561"/>
      <c r="Q10" s="590"/>
      <c r="R10" s="592"/>
      <c r="S10" s="569"/>
    </row>
    <row r="11" spans="1:19" x14ac:dyDescent="0.2">
      <c r="A11" s="584"/>
      <c r="B11" s="596"/>
      <c r="C11" s="596"/>
      <c r="D11" s="596"/>
      <c r="E11" s="600"/>
      <c r="F11" s="600"/>
      <c r="G11" s="463" t="s">
        <v>239</v>
      </c>
      <c r="H11" s="79">
        <v>59</v>
      </c>
      <c r="I11" s="118" t="s">
        <v>73</v>
      </c>
      <c r="J11" s="423">
        <v>450</v>
      </c>
      <c r="K11" s="464">
        <v>250</v>
      </c>
      <c r="L11" s="423">
        <v>112500</v>
      </c>
      <c r="M11" s="503">
        <v>131625</v>
      </c>
      <c r="N11" s="78" t="s">
        <v>1111</v>
      </c>
      <c r="O11" s="562"/>
      <c r="P11" s="562"/>
      <c r="Q11" s="630"/>
      <c r="R11" s="626"/>
      <c r="S11" s="570"/>
    </row>
    <row r="12" spans="1:19" x14ac:dyDescent="0.2">
      <c r="A12" s="580"/>
      <c r="B12" s="581"/>
      <c r="C12" s="582"/>
      <c r="D12" s="582"/>
      <c r="E12" s="582"/>
      <c r="F12" s="582"/>
      <c r="G12" s="582"/>
      <c r="H12" s="582"/>
      <c r="I12" s="582"/>
      <c r="J12" s="582"/>
      <c r="K12" s="582"/>
      <c r="L12" s="582"/>
      <c r="M12" s="582"/>
      <c r="N12" s="582"/>
      <c r="O12" s="582"/>
      <c r="P12" s="582"/>
      <c r="Q12" s="582"/>
      <c r="R12" s="582"/>
      <c r="S12" s="583"/>
    </row>
    <row r="13" spans="1:19" x14ac:dyDescent="0.2">
      <c r="A13" s="576" t="s">
        <v>1367</v>
      </c>
      <c r="B13" s="577"/>
      <c r="C13" s="577"/>
      <c r="D13" s="577"/>
      <c r="E13" s="577"/>
      <c r="F13" s="577"/>
      <c r="G13" s="577"/>
      <c r="H13" s="577"/>
      <c r="I13" s="577"/>
      <c r="J13" s="577"/>
      <c r="K13" s="577"/>
      <c r="L13" s="577"/>
      <c r="M13" s="577"/>
      <c r="N13" s="577"/>
      <c r="O13" s="577"/>
      <c r="P13" s="577"/>
      <c r="Q13" s="577"/>
      <c r="R13" s="577"/>
      <c r="S13" s="577"/>
    </row>
    <row r="14" spans="1:19" x14ac:dyDescent="0.2">
      <c r="A14" s="593">
        <v>2</v>
      </c>
      <c r="B14" s="622" t="s">
        <v>1373</v>
      </c>
      <c r="C14" s="585" t="s">
        <v>1109</v>
      </c>
      <c r="D14" s="635">
        <v>253020</v>
      </c>
      <c r="E14" s="587" t="s">
        <v>43</v>
      </c>
      <c r="F14" s="587" t="s">
        <v>54</v>
      </c>
      <c r="G14" s="13" t="s">
        <v>138</v>
      </c>
      <c r="H14" s="14">
        <v>100</v>
      </c>
      <c r="I14" s="15" t="s">
        <v>14</v>
      </c>
      <c r="J14" s="470">
        <v>240000</v>
      </c>
      <c r="K14" s="364">
        <v>1</v>
      </c>
      <c r="L14" s="470">
        <v>240000</v>
      </c>
      <c r="M14" s="470">
        <v>280800</v>
      </c>
      <c r="N14" s="13" t="s">
        <v>1111</v>
      </c>
      <c r="O14" s="631" t="s">
        <v>86</v>
      </c>
      <c r="P14" s="560" t="s">
        <v>97</v>
      </c>
      <c r="Q14" s="589"/>
      <c r="R14" s="591">
        <f>M14*(100-Q14)/100</f>
        <v>280800</v>
      </c>
      <c r="S14" s="568"/>
    </row>
    <row r="15" spans="1:19" x14ac:dyDescent="0.2">
      <c r="A15" s="594"/>
      <c r="B15" s="634"/>
      <c r="C15" s="586"/>
      <c r="D15" s="636"/>
      <c r="E15" s="588"/>
      <c r="F15" s="588"/>
      <c r="G15" s="78" t="s">
        <v>691</v>
      </c>
      <c r="H15" s="79">
        <v>79</v>
      </c>
      <c r="I15" s="118" t="s">
        <v>14</v>
      </c>
      <c r="J15" s="423">
        <v>340000</v>
      </c>
      <c r="K15" s="464">
        <v>1</v>
      </c>
      <c r="L15" s="423">
        <v>340000</v>
      </c>
      <c r="M15" s="503">
        <v>397800</v>
      </c>
      <c r="N15" s="78" t="s">
        <v>1111</v>
      </c>
      <c r="O15" s="632"/>
      <c r="P15" s="561"/>
      <c r="Q15" s="590"/>
      <c r="R15" s="592"/>
      <c r="S15" s="569"/>
    </row>
    <row r="16" spans="1:19" ht="25.5" x14ac:dyDescent="0.2">
      <c r="A16" s="594"/>
      <c r="B16" s="634"/>
      <c r="C16" s="586"/>
      <c r="D16" s="636"/>
      <c r="E16" s="588"/>
      <c r="F16" s="588"/>
      <c r="G16" s="78" t="s">
        <v>692</v>
      </c>
      <c r="H16" s="79">
        <v>74</v>
      </c>
      <c r="I16" s="118" t="s">
        <v>14</v>
      </c>
      <c r="J16" s="423">
        <v>385000</v>
      </c>
      <c r="K16" s="464">
        <v>1</v>
      </c>
      <c r="L16" s="423">
        <v>385000</v>
      </c>
      <c r="M16" s="503">
        <v>450450</v>
      </c>
      <c r="N16" s="78" t="s">
        <v>1111</v>
      </c>
      <c r="O16" s="632"/>
      <c r="P16" s="561"/>
      <c r="Q16" s="590"/>
      <c r="R16" s="592"/>
      <c r="S16" s="569"/>
    </row>
    <row r="17" spans="1:19" x14ac:dyDescent="0.2">
      <c r="A17" s="594"/>
      <c r="B17" s="623"/>
      <c r="C17" s="596"/>
      <c r="D17" s="637"/>
      <c r="E17" s="600"/>
      <c r="F17" s="600"/>
      <c r="G17" s="78" t="s">
        <v>1374</v>
      </c>
      <c r="H17" s="79">
        <v>60</v>
      </c>
      <c r="I17" s="118" t="s">
        <v>14</v>
      </c>
      <c r="J17" s="423">
        <v>558250</v>
      </c>
      <c r="K17" s="464">
        <v>1</v>
      </c>
      <c r="L17" s="423">
        <v>558250</v>
      </c>
      <c r="M17" s="503">
        <v>653152</v>
      </c>
      <c r="N17" s="78" t="s">
        <v>1111</v>
      </c>
      <c r="O17" s="633"/>
      <c r="P17" s="562"/>
      <c r="Q17" s="630"/>
      <c r="R17" s="626"/>
      <c r="S17" s="570"/>
    </row>
    <row r="18" spans="1:19" x14ac:dyDescent="0.2">
      <c r="A18" s="595"/>
      <c r="B18" s="581"/>
      <c r="C18" s="582"/>
      <c r="D18" s="582"/>
      <c r="E18" s="582"/>
      <c r="F18" s="582"/>
      <c r="G18" s="582"/>
      <c r="H18" s="582"/>
      <c r="I18" s="582"/>
      <c r="J18" s="582"/>
      <c r="K18" s="582"/>
      <c r="L18" s="582"/>
      <c r="M18" s="582"/>
      <c r="N18" s="582"/>
      <c r="O18" s="582"/>
      <c r="P18" s="582"/>
      <c r="Q18" s="582"/>
      <c r="R18" s="582"/>
      <c r="S18" s="582"/>
    </row>
    <row r="19" spans="1:19" x14ac:dyDescent="0.2">
      <c r="A19" s="576" t="s">
        <v>1368</v>
      </c>
      <c r="B19" s="577"/>
      <c r="C19" s="577"/>
      <c r="D19" s="577"/>
      <c r="E19" s="577"/>
      <c r="F19" s="577"/>
      <c r="G19" s="577"/>
      <c r="H19" s="577"/>
      <c r="I19" s="577"/>
      <c r="J19" s="577"/>
      <c r="K19" s="577"/>
      <c r="L19" s="577"/>
      <c r="M19" s="577"/>
      <c r="N19" s="577"/>
      <c r="O19" s="577"/>
      <c r="P19" s="577"/>
      <c r="Q19" s="577"/>
      <c r="R19" s="577"/>
      <c r="S19" s="578"/>
    </row>
    <row r="20" spans="1:19" x14ac:dyDescent="0.2">
      <c r="A20" s="579">
        <v>3</v>
      </c>
      <c r="B20" s="585" t="s">
        <v>1449</v>
      </c>
      <c r="C20" s="585" t="s">
        <v>1109</v>
      </c>
      <c r="D20" s="585">
        <v>253020</v>
      </c>
      <c r="E20" s="587" t="s">
        <v>43</v>
      </c>
      <c r="F20" s="587" t="s">
        <v>54</v>
      </c>
      <c r="G20" s="535" t="s">
        <v>74</v>
      </c>
      <c r="H20" s="536">
        <v>100</v>
      </c>
      <c r="I20" s="537" t="s">
        <v>14</v>
      </c>
      <c r="J20" s="538">
        <v>12000</v>
      </c>
      <c r="K20" s="539">
        <v>10</v>
      </c>
      <c r="L20" s="538">
        <v>120000</v>
      </c>
      <c r="M20" s="538">
        <v>140400</v>
      </c>
      <c r="N20" s="540" t="s">
        <v>1111</v>
      </c>
      <c r="O20" s="560" t="s">
        <v>86</v>
      </c>
      <c r="P20" s="560" t="s">
        <v>97</v>
      </c>
      <c r="Q20" s="589"/>
      <c r="R20" s="591">
        <v>140400</v>
      </c>
      <c r="S20" s="568"/>
    </row>
    <row r="21" spans="1:19" x14ac:dyDescent="0.2">
      <c r="A21" s="584"/>
      <c r="B21" s="586"/>
      <c r="C21" s="586"/>
      <c r="D21" s="586"/>
      <c r="E21" s="588"/>
      <c r="F21" s="588"/>
      <c r="G21" s="463" t="s">
        <v>691</v>
      </c>
      <c r="H21" s="79">
        <v>54</v>
      </c>
      <c r="I21" s="118" t="s">
        <v>14</v>
      </c>
      <c r="J21" s="423">
        <v>35000</v>
      </c>
      <c r="K21" s="464">
        <v>10</v>
      </c>
      <c r="L21" s="423">
        <v>350000</v>
      </c>
      <c r="M21" s="503">
        <v>409500</v>
      </c>
      <c r="N21" s="78" t="s">
        <v>1111</v>
      </c>
      <c r="O21" s="561"/>
      <c r="P21" s="561"/>
      <c r="Q21" s="590"/>
      <c r="R21" s="592"/>
      <c r="S21" s="569"/>
    </row>
    <row r="22" spans="1:19" ht="25.5" x14ac:dyDescent="0.2">
      <c r="A22" s="584"/>
      <c r="B22" s="586"/>
      <c r="C22" s="586"/>
      <c r="D22" s="586"/>
      <c r="E22" s="588"/>
      <c r="F22" s="588"/>
      <c r="G22" s="463" t="s">
        <v>1450</v>
      </c>
      <c r="H22" s="79">
        <v>51</v>
      </c>
      <c r="I22" s="118" t="s">
        <v>14</v>
      </c>
      <c r="J22" s="423">
        <v>40000</v>
      </c>
      <c r="K22" s="464">
        <v>10</v>
      </c>
      <c r="L22" s="423">
        <v>400000</v>
      </c>
      <c r="M22" s="503">
        <v>468000</v>
      </c>
      <c r="N22" s="78" t="s">
        <v>1111</v>
      </c>
      <c r="O22" s="561"/>
      <c r="P22" s="561"/>
      <c r="Q22" s="590"/>
      <c r="R22" s="592"/>
      <c r="S22" s="569"/>
    </row>
    <row r="23" spans="1:19" ht="25.5" x14ac:dyDescent="0.2">
      <c r="A23" s="584"/>
      <c r="B23" s="586"/>
      <c r="C23" s="586"/>
      <c r="D23" s="586"/>
      <c r="E23" s="588"/>
      <c r="F23" s="588"/>
      <c r="G23" s="463" t="s">
        <v>692</v>
      </c>
      <c r="H23" s="79">
        <v>46</v>
      </c>
      <c r="I23" s="118" t="s">
        <v>14</v>
      </c>
      <c r="J23" s="423">
        <v>52000</v>
      </c>
      <c r="K23" s="464">
        <v>10</v>
      </c>
      <c r="L23" s="423">
        <v>520000</v>
      </c>
      <c r="M23" s="503">
        <v>608400</v>
      </c>
      <c r="N23" s="78" t="s">
        <v>1111</v>
      </c>
      <c r="O23" s="561"/>
      <c r="P23" s="561"/>
      <c r="Q23" s="590"/>
      <c r="R23" s="592"/>
      <c r="S23" s="569"/>
    </row>
    <row r="24" spans="1:19" x14ac:dyDescent="0.2">
      <c r="A24" s="584"/>
      <c r="B24" s="586"/>
      <c r="C24" s="586"/>
      <c r="D24" s="586"/>
      <c r="E24" s="588"/>
      <c r="F24" s="588"/>
      <c r="G24" s="463" t="s">
        <v>50</v>
      </c>
      <c r="H24" s="79">
        <v>44</v>
      </c>
      <c r="I24" s="118" t="s">
        <v>14</v>
      </c>
      <c r="J24" s="423">
        <v>61500</v>
      </c>
      <c r="K24" s="464">
        <v>10</v>
      </c>
      <c r="L24" s="423">
        <v>615000</v>
      </c>
      <c r="M24" s="503">
        <v>719550</v>
      </c>
      <c r="N24" s="78" t="s">
        <v>1111</v>
      </c>
      <c r="O24" s="561"/>
      <c r="P24" s="561"/>
      <c r="Q24" s="590"/>
      <c r="R24" s="592"/>
      <c r="S24" s="569"/>
    </row>
    <row r="25" spans="1:19" x14ac:dyDescent="0.2">
      <c r="A25" s="584"/>
      <c r="B25" s="586"/>
      <c r="C25" s="586"/>
      <c r="D25" s="586"/>
      <c r="E25" s="588"/>
      <c r="F25" s="588"/>
      <c r="G25" s="463" t="s">
        <v>1451</v>
      </c>
      <c r="H25" s="79">
        <v>39</v>
      </c>
      <c r="I25" s="118" t="s">
        <v>14</v>
      </c>
      <c r="J25" s="423">
        <v>95000</v>
      </c>
      <c r="K25" s="464">
        <v>10</v>
      </c>
      <c r="L25" s="423">
        <v>950000</v>
      </c>
      <c r="M25" s="503">
        <v>1111500</v>
      </c>
      <c r="N25" s="78" t="s">
        <v>1111</v>
      </c>
      <c r="O25" s="561"/>
      <c r="P25" s="561"/>
      <c r="Q25" s="590"/>
      <c r="R25" s="592"/>
      <c r="S25" s="569"/>
    </row>
    <row r="26" spans="1:19" x14ac:dyDescent="0.2">
      <c r="A26" s="584"/>
      <c r="B26" s="596"/>
      <c r="C26" s="596"/>
      <c r="D26" s="596"/>
      <c r="E26" s="600"/>
      <c r="F26" s="600"/>
      <c r="G26" s="463" t="s">
        <v>138</v>
      </c>
      <c r="H26" s="79">
        <v>37</v>
      </c>
      <c r="I26" s="118" t="s">
        <v>14</v>
      </c>
      <c r="J26" s="423">
        <v>115000</v>
      </c>
      <c r="K26" s="464">
        <v>10</v>
      </c>
      <c r="L26" s="423">
        <v>1150000</v>
      </c>
      <c r="M26" s="503">
        <v>1345500</v>
      </c>
      <c r="N26" s="78" t="s">
        <v>1111</v>
      </c>
      <c r="O26" s="562"/>
      <c r="P26" s="562"/>
      <c r="Q26" s="630"/>
      <c r="R26" s="626"/>
      <c r="S26" s="570"/>
    </row>
    <row r="27" spans="1:19" x14ac:dyDescent="0.2">
      <c r="A27" s="580"/>
      <c r="B27" s="581" t="s">
        <v>1276</v>
      </c>
      <c r="C27" s="582"/>
      <c r="D27" s="582"/>
      <c r="E27" s="582"/>
      <c r="F27" s="582"/>
      <c r="G27" s="582"/>
      <c r="H27" s="582"/>
      <c r="I27" s="582"/>
      <c r="J27" s="582"/>
      <c r="K27" s="582"/>
      <c r="L27" s="582"/>
      <c r="M27" s="582"/>
      <c r="N27" s="582"/>
      <c r="O27" s="582"/>
      <c r="P27" s="582"/>
      <c r="Q27" s="582"/>
      <c r="R27" s="582"/>
      <c r="S27" s="583"/>
    </row>
    <row r="28" spans="1:19" x14ac:dyDescent="0.2">
      <c r="A28" s="576" t="s">
        <v>1369</v>
      </c>
      <c r="B28" s="577"/>
      <c r="C28" s="577"/>
      <c r="D28" s="577"/>
      <c r="E28" s="577"/>
      <c r="F28" s="577"/>
      <c r="G28" s="577"/>
      <c r="H28" s="577"/>
      <c r="I28" s="577"/>
      <c r="J28" s="577"/>
      <c r="K28" s="577"/>
      <c r="L28" s="577"/>
      <c r="M28" s="577"/>
      <c r="N28" s="577"/>
      <c r="O28" s="577"/>
      <c r="P28" s="577"/>
      <c r="Q28" s="577"/>
      <c r="R28" s="577"/>
      <c r="S28" s="578"/>
    </row>
    <row r="29" spans="1:19" ht="38.25" x14ac:dyDescent="0.2">
      <c r="A29" s="579">
        <v>4</v>
      </c>
      <c r="B29" s="585" t="s">
        <v>1378</v>
      </c>
      <c r="C29" s="585" t="s">
        <v>1379</v>
      </c>
      <c r="D29" s="585">
        <v>2490022752</v>
      </c>
      <c r="E29" s="587" t="s">
        <v>36</v>
      </c>
      <c r="F29" s="587" t="s">
        <v>54</v>
      </c>
      <c r="G29" s="13" t="s">
        <v>1151</v>
      </c>
      <c r="H29" s="14">
        <v>100</v>
      </c>
      <c r="I29" s="15" t="s">
        <v>847</v>
      </c>
      <c r="J29" s="541">
        <v>3950</v>
      </c>
      <c r="K29" s="542">
        <v>1</v>
      </c>
      <c r="L29" s="381">
        <f>J29*K29</f>
        <v>3950</v>
      </c>
      <c r="M29" s="381">
        <f>L29*1.17</f>
        <v>4621.5</v>
      </c>
      <c r="N29" s="13" t="s">
        <v>1111</v>
      </c>
      <c r="O29" s="560" t="s">
        <v>86</v>
      </c>
      <c r="P29" s="560" t="s">
        <v>97</v>
      </c>
      <c r="Q29" s="589"/>
      <c r="R29" s="591">
        <f>M29*(100-Q29)/100</f>
        <v>4621.5</v>
      </c>
      <c r="S29" s="568" t="s">
        <v>18</v>
      </c>
    </row>
    <row r="30" spans="1:19" ht="25.5" x14ac:dyDescent="0.2">
      <c r="A30" s="584"/>
      <c r="B30" s="586"/>
      <c r="C30" s="586"/>
      <c r="D30" s="586"/>
      <c r="E30" s="588"/>
      <c r="F30" s="588"/>
      <c r="G30" s="514" t="s">
        <v>1150</v>
      </c>
      <c r="H30" s="520">
        <v>88</v>
      </c>
      <c r="I30" s="34" t="s">
        <v>847</v>
      </c>
      <c r="J30" s="506">
        <v>4800</v>
      </c>
      <c r="K30" s="507">
        <v>1</v>
      </c>
      <c r="L30" s="372">
        <f t="shared" ref="L30:L32" si="0">J30*K30</f>
        <v>4800</v>
      </c>
      <c r="M30" s="372">
        <f t="shared" ref="M30:M32" si="1">L30*1.17</f>
        <v>5616</v>
      </c>
      <c r="N30" s="78" t="s">
        <v>1111</v>
      </c>
      <c r="O30" s="561"/>
      <c r="P30" s="561"/>
      <c r="Q30" s="590"/>
      <c r="R30" s="592"/>
      <c r="S30" s="569"/>
    </row>
    <row r="31" spans="1:19" ht="51" x14ac:dyDescent="0.2">
      <c r="A31" s="584"/>
      <c r="B31" s="586"/>
      <c r="C31" s="586"/>
      <c r="D31" s="586"/>
      <c r="E31" s="588"/>
      <c r="F31" s="588"/>
      <c r="G31" s="367" t="s">
        <v>1148</v>
      </c>
      <c r="H31" s="520">
        <v>85</v>
      </c>
      <c r="I31" s="34" t="s">
        <v>847</v>
      </c>
      <c r="J31" s="506">
        <v>5000</v>
      </c>
      <c r="K31" s="507">
        <v>1</v>
      </c>
      <c r="L31" s="372">
        <f t="shared" si="0"/>
        <v>5000</v>
      </c>
      <c r="M31" s="372">
        <f t="shared" si="1"/>
        <v>5850</v>
      </c>
      <c r="N31" s="78" t="s">
        <v>1111</v>
      </c>
      <c r="O31" s="561"/>
      <c r="P31" s="561"/>
      <c r="Q31" s="590"/>
      <c r="R31" s="592"/>
      <c r="S31" s="569"/>
    </row>
    <row r="32" spans="1:19" ht="25.5" x14ac:dyDescent="0.2">
      <c r="A32" s="584"/>
      <c r="B32" s="596"/>
      <c r="C32" s="596"/>
      <c r="D32" s="596"/>
      <c r="E32" s="600"/>
      <c r="F32" s="600"/>
      <c r="G32" s="514" t="s">
        <v>1152</v>
      </c>
      <c r="H32" s="520">
        <v>62</v>
      </c>
      <c r="I32" s="34" t="s">
        <v>847</v>
      </c>
      <c r="J32" s="506">
        <v>8590</v>
      </c>
      <c r="K32" s="507">
        <v>1</v>
      </c>
      <c r="L32" s="372">
        <f t="shared" si="0"/>
        <v>8590</v>
      </c>
      <c r="M32" s="372">
        <f t="shared" si="1"/>
        <v>10050.299999999999</v>
      </c>
      <c r="N32" s="78" t="s">
        <v>1111</v>
      </c>
      <c r="O32" s="562"/>
      <c r="P32" s="562"/>
      <c r="Q32" s="630"/>
      <c r="R32" s="626"/>
      <c r="S32" s="570"/>
    </row>
    <row r="33" spans="1:19" x14ac:dyDescent="0.2">
      <c r="A33" s="580"/>
      <c r="B33" s="581" t="s">
        <v>1380</v>
      </c>
      <c r="C33" s="582"/>
      <c r="D33" s="582"/>
      <c r="E33" s="582"/>
      <c r="F33" s="582"/>
      <c r="G33" s="582"/>
      <c r="H33" s="582"/>
      <c r="I33" s="582"/>
      <c r="J33" s="582"/>
      <c r="K33" s="582"/>
      <c r="L33" s="582"/>
      <c r="M33" s="582"/>
      <c r="N33" s="582"/>
      <c r="O33" s="582"/>
      <c r="P33" s="582"/>
      <c r="Q33" s="582"/>
      <c r="R33" s="582"/>
      <c r="S33" s="583"/>
    </row>
    <row r="34" spans="1:19" x14ac:dyDescent="0.2">
      <c r="A34" s="576" t="s">
        <v>1370</v>
      </c>
      <c r="B34" s="577"/>
      <c r="C34" s="577"/>
      <c r="D34" s="577"/>
      <c r="E34" s="577"/>
      <c r="F34" s="577"/>
      <c r="G34" s="577"/>
      <c r="H34" s="577"/>
      <c r="I34" s="577"/>
      <c r="J34" s="577"/>
      <c r="K34" s="577"/>
      <c r="L34" s="577"/>
      <c r="M34" s="577"/>
      <c r="N34" s="577"/>
      <c r="O34" s="577"/>
      <c r="P34" s="577"/>
      <c r="Q34" s="577"/>
      <c r="R34" s="577"/>
      <c r="S34" s="578"/>
    </row>
    <row r="35" spans="1:19" ht="63.75" x14ac:dyDescent="0.2">
      <c r="A35" s="579">
        <v>5</v>
      </c>
      <c r="B35" s="516" t="s">
        <v>1375</v>
      </c>
      <c r="C35" s="516" t="s">
        <v>1334</v>
      </c>
      <c r="D35" s="516"/>
      <c r="E35" s="517" t="s">
        <v>39</v>
      </c>
      <c r="F35" s="517" t="s">
        <v>54</v>
      </c>
      <c r="G35" s="13" t="s">
        <v>1376</v>
      </c>
      <c r="H35" s="14">
        <v>100</v>
      </c>
      <c r="I35" s="15" t="s">
        <v>14</v>
      </c>
      <c r="J35" s="381">
        <v>85000</v>
      </c>
      <c r="K35" s="13">
        <v>1</v>
      </c>
      <c r="L35" s="381">
        <v>85000</v>
      </c>
      <c r="M35" s="381">
        <f t="shared" ref="M35" si="2">L35*1.17</f>
        <v>99450</v>
      </c>
      <c r="N35" s="13" t="s">
        <v>1111</v>
      </c>
      <c r="O35" s="515" t="s">
        <v>116</v>
      </c>
      <c r="P35" s="515" t="s">
        <v>97</v>
      </c>
      <c r="Q35" s="518"/>
      <c r="R35" s="519">
        <f>M35*(100-Q35)/100</f>
        <v>99450</v>
      </c>
      <c r="S35" s="512"/>
    </row>
    <row r="36" spans="1:19" x14ac:dyDescent="0.2">
      <c r="A36" s="580"/>
      <c r="B36" s="581" t="s">
        <v>1377</v>
      </c>
      <c r="C36" s="582"/>
      <c r="D36" s="582"/>
      <c r="E36" s="582"/>
      <c r="F36" s="582"/>
      <c r="G36" s="582"/>
      <c r="H36" s="582"/>
      <c r="I36" s="582"/>
      <c r="J36" s="582"/>
      <c r="K36" s="582"/>
      <c r="L36" s="582"/>
      <c r="M36" s="582"/>
      <c r="N36" s="582"/>
      <c r="O36" s="582"/>
      <c r="P36" s="582"/>
      <c r="Q36" s="582"/>
      <c r="R36" s="582"/>
      <c r="S36" s="583"/>
    </row>
    <row r="37" spans="1:19" x14ac:dyDescent="0.2">
      <c r="A37" s="576" t="s">
        <v>1452</v>
      </c>
      <c r="B37" s="577"/>
      <c r="C37" s="577"/>
      <c r="D37" s="577"/>
      <c r="E37" s="577"/>
      <c r="F37" s="577"/>
      <c r="G37" s="577"/>
      <c r="H37" s="577"/>
      <c r="I37" s="577"/>
      <c r="J37" s="577"/>
      <c r="K37" s="577"/>
      <c r="L37" s="577"/>
      <c r="M37" s="577"/>
      <c r="N37" s="577"/>
      <c r="O37" s="577"/>
      <c r="P37" s="577"/>
      <c r="Q37" s="577"/>
      <c r="R37" s="577"/>
      <c r="S37" s="578"/>
    </row>
    <row r="38" spans="1:19" ht="25.5" x14ac:dyDescent="0.2">
      <c r="A38" s="579">
        <v>6</v>
      </c>
      <c r="B38" s="585" t="s">
        <v>1381</v>
      </c>
      <c r="C38" s="585" t="s">
        <v>1334</v>
      </c>
      <c r="D38" s="585" t="s">
        <v>1382</v>
      </c>
      <c r="E38" s="587" t="s">
        <v>45</v>
      </c>
      <c r="F38" s="587" t="s">
        <v>54</v>
      </c>
      <c r="G38" s="13" t="s">
        <v>174</v>
      </c>
      <c r="H38" s="14">
        <v>100</v>
      </c>
      <c r="I38" s="15" t="s">
        <v>847</v>
      </c>
      <c r="J38" s="15"/>
      <c r="K38" s="15"/>
      <c r="L38" s="22">
        <v>4200</v>
      </c>
      <c r="M38" s="22">
        <f t="shared" ref="M38:M40" si="3">L38*1.17</f>
        <v>4914</v>
      </c>
      <c r="N38" s="13" t="s">
        <v>1111</v>
      </c>
      <c r="O38" s="560" t="s">
        <v>86</v>
      </c>
      <c r="P38" s="560" t="s">
        <v>97</v>
      </c>
      <c r="Q38" s="589"/>
      <c r="R38" s="591">
        <f>M38*(100-Q38)/100</f>
        <v>4914</v>
      </c>
      <c r="S38" s="568" t="s">
        <v>18</v>
      </c>
    </row>
    <row r="39" spans="1:19" ht="25.5" x14ac:dyDescent="0.2">
      <c r="A39" s="584"/>
      <c r="B39" s="586"/>
      <c r="C39" s="586"/>
      <c r="D39" s="586"/>
      <c r="E39" s="588"/>
      <c r="F39" s="588"/>
      <c r="G39" s="367" t="s">
        <v>907</v>
      </c>
      <c r="H39" s="520">
        <v>79</v>
      </c>
      <c r="I39" s="34" t="s">
        <v>847</v>
      </c>
      <c r="J39" s="34"/>
      <c r="K39" s="34"/>
      <c r="L39" s="504">
        <v>6000</v>
      </c>
      <c r="M39" s="504">
        <f t="shared" si="3"/>
        <v>7020</v>
      </c>
      <c r="N39" s="78" t="s">
        <v>1111</v>
      </c>
      <c r="O39" s="561"/>
      <c r="P39" s="561"/>
      <c r="Q39" s="590"/>
      <c r="R39" s="592"/>
      <c r="S39" s="569"/>
    </row>
    <row r="40" spans="1:19" ht="25.5" x14ac:dyDescent="0.2">
      <c r="A40" s="584"/>
      <c r="B40" s="586"/>
      <c r="C40" s="586"/>
      <c r="D40" s="586"/>
      <c r="E40" s="588"/>
      <c r="F40" s="588"/>
      <c r="G40" s="514" t="s">
        <v>414</v>
      </c>
      <c r="H40" s="520">
        <v>67</v>
      </c>
      <c r="I40" s="34" t="s">
        <v>847</v>
      </c>
      <c r="J40" s="34"/>
      <c r="K40" s="34"/>
      <c r="L40" s="504">
        <v>8000</v>
      </c>
      <c r="M40" s="504">
        <f t="shared" si="3"/>
        <v>9360</v>
      </c>
      <c r="N40" s="78" t="s">
        <v>1111</v>
      </c>
      <c r="O40" s="561"/>
      <c r="P40" s="561"/>
      <c r="Q40" s="590"/>
      <c r="R40" s="592"/>
      <c r="S40" s="569"/>
    </row>
    <row r="41" spans="1:19" x14ac:dyDescent="0.2">
      <c r="A41" s="576" t="s">
        <v>1453</v>
      </c>
      <c r="B41" s="577"/>
      <c r="C41" s="577"/>
      <c r="D41" s="577"/>
      <c r="E41" s="577"/>
      <c r="F41" s="577"/>
      <c r="G41" s="577"/>
      <c r="H41" s="577"/>
      <c r="I41" s="577"/>
      <c r="J41" s="577"/>
      <c r="K41" s="577"/>
      <c r="L41" s="577"/>
      <c r="M41" s="577"/>
      <c r="N41" s="577"/>
      <c r="O41" s="577"/>
      <c r="P41" s="577"/>
      <c r="Q41" s="577"/>
      <c r="R41" s="577"/>
      <c r="S41" s="578"/>
    </row>
    <row r="42" spans="1:19" ht="89.25" x14ac:dyDescent="0.2">
      <c r="A42" s="579">
        <v>7</v>
      </c>
      <c r="B42" s="516" t="s">
        <v>1387</v>
      </c>
      <c r="C42" s="516" t="s">
        <v>1334</v>
      </c>
      <c r="D42" s="516"/>
      <c r="E42" s="517" t="s">
        <v>53</v>
      </c>
      <c r="F42" s="517" t="s">
        <v>54</v>
      </c>
      <c r="G42" s="13" t="s">
        <v>1391</v>
      </c>
      <c r="H42" s="14">
        <v>100</v>
      </c>
      <c r="I42" s="15" t="s">
        <v>14</v>
      </c>
      <c r="J42" s="379">
        <f>250362+52675</f>
        <v>303037</v>
      </c>
      <c r="K42" s="13">
        <v>1</v>
      </c>
      <c r="L42" s="379">
        <f>250362+52675</f>
        <v>303037</v>
      </c>
      <c r="M42" s="379">
        <f>L42*1.17</f>
        <v>354553.29</v>
      </c>
      <c r="N42" s="13"/>
      <c r="O42" s="515" t="s">
        <v>116</v>
      </c>
      <c r="P42" s="511" t="s">
        <v>1448</v>
      </c>
      <c r="Q42" s="518"/>
      <c r="R42" s="519">
        <v>354553.29</v>
      </c>
      <c r="S42" s="512"/>
    </row>
    <row r="43" spans="1:19" ht="27.75" customHeight="1" x14ac:dyDescent="0.2">
      <c r="A43" s="580"/>
      <c r="B43" s="581" t="s">
        <v>1388</v>
      </c>
      <c r="C43" s="582"/>
      <c r="D43" s="582"/>
      <c r="E43" s="582"/>
      <c r="F43" s="582"/>
      <c r="G43" s="582"/>
      <c r="H43" s="582"/>
      <c r="I43" s="582"/>
      <c r="J43" s="582"/>
      <c r="K43" s="582"/>
      <c r="L43" s="582"/>
      <c r="M43" s="582"/>
      <c r="N43" s="582"/>
      <c r="O43" s="582"/>
      <c r="P43" s="582"/>
      <c r="Q43" s="582"/>
      <c r="R43" s="582"/>
      <c r="S43" s="583"/>
    </row>
    <row r="44" spans="1:19" x14ac:dyDescent="0.2">
      <c r="A44" s="576" t="s">
        <v>1454</v>
      </c>
      <c r="B44" s="577"/>
      <c r="C44" s="577"/>
      <c r="D44" s="577"/>
      <c r="E44" s="577"/>
      <c r="F44" s="577"/>
      <c r="G44" s="577"/>
      <c r="H44" s="577"/>
      <c r="I44" s="577"/>
      <c r="J44" s="577"/>
      <c r="K44" s="577"/>
      <c r="L44" s="577"/>
      <c r="M44" s="577"/>
      <c r="N44" s="577"/>
      <c r="O44" s="577"/>
      <c r="P44" s="577"/>
      <c r="Q44" s="577"/>
      <c r="R44" s="577"/>
      <c r="S44" s="578"/>
    </row>
    <row r="45" spans="1:19" ht="78" customHeight="1" x14ac:dyDescent="0.2">
      <c r="A45" s="579">
        <v>8</v>
      </c>
      <c r="B45" s="525" t="s">
        <v>1479</v>
      </c>
      <c r="C45" s="525" t="s">
        <v>1334</v>
      </c>
      <c r="D45" s="525" t="s">
        <v>1389</v>
      </c>
      <c r="E45" s="526" t="s">
        <v>41</v>
      </c>
      <c r="F45" s="526" t="s">
        <v>54</v>
      </c>
      <c r="G45" s="13" t="s">
        <v>1390</v>
      </c>
      <c r="H45" s="14">
        <v>100</v>
      </c>
      <c r="I45" s="15" t="s">
        <v>14</v>
      </c>
      <c r="J45" s="381">
        <v>3000</v>
      </c>
      <c r="K45" s="13">
        <v>1</v>
      </c>
      <c r="L45" s="381">
        <f>J45*K45</f>
        <v>3000</v>
      </c>
      <c r="M45" s="381">
        <f>L45*1.17</f>
        <v>3510</v>
      </c>
      <c r="N45" s="13" t="s">
        <v>1111</v>
      </c>
      <c r="O45" s="524" t="s">
        <v>116</v>
      </c>
      <c r="P45" s="524" t="s">
        <v>97</v>
      </c>
      <c r="Q45" s="527"/>
      <c r="R45" s="528">
        <v>3510</v>
      </c>
      <c r="S45" s="523"/>
    </row>
    <row r="46" spans="1:19" ht="21.75" customHeight="1" x14ac:dyDescent="0.2">
      <c r="A46" s="580"/>
      <c r="B46" s="581" t="s">
        <v>1468</v>
      </c>
      <c r="C46" s="582"/>
      <c r="D46" s="582"/>
      <c r="E46" s="582"/>
      <c r="F46" s="582"/>
      <c r="G46" s="582"/>
      <c r="H46" s="582"/>
      <c r="I46" s="582"/>
      <c r="J46" s="582"/>
      <c r="K46" s="582"/>
      <c r="L46" s="582"/>
      <c r="M46" s="582"/>
      <c r="N46" s="582"/>
      <c r="O46" s="582"/>
      <c r="P46" s="582"/>
      <c r="Q46" s="582"/>
      <c r="R46" s="582"/>
      <c r="S46" s="583"/>
    </row>
    <row r="47" spans="1:19" x14ac:dyDescent="0.2">
      <c r="A47" s="576" t="s">
        <v>1455</v>
      </c>
      <c r="B47" s="577"/>
      <c r="C47" s="577"/>
      <c r="D47" s="577"/>
      <c r="E47" s="577"/>
      <c r="F47" s="577"/>
      <c r="G47" s="577"/>
      <c r="H47" s="577"/>
      <c r="I47" s="577"/>
      <c r="J47" s="577"/>
      <c r="K47" s="577"/>
      <c r="L47" s="577"/>
      <c r="M47" s="577"/>
      <c r="N47" s="577"/>
      <c r="O47" s="577"/>
      <c r="P47" s="577"/>
      <c r="Q47" s="577"/>
      <c r="R47" s="577"/>
      <c r="S47" s="578"/>
    </row>
    <row r="48" spans="1:19" ht="76.5" x14ac:dyDescent="0.2">
      <c r="A48" s="579">
        <v>9</v>
      </c>
      <c r="B48" s="525" t="s">
        <v>1469</v>
      </c>
      <c r="C48" s="525" t="s">
        <v>1334</v>
      </c>
      <c r="D48" s="525"/>
      <c r="E48" s="526" t="s">
        <v>53</v>
      </c>
      <c r="F48" s="526" t="s">
        <v>54</v>
      </c>
      <c r="G48" s="13" t="s">
        <v>1428</v>
      </c>
      <c r="H48" s="14">
        <v>100</v>
      </c>
      <c r="I48" s="15" t="s">
        <v>73</v>
      </c>
      <c r="J48" s="541">
        <v>250</v>
      </c>
      <c r="K48" s="13">
        <v>100</v>
      </c>
      <c r="L48" s="381">
        <f t="shared" ref="L48" si="4">J48*K48</f>
        <v>25000</v>
      </c>
      <c r="M48" s="381">
        <f t="shared" ref="M48" si="5">L48*1.17</f>
        <v>29250</v>
      </c>
      <c r="N48" s="13" t="s">
        <v>1111</v>
      </c>
      <c r="O48" s="524" t="s">
        <v>116</v>
      </c>
      <c r="P48" s="524" t="s">
        <v>97</v>
      </c>
      <c r="Q48" s="527"/>
      <c r="R48" s="528">
        <v>29250</v>
      </c>
      <c r="S48" s="523" t="s">
        <v>733</v>
      </c>
    </row>
    <row r="49" spans="1:19" ht="26.45" customHeight="1" x14ac:dyDescent="0.2">
      <c r="A49" s="580"/>
      <c r="B49" s="581" t="s">
        <v>1427</v>
      </c>
      <c r="C49" s="582"/>
      <c r="D49" s="582"/>
      <c r="E49" s="582"/>
      <c r="F49" s="582"/>
      <c r="G49" s="582"/>
      <c r="H49" s="582"/>
      <c r="I49" s="582"/>
      <c r="J49" s="582"/>
      <c r="K49" s="582"/>
      <c r="L49" s="582"/>
      <c r="M49" s="582"/>
      <c r="N49" s="582"/>
      <c r="O49" s="582"/>
      <c r="P49" s="582"/>
      <c r="Q49" s="582"/>
      <c r="R49" s="582"/>
      <c r="S49" s="583"/>
    </row>
    <row r="50" spans="1:19" x14ac:dyDescent="0.2">
      <c r="A50" s="576" t="s">
        <v>1386</v>
      </c>
      <c r="B50" s="577"/>
      <c r="C50" s="577"/>
      <c r="D50" s="577"/>
      <c r="E50" s="577"/>
      <c r="F50" s="577"/>
      <c r="G50" s="577"/>
      <c r="H50" s="577"/>
      <c r="I50" s="577"/>
      <c r="J50" s="577"/>
      <c r="K50" s="577"/>
      <c r="L50" s="577"/>
      <c r="M50" s="577"/>
      <c r="N50" s="577"/>
      <c r="O50" s="577"/>
      <c r="P50" s="577"/>
      <c r="Q50" s="577"/>
      <c r="R50" s="577"/>
      <c r="S50" s="578"/>
    </row>
    <row r="51" spans="1:19" ht="89.25" x14ac:dyDescent="0.2">
      <c r="A51" s="579">
        <v>10</v>
      </c>
      <c r="B51" s="516" t="s">
        <v>1470</v>
      </c>
      <c r="C51" s="516" t="s">
        <v>1334</v>
      </c>
      <c r="D51" s="516"/>
      <c r="E51" s="517" t="s">
        <v>39</v>
      </c>
      <c r="F51" s="517" t="s">
        <v>54</v>
      </c>
      <c r="G51" s="13" t="s">
        <v>1430</v>
      </c>
      <c r="H51" s="14">
        <v>100</v>
      </c>
      <c r="I51" s="15" t="s">
        <v>846</v>
      </c>
      <c r="J51" s="469">
        <v>0.04</v>
      </c>
      <c r="K51" s="15">
        <v>854700.85470085498</v>
      </c>
      <c r="L51" s="381">
        <v>34188.034188034202</v>
      </c>
      <c r="M51" s="381">
        <v>40000</v>
      </c>
      <c r="N51" s="13" t="s">
        <v>1111</v>
      </c>
      <c r="O51" s="515" t="s">
        <v>116</v>
      </c>
      <c r="P51" s="515" t="s">
        <v>97</v>
      </c>
      <c r="Q51" s="518"/>
      <c r="R51" s="519">
        <v>40000</v>
      </c>
      <c r="S51" s="512"/>
    </row>
    <row r="52" spans="1:19" x14ac:dyDescent="0.2">
      <c r="A52" s="580"/>
      <c r="B52" s="581" t="s">
        <v>1429</v>
      </c>
      <c r="C52" s="582"/>
      <c r="D52" s="582"/>
      <c r="E52" s="582"/>
      <c r="F52" s="582"/>
      <c r="G52" s="582"/>
      <c r="H52" s="582"/>
      <c r="I52" s="582"/>
      <c r="J52" s="582"/>
      <c r="K52" s="582"/>
      <c r="L52" s="582"/>
      <c r="M52" s="582"/>
      <c r="N52" s="582"/>
      <c r="O52" s="582"/>
      <c r="P52" s="582"/>
      <c r="Q52" s="582"/>
      <c r="R52" s="582"/>
      <c r="S52" s="583"/>
    </row>
    <row r="53" spans="1:19" x14ac:dyDescent="0.2">
      <c r="A53" s="576" t="s">
        <v>1456</v>
      </c>
      <c r="B53" s="577"/>
      <c r="C53" s="577"/>
      <c r="D53" s="577"/>
      <c r="E53" s="577"/>
      <c r="F53" s="577"/>
      <c r="G53" s="577"/>
      <c r="H53" s="577"/>
      <c r="I53" s="577"/>
      <c r="J53" s="577"/>
      <c r="K53" s="577"/>
      <c r="L53" s="577"/>
      <c r="M53" s="577"/>
      <c r="N53" s="577"/>
      <c r="O53" s="577"/>
      <c r="P53" s="577"/>
      <c r="Q53" s="577"/>
      <c r="R53" s="577"/>
      <c r="S53" s="578"/>
    </row>
    <row r="54" spans="1:19" ht="63.75" x14ac:dyDescent="0.2">
      <c r="A54" s="579">
        <v>11</v>
      </c>
      <c r="B54" s="516" t="s">
        <v>1480</v>
      </c>
      <c r="C54" s="516" t="s">
        <v>1334</v>
      </c>
      <c r="D54" s="516" t="s">
        <v>1389</v>
      </c>
      <c r="E54" s="517" t="s">
        <v>39</v>
      </c>
      <c r="F54" s="517" t="s">
        <v>54</v>
      </c>
      <c r="G54" s="13" t="s">
        <v>1431</v>
      </c>
      <c r="H54" s="14">
        <v>100</v>
      </c>
      <c r="I54" s="15" t="s">
        <v>847</v>
      </c>
      <c r="J54" s="15">
        <v>6800</v>
      </c>
      <c r="K54" s="15"/>
      <c r="L54" s="381">
        <v>6800</v>
      </c>
      <c r="M54" s="381">
        <v>7956</v>
      </c>
      <c r="N54" s="13" t="s">
        <v>1111</v>
      </c>
      <c r="O54" s="515" t="s">
        <v>116</v>
      </c>
      <c r="P54" s="515" t="s">
        <v>97</v>
      </c>
      <c r="Q54" s="518"/>
      <c r="R54" s="519">
        <v>7956</v>
      </c>
      <c r="S54" s="512"/>
    </row>
    <row r="55" spans="1:19" x14ac:dyDescent="0.2">
      <c r="A55" s="580"/>
      <c r="B55" s="581" t="s">
        <v>1433</v>
      </c>
      <c r="C55" s="582"/>
      <c r="D55" s="582"/>
      <c r="E55" s="582"/>
      <c r="F55" s="582"/>
      <c r="G55" s="582"/>
      <c r="H55" s="582"/>
      <c r="I55" s="582"/>
      <c r="J55" s="582"/>
      <c r="K55" s="582"/>
      <c r="L55" s="582"/>
      <c r="M55" s="582"/>
      <c r="N55" s="582"/>
      <c r="O55" s="582"/>
      <c r="P55" s="582"/>
      <c r="Q55" s="582"/>
      <c r="R55" s="582"/>
      <c r="S55" s="583"/>
    </row>
    <row r="56" spans="1:19" x14ac:dyDescent="0.2">
      <c r="A56" s="576" t="s">
        <v>1461</v>
      </c>
      <c r="B56" s="577"/>
      <c r="C56" s="577"/>
      <c r="D56" s="577"/>
      <c r="E56" s="577"/>
      <c r="F56" s="577"/>
      <c r="G56" s="577"/>
      <c r="H56" s="577"/>
      <c r="I56" s="577"/>
      <c r="J56" s="577"/>
      <c r="K56" s="577"/>
      <c r="L56" s="577"/>
      <c r="M56" s="577"/>
      <c r="N56" s="577"/>
      <c r="O56" s="577"/>
      <c r="P56" s="577"/>
      <c r="Q56" s="577"/>
      <c r="R56" s="577"/>
      <c r="S56" s="578"/>
    </row>
    <row r="57" spans="1:19" ht="63.75" x14ac:dyDescent="0.2">
      <c r="A57" s="579">
        <v>12</v>
      </c>
      <c r="B57" s="516" t="s">
        <v>1495</v>
      </c>
      <c r="C57" s="516" t="s">
        <v>1334</v>
      </c>
      <c r="D57" s="516" t="s">
        <v>1432</v>
      </c>
      <c r="E57" s="517" t="s">
        <v>39</v>
      </c>
      <c r="F57" s="517" t="s">
        <v>54</v>
      </c>
      <c r="G57" s="13" t="s">
        <v>1434</v>
      </c>
      <c r="H57" s="14">
        <v>100</v>
      </c>
      <c r="I57" s="15"/>
      <c r="J57" s="15"/>
      <c r="K57" s="15"/>
      <c r="L57" s="381">
        <v>13500</v>
      </c>
      <c r="M57" s="381">
        <v>15795</v>
      </c>
      <c r="N57" s="13" t="s">
        <v>1111</v>
      </c>
      <c r="O57" s="515" t="s">
        <v>116</v>
      </c>
      <c r="P57" s="515" t="s">
        <v>97</v>
      </c>
      <c r="Q57" s="518"/>
      <c r="R57" s="519">
        <v>15795</v>
      </c>
      <c r="S57" s="512"/>
    </row>
    <row r="58" spans="1:19" x14ac:dyDescent="0.2">
      <c r="A58" s="580"/>
      <c r="B58" s="581" t="s">
        <v>1496</v>
      </c>
      <c r="C58" s="582"/>
      <c r="D58" s="582"/>
      <c r="E58" s="582"/>
      <c r="F58" s="582"/>
      <c r="G58" s="582"/>
      <c r="H58" s="582"/>
      <c r="I58" s="582"/>
      <c r="J58" s="582"/>
      <c r="K58" s="582"/>
      <c r="L58" s="582"/>
      <c r="M58" s="582"/>
      <c r="N58" s="582"/>
      <c r="O58" s="582"/>
      <c r="P58" s="582"/>
      <c r="Q58" s="582"/>
      <c r="R58" s="582"/>
      <c r="S58" s="583"/>
    </row>
    <row r="59" spans="1:19" x14ac:dyDescent="0.2">
      <c r="A59" s="576" t="s">
        <v>1457</v>
      </c>
      <c r="B59" s="577"/>
      <c r="C59" s="577"/>
      <c r="D59" s="577"/>
      <c r="E59" s="577"/>
      <c r="F59" s="577"/>
      <c r="G59" s="577"/>
      <c r="H59" s="577"/>
      <c r="I59" s="577"/>
      <c r="J59" s="577"/>
      <c r="K59" s="577"/>
      <c r="L59" s="577"/>
      <c r="M59" s="577"/>
      <c r="N59" s="577"/>
      <c r="O59" s="577"/>
      <c r="P59" s="577"/>
      <c r="Q59" s="577"/>
      <c r="R59" s="577"/>
      <c r="S59" s="578"/>
    </row>
    <row r="60" spans="1:19" ht="140.25" x14ac:dyDescent="0.2">
      <c r="A60" s="579">
        <v>13</v>
      </c>
      <c r="B60" s="516" t="s">
        <v>1460</v>
      </c>
      <c r="C60" s="516" t="s">
        <v>1384</v>
      </c>
      <c r="D60" s="516" t="s">
        <v>1385</v>
      </c>
      <c r="E60" s="517" t="s">
        <v>43</v>
      </c>
      <c r="F60" s="517" t="s">
        <v>54</v>
      </c>
      <c r="G60" s="13" t="s">
        <v>145</v>
      </c>
      <c r="H60" s="14">
        <v>100</v>
      </c>
      <c r="I60" s="15" t="s">
        <v>14</v>
      </c>
      <c r="J60" s="381" t="s">
        <v>1425</v>
      </c>
      <c r="K60" s="13">
        <v>1</v>
      </c>
      <c r="L60" s="381" t="s">
        <v>1426</v>
      </c>
      <c r="M60" s="381" t="s">
        <v>1476</v>
      </c>
      <c r="N60" s="13" t="s">
        <v>1111</v>
      </c>
      <c r="O60" s="515" t="s">
        <v>116</v>
      </c>
      <c r="P60" s="515" t="s">
        <v>97</v>
      </c>
      <c r="Q60" s="518"/>
      <c r="R60" s="529" t="s">
        <v>1476</v>
      </c>
      <c r="S60" s="512"/>
    </row>
    <row r="61" spans="1:19" x14ac:dyDescent="0.2">
      <c r="A61" s="580"/>
      <c r="B61" s="581" t="s">
        <v>1462</v>
      </c>
      <c r="C61" s="582"/>
      <c r="D61" s="582"/>
      <c r="E61" s="582"/>
      <c r="F61" s="582"/>
      <c r="G61" s="582"/>
      <c r="H61" s="582"/>
      <c r="I61" s="582"/>
      <c r="J61" s="582"/>
      <c r="K61" s="582"/>
      <c r="L61" s="582"/>
      <c r="M61" s="582"/>
      <c r="N61" s="582"/>
      <c r="O61" s="582"/>
      <c r="P61" s="582"/>
      <c r="Q61" s="582"/>
      <c r="R61" s="582"/>
      <c r="S61" s="583"/>
    </row>
    <row r="62" spans="1:19" x14ac:dyDescent="0.2">
      <c r="A62" s="576" t="s">
        <v>1458</v>
      </c>
      <c r="B62" s="577"/>
      <c r="C62" s="577"/>
      <c r="D62" s="577"/>
      <c r="E62" s="577"/>
      <c r="F62" s="577"/>
      <c r="G62" s="577"/>
      <c r="H62" s="577"/>
      <c r="I62" s="577"/>
      <c r="J62" s="577"/>
      <c r="K62" s="577"/>
      <c r="L62" s="577"/>
      <c r="M62" s="577"/>
      <c r="N62" s="577"/>
      <c r="O62" s="577"/>
      <c r="P62" s="577"/>
      <c r="Q62" s="577"/>
      <c r="R62" s="577"/>
      <c r="S62" s="578"/>
    </row>
    <row r="63" spans="1:19" ht="32.450000000000003" customHeight="1" x14ac:dyDescent="0.2">
      <c r="A63" s="579">
        <v>14</v>
      </c>
      <c r="B63" s="585" t="s">
        <v>1459</v>
      </c>
      <c r="C63" s="585" t="s">
        <v>1384</v>
      </c>
      <c r="D63" s="585" t="s">
        <v>1385</v>
      </c>
      <c r="E63" s="587" t="s">
        <v>43</v>
      </c>
      <c r="F63" s="587" t="s">
        <v>54</v>
      </c>
      <c r="G63" s="543" t="s">
        <v>145</v>
      </c>
      <c r="H63" s="544"/>
      <c r="I63" s="545" t="s">
        <v>14</v>
      </c>
      <c r="J63" s="546">
        <v>150000</v>
      </c>
      <c r="K63" s="547">
        <v>1</v>
      </c>
      <c r="L63" s="548">
        <v>150000</v>
      </c>
      <c r="M63" s="548">
        <f t="shared" ref="M63:M64" si="6">L63*1.17</f>
        <v>175500</v>
      </c>
      <c r="N63" s="543" t="s">
        <v>1136</v>
      </c>
      <c r="O63" s="560" t="s">
        <v>1471</v>
      </c>
      <c r="P63" s="622" t="s">
        <v>1472</v>
      </c>
      <c r="Q63" s="489"/>
      <c r="R63" s="591">
        <f>M63+M64</f>
        <v>222300</v>
      </c>
      <c r="S63" s="508"/>
    </row>
    <row r="64" spans="1:19" ht="42.6" customHeight="1" x14ac:dyDescent="0.2">
      <c r="A64" s="584"/>
      <c r="B64" s="596"/>
      <c r="C64" s="596"/>
      <c r="D64" s="596"/>
      <c r="E64" s="600"/>
      <c r="F64" s="600"/>
      <c r="G64" s="543" t="s">
        <v>145</v>
      </c>
      <c r="H64" s="544"/>
      <c r="I64" s="545" t="s">
        <v>1309</v>
      </c>
      <c r="J64" s="546">
        <v>40000</v>
      </c>
      <c r="K64" s="547">
        <v>1</v>
      </c>
      <c r="L64" s="548">
        <f t="shared" ref="L64" si="7">J64*K64</f>
        <v>40000</v>
      </c>
      <c r="M64" s="548">
        <f t="shared" si="6"/>
        <v>46800</v>
      </c>
      <c r="N64" s="543" t="s">
        <v>1136</v>
      </c>
      <c r="O64" s="562"/>
      <c r="P64" s="623"/>
      <c r="Q64" s="509"/>
      <c r="R64" s="626"/>
      <c r="S64" s="510"/>
    </row>
    <row r="65" spans="1:19" x14ac:dyDescent="0.2">
      <c r="A65" s="580"/>
      <c r="B65" s="581" t="s">
        <v>1463</v>
      </c>
      <c r="C65" s="582"/>
      <c r="D65" s="582"/>
      <c r="E65" s="582"/>
      <c r="F65" s="582"/>
      <c r="G65" s="582"/>
      <c r="H65" s="582"/>
      <c r="I65" s="582"/>
      <c r="J65" s="582"/>
      <c r="K65" s="582"/>
      <c r="L65" s="582"/>
      <c r="M65" s="582"/>
      <c r="N65" s="582"/>
      <c r="O65" s="582"/>
      <c r="P65" s="582"/>
      <c r="Q65" s="582"/>
      <c r="R65" s="582"/>
      <c r="S65" s="583"/>
    </row>
    <row r="66" spans="1:19" x14ac:dyDescent="0.2">
      <c r="A66" s="576" t="s">
        <v>1497</v>
      </c>
      <c r="B66" s="577"/>
      <c r="C66" s="577"/>
      <c r="D66" s="577"/>
      <c r="E66" s="577"/>
      <c r="F66" s="577"/>
      <c r="G66" s="577"/>
      <c r="H66" s="577"/>
      <c r="I66" s="577"/>
      <c r="J66" s="577"/>
      <c r="K66" s="577"/>
      <c r="L66" s="577"/>
      <c r="M66" s="577"/>
      <c r="N66" s="577"/>
      <c r="O66" s="577"/>
      <c r="P66" s="577"/>
      <c r="Q66" s="577"/>
      <c r="R66" s="577"/>
      <c r="S66" s="578"/>
    </row>
    <row r="67" spans="1:19" ht="28.15" customHeight="1" x14ac:dyDescent="0.2">
      <c r="A67" s="579">
        <v>15</v>
      </c>
      <c r="B67" s="585" t="s">
        <v>1459</v>
      </c>
      <c r="C67" s="585" t="s">
        <v>1384</v>
      </c>
      <c r="D67" s="585" t="s">
        <v>1385</v>
      </c>
      <c r="E67" s="587" t="s">
        <v>43</v>
      </c>
      <c r="F67" s="587" t="s">
        <v>54</v>
      </c>
      <c r="G67" s="304" t="s">
        <v>145</v>
      </c>
      <c r="H67" s="305">
        <v>103</v>
      </c>
      <c r="I67" s="306" t="s">
        <v>73</v>
      </c>
      <c r="J67" s="375">
        <v>370</v>
      </c>
      <c r="K67" s="505">
        <v>50</v>
      </c>
      <c r="L67" s="370">
        <f t="shared" ref="L67:L68" si="8">J67*K67</f>
        <v>18500</v>
      </c>
      <c r="M67" s="370">
        <f t="shared" ref="M67:M68" si="9">L67*1.17</f>
        <v>21645</v>
      </c>
      <c r="N67" s="304" t="s">
        <v>1136</v>
      </c>
      <c r="O67" s="560" t="s">
        <v>1478</v>
      </c>
      <c r="P67" s="622"/>
      <c r="Q67" s="624"/>
      <c r="R67" s="591">
        <f>M67+M68</f>
        <v>53469</v>
      </c>
      <c r="S67" s="568" t="s">
        <v>18</v>
      </c>
    </row>
    <row r="68" spans="1:19" ht="34.15" customHeight="1" x14ac:dyDescent="0.2">
      <c r="A68" s="584"/>
      <c r="B68" s="596"/>
      <c r="C68" s="596"/>
      <c r="D68" s="596"/>
      <c r="E68" s="600"/>
      <c r="F68" s="600"/>
      <c r="G68" s="304" t="s">
        <v>145</v>
      </c>
      <c r="H68" s="305">
        <v>70</v>
      </c>
      <c r="I68" s="306" t="s">
        <v>73</v>
      </c>
      <c r="J68" s="375">
        <v>160</v>
      </c>
      <c r="K68" s="505">
        <v>170</v>
      </c>
      <c r="L68" s="370">
        <f t="shared" si="8"/>
        <v>27200</v>
      </c>
      <c r="M68" s="370">
        <f t="shared" si="9"/>
        <v>31823.999999999996</v>
      </c>
      <c r="N68" s="304" t="s">
        <v>1136</v>
      </c>
      <c r="O68" s="562"/>
      <c r="P68" s="623"/>
      <c r="Q68" s="625"/>
      <c r="R68" s="626"/>
      <c r="S68" s="570"/>
    </row>
    <row r="69" spans="1:19" x14ac:dyDescent="0.2">
      <c r="A69" s="580"/>
      <c r="B69" s="627" t="s">
        <v>1477</v>
      </c>
      <c r="C69" s="628"/>
      <c r="D69" s="628"/>
      <c r="E69" s="628"/>
      <c r="F69" s="628"/>
      <c r="G69" s="628"/>
      <c r="H69" s="628"/>
      <c r="I69" s="628"/>
      <c r="J69" s="628"/>
      <c r="K69" s="628"/>
      <c r="L69" s="628"/>
      <c r="M69" s="628"/>
      <c r="N69" s="628"/>
      <c r="O69" s="628"/>
      <c r="P69" s="628"/>
      <c r="Q69" s="628"/>
      <c r="R69" s="628"/>
      <c r="S69" s="629"/>
    </row>
    <row r="70" spans="1:19" ht="15" x14ac:dyDescent="0.2">
      <c r="L70" s="7"/>
      <c r="M70" s="8"/>
      <c r="N70" s="8"/>
      <c r="P70" s="9"/>
      <c r="Q70" s="9"/>
      <c r="R70" s="9"/>
      <c r="S70" s="247"/>
    </row>
    <row r="71" spans="1:19" ht="15" x14ac:dyDescent="0.2">
      <c r="B71" s="23"/>
      <c r="L71" s="7"/>
      <c r="M71" s="8"/>
      <c r="N71" s="8"/>
      <c r="P71" s="9"/>
      <c r="Q71" s="9"/>
      <c r="R71" s="9"/>
      <c r="S71" s="247"/>
    </row>
    <row r="72" spans="1:19" ht="15" x14ac:dyDescent="0.2">
      <c r="L72" s="7"/>
      <c r="M72" s="8"/>
      <c r="N72" s="8"/>
      <c r="P72" s="9"/>
      <c r="Q72" s="9"/>
      <c r="R72" s="9"/>
      <c r="S72" s="247"/>
    </row>
    <row r="73" spans="1:19" ht="15" x14ac:dyDescent="0.2">
      <c r="L73" s="7"/>
      <c r="M73" s="8"/>
      <c r="N73" s="8"/>
      <c r="P73" s="9"/>
      <c r="Q73" s="9"/>
      <c r="R73" s="9"/>
      <c r="S73" s="247"/>
    </row>
    <row r="74" spans="1:19" ht="15" x14ac:dyDescent="0.2">
      <c r="L74" s="7"/>
      <c r="M74" s="8"/>
      <c r="N74" s="8"/>
      <c r="P74" s="9"/>
      <c r="Q74" s="9"/>
      <c r="R74" s="9"/>
      <c r="S74" s="247"/>
    </row>
    <row r="75" spans="1:19" ht="15" x14ac:dyDescent="0.2">
      <c r="L75" s="7"/>
      <c r="M75" s="8"/>
      <c r="N75" s="8"/>
      <c r="P75" s="9"/>
      <c r="Q75" s="9"/>
      <c r="R75" s="9"/>
      <c r="S75" s="247"/>
    </row>
    <row r="76" spans="1:19" ht="15" x14ac:dyDescent="0.2">
      <c r="L76" s="7"/>
      <c r="M76" s="8"/>
      <c r="N76" s="8"/>
      <c r="P76" s="9"/>
      <c r="Q76" s="9"/>
      <c r="R76" s="9"/>
      <c r="S76" s="247"/>
    </row>
    <row r="77" spans="1:19" ht="15" x14ac:dyDescent="0.2">
      <c r="L77" s="7"/>
      <c r="M77" s="8"/>
      <c r="N77" s="8"/>
      <c r="P77" s="9"/>
      <c r="Q77" s="9"/>
      <c r="R77" s="9"/>
      <c r="S77" s="247"/>
    </row>
    <row r="78" spans="1:19" ht="15" x14ac:dyDescent="0.2">
      <c r="L78" s="7"/>
      <c r="M78" s="8"/>
      <c r="N78" s="8"/>
      <c r="P78" s="9"/>
      <c r="Q78" s="9"/>
      <c r="R78" s="9"/>
      <c r="S78" s="247"/>
    </row>
    <row r="79" spans="1:19" ht="15" x14ac:dyDescent="0.2">
      <c r="L79" s="7"/>
      <c r="M79" s="8"/>
      <c r="N79" s="8"/>
      <c r="P79" s="9"/>
      <c r="Q79" s="9"/>
      <c r="R79" s="9"/>
      <c r="S79" s="247"/>
    </row>
    <row r="80" spans="1:19" ht="15" x14ac:dyDescent="0.2">
      <c r="L80" s="7"/>
      <c r="M80" s="8"/>
      <c r="N80" s="8"/>
      <c r="P80" s="9"/>
      <c r="Q80" s="9"/>
      <c r="R80" s="9"/>
      <c r="S80" s="247"/>
    </row>
    <row r="81" spans="12:19" ht="15" x14ac:dyDescent="0.2">
      <c r="L81" s="7"/>
      <c r="M81" s="8"/>
      <c r="N81" s="8"/>
      <c r="P81" s="9"/>
      <c r="Q81" s="9"/>
      <c r="R81" s="9"/>
      <c r="S81" s="247"/>
    </row>
    <row r="82" spans="12:19" ht="15" x14ac:dyDescent="0.2">
      <c r="L82" s="7"/>
      <c r="M82" s="8"/>
      <c r="N82" s="8"/>
      <c r="P82" s="9"/>
      <c r="Q82" s="9"/>
      <c r="R82" s="9"/>
      <c r="S82" s="247"/>
    </row>
    <row r="83" spans="12:19" ht="15" x14ac:dyDescent="0.2">
      <c r="L83" s="7"/>
      <c r="M83" s="8"/>
      <c r="N83" s="8"/>
      <c r="P83" s="9"/>
      <c r="Q83" s="9"/>
      <c r="R83" s="9"/>
      <c r="S83" s="247"/>
    </row>
    <row r="84" spans="12:19" ht="15" x14ac:dyDescent="0.2">
      <c r="L84" s="7"/>
      <c r="M84" s="8"/>
      <c r="N84" s="8"/>
      <c r="P84" s="9"/>
      <c r="Q84" s="9"/>
      <c r="R84" s="9"/>
      <c r="S84" s="247"/>
    </row>
    <row r="85" spans="12:19" ht="15" x14ac:dyDescent="0.2">
      <c r="L85" s="7"/>
      <c r="M85" s="8"/>
      <c r="N85" s="8"/>
      <c r="P85" s="9"/>
      <c r="Q85" s="9"/>
      <c r="R85" s="9"/>
      <c r="S85" s="247"/>
    </row>
    <row r="86" spans="12:19" ht="15" x14ac:dyDescent="0.2">
      <c r="L86" s="7"/>
      <c r="M86" s="8"/>
      <c r="N86" s="8"/>
      <c r="P86" s="9"/>
      <c r="Q86" s="9"/>
      <c r="R86" s="9"/>
      <c r="S86" s="247"/>
    </row>
  </sheetData>
  <mergeCells count="118">
    <mergeCell ref="A1:A6"/>
    <mergeCell ref="B1:S1"/>
    <mergeCell ref="B2:S2"/>
    <mergeCell ref="B3:S3"/>
    <mergeCell ref="B4:S4"/>
    <mergeCell ref="B5:S5"/>
    <mergeCell ref="A7:S7"/>
    <mergeCell ref="A8:A12"/>
    <mergeCell ref="B8:B11"/>
    <mergeCell ref="C8:C11"/>
    <mergeCell ref="D8:D11"/>
    <mergeCell ref="E8:E11"/>
    <mergeCell ref="F8:F11"/>
    <mergeCell ref="O8:O11"/>
    <mergeCell ref="P8:P11"/>
    <mergeCell ref="Q8:Q11"/>
    <mergeCell ref="O14:O17"/>
    <mergeCell ref="P14:P17"/>
    <mergeCell ref="Q14:Q17"/>
    <mergeCell ref="R14:R17"/>
    <mergeCell ref="S14:S17"/>
    <mergeCell ref="B18:S18"/>
    <mergeCell ref="R8:R11"/>
    <mergeCell ref="S8:S11"/>
    <mergeCell ref="B12:S12"/>
    <mergeCell ref="A13:S13"/>
    <mergeCell ref="A14:A18"/>
    <mergeCell ref="B14:B17"/>
    <mergeCell ref="C14:C17"/>
    <mergeCell ref="D14:D17"/>
    <mergeCell ref="E14:E17"/>
    <mergeCell ref="F14:F17"/>
    <mergeCell ref="A19:S19"/>
    <mergeCell ref="A20:A27"/>
    <mergeCell ref="B20:B26"/>
    <mergeCell ref="C20:C26"/>
    <mergeCell ref="D20:D26"/>
    <mergeCell ref="E20:E26"/>
    <mergeCell ref="F20:F26"/>
    <mergeCell ref="O20:O26"/>
    <mergeCell ref="P20:P26"/>
    <mergeCell ref="Q20:Q26"/>
    <mergeCell ref="O29:O32"/>
    <mergeCell ref="P29:P32"/>
    <mergeCell ref="Q29:Q32"/>
    <mergeCell ref="R29:R32"/>
    <mergeCell ref="S29:S32"/>
    <mergeCell ref="B33:S33"/>
    <mergeCell ref="R20:R26"/>
    <mergeCell ref="S20:S26"/>
    <mergeCell ref="B27:S27"/>
    <mergeCell ref="A28:S28"/>
    <mergeCell ref="A29:A33"/>
    <mergeCell ref="B29:B32"/>
    <mergeCell ref="C29:C32"/>
    <mergeCell ref="D29:D32"/>
    <mergeCell ref="E29:E32"/>
    <mergeCell ref="F29:F32"/>
    <mergeCell ref="A34:S34"/>
    <mergeCell ref="A35:A36"/>
    <mergeCell ref="B36:S36"/>
    <mergeCell ref="A37:S37"/>
    <mergeCell ref="A38:A40"/>
    <mergeCell ref="B38:B40"/>
    <mergeCell ref="C38:C40"/>
    <mergeCell ref="D38:D40"/>
    <mergeCell ref="E38:E40"/>
    <mergeCell ref="F38:F40"/>
    <mergeCell ref="A42:A43"/>
    <mergeCell ref="B43:S43"/>
    <mergeCell ref="A44:S44"/>
    <mergeCell ref="A45:A46"/>
    <mergeCell ref="B46:S46"/>
    <mergeCell ref="A47:S47"/>
    <mergeCell ref="O38:O40"/>
    <mergeCell ref="P38:P40"/>
    <mergeCell ref="Q38:Q40"/>
    <mergeCell ref="R38:R40"/>
    <mergeCell ref="S38:S40"/>
    <mergeCell ref="A41:S41"/>
    <mergeCell ref="A54:A55"/>
    <mergeCell ref="B55:S55"/>
    <mergeCell ref="A56:S56"/>
    <mergeCell ref="A57:A58"/>
    <mergeCell ref="B58:S58"/>
    <mergeCell ref="A59:S59"/>
    <mergeCell ref="A48:A49"/>
    <mergeCell ref="B49:S49"/>
    <mergeCell ref="A50:S50"/>
    <mergeCell ref="A51:A52"/>
    <mergeCell ref="B52:S52"/>
    <mergeCell ref="A53:S53"/>
    <mergeCell ref="A60:A61"/>
    <mergeCell ref="B61:S61"/>
    <mergeCell ref="A62:S62"/>
    <mergeCell ref="A63:A65"/>
    <mergeCell ref="B63:B64"/>
    <mergeCell ref="C63:C64"/>
    <mergeCell ref="D63:D64"/>
    <mergeCell ref="E63:E64"/>
    <mergeCell ref="F63:F64"/>
    <mergeCell ref="O63:O64"/>
    <mergeCell ref="O67:O68"/>
    <mergeCell ref="P67:P68"/>
    <mergeCell ref="Q67:Q68"/>
    <mergeCell ref="R67:R68"/>
    <mergeCell ref="S67:S68"/>
    <mergeCell ref="B69:S69"/>
    <mergeCell ref="P63:P64"/>
    <mergeCell ref="R63:R64"/>
    <mergeCell ref="B65:S65"/>
    <mergeCell ref="A66:S66"/>
    <mergeCell ref="A67:A69"/>
    <mergeCell ref="B67:B68"/>
    <mergeCell ref="C67:C68"/>
    <mergeCell ref="D67:D68"/>
    <mergeCell ref="E67:E68"/>
    <mergeCell ref="F67:F68"/>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2BA2E-7BAD-4A91-8094-FF51D222F97B}">
  <sheetPr>
    <pageSetUpPr fitToPage="1"/>
  </sheetPr>
  <dimension ref="A1:S43"/>
  <sheetViews>
    <sheetView rightToLeft="1" zoomScale="102" zoomScaleNormal="102" workbookViewId="0">
      <selection activeCell="B1" sqref="B1:S1"/>
    </sheetView>
  </sheetViews>
  <sheetFormatPr defaultColWidth="8.75" defaultRowHeight="15" x14ac:dyDescent="0.2"/>
  <cols>
    <col min="1" max="1" width="4.25" customWidth="1"/>
    <col min="2" max="2" width="21.125" bestFit="1" customWidth="1"/>
    <col min="4" max="4" width="10.875" bestFit="1" customWidth="1"/>
    <col min="5" max="5" width="11.25" customWidth="1"/>
    <col min="7" max="7" width="16.5" customWidth="1"/>
    <col min="8" max="8" width="7.75" customWidth="1"/>
    <col min="9" max="9" width="10.25" bestFit="1" customWidth="1"/>
    <col min="10" max="10" width="17.875" customWidth="1"/>
    <col min="11" max="11" width="10.25" customWidth="1"/>
    <col min="12" max="12" width="15.625" style="7" customWidth="1"/>
    <col min="13" max="13" width="13.625" style="8" bestFit="1" customWidth="1"/>
    <col min="14" max="14" width="10.875" style="8" customWidth="1"/>
    <col min="15" max="15" width="13.875" customWidth="1"/>
    <col min="16" max="16" width="22.5" style="9" customWidth="1"/>
    <col min="17" max="17" width="12.75" style="9" customWidth="1"/>
    <col min="18" max="18" width="15.625" style="9" bestFit="1" customWidth="1"/>
    <col min="19" max="19" width="10.875" style="247" customWidth="1"/>
  </cols>
  <sheetData>
    <row r="1" spans="1:19" ht="20.25" x14ac:dyDescent="0.2">
      <c r="A1" s="490"/>
      <c r="B1" s="610" t="s">
        <v>1352</v>
      </c>
      <c r="C1" s="611"/>
      <c r="D1" s="611"/>
      <c r="E1" s="611"/>
      <c r="F1" s="611"/>
      <c r="G1" s="611"/>
      <c r="H1" s="611"/>
      <c r="I1" s="611"/>
      <c r="J1" s="611"/>
      <c r="K1" s="611"/>
      <c r="L1" s="611"/>
      <c r="M1" s="611"/>
      <c r="N1" s="611"/>
      <c r="O1" s="611"/>
      <c r="P1" s="611"/>
      <c r="Q1" s="611"/>
      <c r="R1" s="611"/>
      <c r="S1" s="612"/>
    </row>
    <row r="2" spans="1:19" ht="14.25" customHeight="1" x14ac:dyDescent="0.2">
      <c r="A2" s="490"/>
      <c r="B2" s="613" t="s">
        <v>1474</v>
      </c>
      <c r="C2" s="614"/>
      <c r="D2" s="614"/>
      <c r="E2" s="614"/>
      <c r="F2" s="614"/>
      <c r="G2" s="614"/>
      <c r="H2" s="614"/>
      <c r="I2" s="614"/>
      <c r="J2" s="614"/>
      <c r="K2" s="614"/>
      <c r="L2" s="614"/>
      <c r="M2" s="614"/>
      <c r="N2" s="614"/>
      <c r="O2" s="614"/>
      <c r="P2" s="614"/>
      <c r="Q2" s="614"/>
      <c r="R2" s="614"/>
      <c r="S2" s="615"/>
    </row>
    <row r="3" spans="1:19" ht="15.75" x14ac:dyDescent="0.2">
      <c r="A3" s="490"/>
      <c r="B3" s="616" t="s">
        <v>1358</v>
      </c>
      <c r="C3" s="617"/>
      <c r="D3" s="617"/>
      <c r="E3" s="617"/>
      <c r="F3" s="617"/>
      <c r="G3" s="617"/>
      <c r="H3" s="617"/>
      <c r="I3" s="617"/>
      <c r="J3" s="617"/>
      <c r="K3" s="617"/>
      <c r="L3" s="617"/>
      <c r="M3" s="617"/>
      <c r="N3" s="617"/>
      <c r="O3" s="617"/>
      <c r="P3" s="617"/>
      <c r="Q3" s="617"/>
      <c r="R3" s="617"/>
      <c r="S3" s="618"/>
    </row>
    <row r="4" spans="1:19" ht="14.25" x14ac:dyDescent="0.2">
      <c r="A4" s="490"/>
      <c r="B4" s="619" t="s">
        <v>52</v>
      </c>
      <c r="C4" s="620"/>
      <c r="D4" s="620"/>
      <c r="E4" s="620"/>
      <c r="F4" s="620"/>
      <c r="G4" s="620"/>
      <c r="H4" s="620"/>
      <c r="I4" s="620"/>
      <c r="J4" s="620"/>
      <c r="K4" s="620"/>
      <c r="L4" s="620"/>
      <c r="M4" s="620"/>
      <c r="N4" s="620"/>
      <c r="O4" s="620"/>
      <c r="P4" s="620"/>
      <c r="Q4" s="620"/>
      <c r="R4" s="620"/>
      <c r="S4" s="621"/>
    </row>
    <row r="5" spans="1:19" ht="14.25" x14ac:dyDescent="0.2">
      <c r="A5" s="490"/>
      <c r="B5" s="619" t="s">
        <v>51</v>
      </c>
      <c r="C5" s="620"/>
      <c r="D5" s="620"/>
      <c r="E5" s="620"/>
      <c r="F5" s="620"/>
      <c r="G5" s="620"/>
      <c r="H5" s="620"/>
      <c r="I5" s="620"/>
      <c r="J5" s="620"/>
      <c r="K5" s="620"/>
      <c r="L5" s="620"/>
      <c r="M5" s="620"/>
      <c r="N5" s="620"/>
      <c r="O5" s="620"/>
      <c r="P5" s="620"/>
      <c r="Q5" s="620"/>
      <c r="R5" s="620"/>
      <c r="S5" s="621"/>
    </row>
    <row r="6" spans="1:19" s="307" customFormat="1" ht="63" x14ac:dyDescent="0.2">
      <c r="A6" s="490"/>
      <c r="B6" s="35" t="s">
        <v>0</v>
      </c>
      <c r="C6" s="35" t="s">
        <v>1</v>
      </c>
      <c r="D6" s="35" t="s">
        <v>830</v>
      </c>
      <c r="E6" s="35" t="s">
        <v>35</v>
      </c>
      <c r="F6" s="35" t="s">
        <v>831</v>
      </c>
      <c r="G6" s="35" t="s">
        <v>2</v>
      </c>
      <c r="H6" s="35" t="s">
        <v>3</v>
      </c>
      <c r="I6" s="35" t="s">
        <v>832</v>
      </c>
      <c r="J6" s="35" t="s">
        <v>833</v>
      </c>
      <c r="K6" s="308" t="s">
        <v>834</v>
      </c>
      <c r="L6" s="309" t="s">
        <v>835</v>
      </c>
      <c r="M6" s="310" t="s">
        <v>836</v>
      </c>
      <c r="N6" s="35" t="s">
        <v>8</v>
      </c>
      <c r="O6" s="35" t="s">
        <v>9</v>
      </c>
      <c r="P6" s="35" t="s">
        <v>95</v>
      </c>
      <c r="Q6" s="35" t="s">
        <v>837</v>
      </c>
      <c r="R6" s="492" t="s">
        <v>729</v>
      </c>
      <c r="S6" s="35" t="s">
        <v>10</v>
      </c>
    </row>
    <row r="7" spans="1:19" ht="15.75" x14ac:dyDescent="0.2">
      <c r="A7" s="556" t="s">
        <v>1357</v>
      </c>
      <c r="B7" s="557"/>
      <c r="C7" s="557"/>
      <c r="D7" s="557"/>
      <c r="E7" s="557"/>
      <c r="F7" s="557"/>
      <c r="G7" s="557"/>
      <c r="H7" s="557"/>
      <c r="I7" s="557"/>
      <c r="J7" s="557"/>
      <c r="K7" s="557"/>
      <c r="L7" s="557"/>
      <c r="M7" s="557"/>
      <c r="N7" s="557"/>
      <c r="O7" s="557"/>
      <c r="P7" s="557"/>
      <c r="Q7" s="557"/>
      <c r="R7" s="557"/>
      <c r="S7" s="557"/>
    </row>
    <row r="8" spans="1:19" ht="25.5" customHeight="1" x14ac:dyDescent="0.2">
      <c r="A8" s="593">
        <v>1</v>
      </c>
      <c r="B8" s="585" t="s">
        <v>1353</v>
      </c>
      <c r="C8" s="585" t="s">
        <v>1354</v>
      </c>
      <c r="D8" s="597"/>
      <c r="E8" s="641" t="s">
        <v>37</v>
      </c>
      <c r="F8" s="641" t="s">
        <v>62</v>
      </c>
      <c r="G8" s="13" t="s">
        <v>1355</v>
      </c>
      <c r="H8" s="14">
        <v>100</v>
      </c>
      <c r="I8" s="15" t="s">
        <v>73</v>
      </c>
      <c r="J8" s="18">
        <v>240</v>
      </c>
      <c r="K8" s="364">
        <v>220</v>
      </c>
      <c r="L8" s="18">
        <f>J8*K8</f>
        <v>52800</v>
      </c>
      <c r="M8" s="18">
        <f>L8*117/100</f>
        <v>61776</v>
      </c>
      <c r="N8" s="13" t="s">
        <v>1111</v>
      </c>
      <c r="O8" s="560" t="s">
        <v>15</v>
      </c>
      <c r="P8" s="560" t="s">
        <v>97</v>
      </c>
      <c r="Q8" s="647"/>
      <c r="R8" s="604">
        <f>M8*(100-Q8)/100</f>
        <v>61776</v>
      </c>
      <c r="S8" s="568" t="s">
        <v>18</v>
      </c>
    </row>
    <row r="9" spans="1:19" ht="26.45" customHeight="1" x14ac:dyDescent="0.2">
      <c r="A9" s="594"/>
      <c r="B9" s="596"/>
      <c r="C9" s="596"/>
      <c r="D9" s="599"/>
      <c r="E9" s="643"/>
      <c r="F9" s="643"/>
      <c r="G9" s="485" t="s">
        <v>1356</v>
      </c>
      <c r="H9" s="491">
        <v>95</v>
      </c>
      <c r="I9" s="34" t="s">
        <v>73</v>
      </c>
      <c r="J9" s="12">
        <v>240</v>
      </c>
      <c r="K9" s="365">
        <v>220</v>
      </c>
      <c r="L9" s="12">
        <f>J9*K9</f>
        <v>52800</v>
      </c>
      <c r="M9" s="12">
        <f>L9</f>
        <v>52800</v>
      </c>
      <c r="N9" s="19" t="s">
        <v>1111</v>
      </c>
      <c r="O9" s="562"/>
      <c r="P9" s="562"/>
      <c r="Q9" s="649"/>
      <c r="R9" s="606"/>
      <c r="S9" s="570"/>
    </row>
    <row r="10" spans="1:19" ht="14.25" customHeight="1" x14ac:dyDescent="0.2">
      <c r="A10" s="595"/>
      <c r="B10" s="581" t="s">
        <v>1328</v>
      </c>
      <c r="C10" s="582"/>
      <c r="D10" s="582"/>
      <c r="E10" s="582"/>
      <c r="F10" s="582"/>
      <c r="G10" s="582"/>
      <c r="H10" s="582"/>
      <c r="I10" s="582"/>
      <c r="J10" s="582"/>
      <c r="K10" s="582"/>
      <c r="L10" s="582"/>
      <c r="M10" s="582"/>
      <c r="N10" s="582"/>
      <c r="O10" s="582"/>
      <c r="P10" s="582"/>
      <c r="Q10" s="582"/>
      <c r="R10" s="582"/>
      <c r="S10" s="582"/>
    </row>
    <row r="11" spans="1:19" ht="15.75" x14ac:dyDescent="0.2">
      <c r="A11" s="556" t="s">
        <v>1392</v>
      </c>
      <c r="B11" s="557"/>
      <c r="C11" s="557"/>
      <c r="D11" s="557"/>
      <c r="E11" s="557"/>
      <c r="F11" s="557"/>
      <c r="G11" s="557"/>
      <c r="H11" s="557"/>
      <c r="I11" s="557"/>
      <c r="J11" s="557"/>
      <c r="K11" s="557"/>
      <c r="L11" s="557"/>
      <c r="M11" s="557"/>
      <c r="N11" s="557"/>
      <c r="O11" s="557"/>
      <c r="P11" s="557"/>
      <c r="Q11" s="557"/>
      <c r="R11" s="557"/>
      <c r="S11" s="557"/>
    </row>
    <row r="12" spans="1:19" ht="25.5" customHeight="1" x14ac:dyDescent="0.2">
      <c r="A12" s="593">
        <v>2</v>
      </c>
      <c r="B12" s="585" t="s">
        <v>1393</v>
      </c>
      <c r="C12" s="585" t="s">
        <v>1394</v>
      </c>
      <c r="D12" s="597"/>
      <c r="E12" s="641" t="s">
        <v>67</v>
      </c>
      <c r="F12" s="644" t="s">
        <v>55</v>
      </c>
      <c r="G12" s="159" t="s">
        <v>1395</v>
      </c>
      <c r="H12" s="159">
        <v>92</v>
      </c>
      <c r="I12" s="159" t="s">
        <v>14</v>
      </c>
      <c r="J12" s="160">
        <v>251142</v>
      </c>
      <c r="K12" s="159">
        <v>1</v>
      </c>
      <c r="L12" s="160">
        <v>251142</v>
      </c>
      <c r="M12" s="160">
        <v>293836.14</v>
      </c>
      <c r="N12" s="13"/>
      <c r="O12" s="560" t="s">
        <v>15</v>
      </c>
      <c r="P12" s="560" t="s">
        <v>97</v>
      </c>
      <c r="Q12" s="647"/>
      <c r="R12" s="604">
        <f>M12*(100-Q12)/100</f>
        <v>293836.14</v>
      </c>
      <c r="S12" s="568" t="s">
        <v>18</v>
      </c>
    </row>
    <row r="13" spans="1:19" ht="25.5" customHeight="1" x14ac:dyDescent="0.2">
      <c r="A13" s="594"/>
      <c r="B13" s="586"/>
      <c r="C13" s="586"/>
      <c r="D13" s="598"/>
      <c r="E13" s="642"/>
      <c r="F13" s="645"/>
      <c r="G13" s="495" t="s">
        <v>1396</v>
      </c>
      <c r="H13" s="495">
        <v>88</v>
      </c>
      <c r="I13" s="495" t="s">
        <v>14</v>
      </c>
      <c r="J13" s="496">
        <v>223300</v>
      </c>
      <c r="K13" s="495">
        <v>1</v>
      </c>
      <c r="L13" s="496">
        <v>223300</v>
      </c>
      <c r="M13" s="496">
        <v>261261</v>
      </c>
      <c r="N13" s="493"/>
      <c r="O13" s="561"/>
      <c r="P13" s="561"/>
      <c r="Q13" s="648"/>
      <c r="R13" s="605"/>
      <c r="S13" s="569"/>
    </row>
    <row r="14" spans="1:19" ht="26.45" customHeight="1" x14ac:dyDescent="0.2">
      <c r="A14" s="594"/>
      <c r="B14" s="596"/>
      <c r="C14" s="596"/>
      <c r="D14" s="599"/>
      <c r="E14" s="643"/>
      <c r="F14" s="646"/>
      <c r="G14" s="495" t="s">
        <v>1397</v>
      </c>
      <c r="H14" s="495">
        <v>64</v>
      </c>
      <c r="I14" s="495" t="s">
        <v>14</v>
      </c>
      <c r="J14" s="496">
        <v>243000</v>
      </c>
      <c r="K14" s="495">
        <v>1</v>
      </c>
      <c r="L14" s="496">
        <v>243000</v>
      </c>
      <c r="M14" s="496">
        <v>284310</v>
      </c>
      <c r="N14" s="19"/>
      <c r="O14" s="562"/>
      <c r="P14" s="562"/>
      <c r="Q14" s="649"/>
      <c r="R14" s="606"/>
      <c r="S14" s="570"/>
    </row>
    <row r="15" spans="1:19" ht="14.25" customHeight="1" x14ac:dyDescent="0.2">
      <c r="A15" s="595"/>
      <c r="B15" s="581" t="s">
        <v>1398</v>
      </c>
      <c r="C15" s="582"/>
      <c r="D15" s="582"/>
      <c r="E15" s="582"/>
      <c r="F15" s="582"/>
      <c r="G15" s="555"/>
      <c r="H15" s="555"/>
      <c r="I15" s="555"/>
      <c r="J15" s="555"/>
      <c r="K15" s="555"/>
      <c r="L15" s="555"/>
      <c r="M15" s="555"/>
      <c r="N15" s="582"/>
      <c r="O15" s="582"/>
      <c r="P15" s="582"/>
      <c r="Q15" s="582"/>
      <c r="R15" s="582"/>
      <c r="S15" s="582"/>
    </row>
    <row r="16" spans="1:19" ht="15.75" x14ac:dyDescent="0.2">
      <c r="A16" s="556" t="s">
        <v>1399</v>
      </c>
      <c r="B16" s="557"/>
      <c r="C16" s="557"/>
      <c r="D16" s="557"/>
      <c r="E16" s="557"/>
      <c r="F16" s="557"/>
      <c r="G16" s="557"/>
      <c r="H16" s="557"/>
      <c r="I16" s="557"/>
      <c r="J16" s="557"/>
      <c r="K16" s="557"/>
      <c r="L16" s="557"/>
      <c r="M16" s="557"/>
      <c r="N16" s="557"/>
      <c r="O16" s="557"/>
      <c r="P16" s="557"/>
      <c r="Q16" s="557"/>
      <c r="R16" s="557"/>
      <c r="S16" s="557"/>
    </row>
    <row r="17" spans="1:19" ht="25.5" customHeight="1" x14ac:dyDescent="0.2">
      <c r="A17" s="593">
        <v>3</v>
      </c>
      <c r="B17" s="585" t="s">
        <v>1400</v>
      </c>
      <c r="C17" s="638" t="s">
        <v>1401</v>
      </c>
      <c r="D17" s="597">
        <v>1722100781</v>
      </c>
      <c r="E17" s="641" t="s">
        <v>67</v>
      </c>
      <c r="F17" s="644" t="s">
        <v>64</v>
      </c>
      <c r="G17" s="159" t="s">
        <v>1402</v>
      </c>
      <c r="H17" s="159">
        <v>100</v>
      </c>
      <c r="I17" s="159" t="s">
        <v>14</v>
      </c>
      <c r="J17" s="160">
        <v>450</v>
      </c>
      <c r="K17" s="159">
        <v>53</v>
      </c>
      <c r="L17" s="160">
        <v>23850</v>
      </c>
      <c r="M17" s="160">
        <v>27904.5</v>
      </c>
      <c r="N17" s="13" t="s">
        <v>1111</v>
      </c>
      <c r="O17" s="560" t="s">
        <v>15</v>
      </c>
      <c r="P17" s="560" t="s">
        <v>97</v>
      </c>
      <c r="Q17" s="647"/>
      <c r="R17" s="604">
        <f>M17*(100-Q17)/100</f>
        <v>27904.5</v>
      </c>
      <c r="S17" s="568" t="s">
        <v>18</v>
      </c>
    </row>
    <row r="18" spans="1:19" ht="25.5" customHeight="1" x14ac:dyDescent="0.2">
      <c r="A18" s="594"/>
      <c r="B18" s="586"/>
      <c r="C18" s="639"/>
      <c r="D18" s="598"/>
      <c r="E18" s="642"/>
      <c r="F18" s="645"/>
      <c r="G18" s="495" t="s">
        <v>1403</v>
      </c>
      <c r="H18" s="495">
        <v>44</v>
      </c>
      <c r="I18" s="495" t="s">
        <v>14</v>
      </c>
      <c r="J18" s="496">
        <v>1200</v>
      </c>
      <c r="K18" s="495">
        <v>53</v>
      </c>
      <c r="L18" s="496">
        <v>63600</v>
      </c>
      <c r="M18" s="496">
        <v>74412</v>
      </c>
      <c r="N18" s="493" t="s">
        <v>1143</v>
      </c>
      <c r="O18" s="561"/>
      <c r="P18" s="561"/>
      <c r="Q18" s="648"/>
      <c r="R18" s="605"/>
      <c r="S18" s="569"/>
    </row>
    <row r="19" spans="1:19" ht="26.45" customHeight="1" x14ac:dyDescent="0.2">
      <c r="A19" s="594"/>
      <c r="B19" s="596"/>
      <c r="C19" s="640"/>
      <c r="D19" s="599"/>
      <c r="E19" s="643"/>
      <c r="F19" s="646"/>
      <c r="G19" s="495" t="s">
        <v>1404</v>
      </c>
      <c r="H19" s="495">
        <v>34</v>
      </c>
      <c r="I19" s="495" t="s">
        <v>14</v>
      </c>
      <c r="J19" s="496">
        <v>2000</v>
      </c>
      <c r="K19" s="495">
        <v>53</v>
      </c>
      <c r="L19" s="496">
        <v>106000</v>
      </c>
      <c r="M19" s="496">
        <v>124019.99999999999</v>
      </c>
      <c r="N19" s="19" t="s">
        <v>1143</v>
      </c>
      <c r="O19" s="562"/>
      <c r="P19" s="562"/>
      <c r="Q19" s="649"/>
      <c r="R19" s="606"/>
      <c r="S19" s="570"/>
    </row>
    <row r="20" spans="1:19" ht="14.25" customHeight="1" x14ac:dyDescent="0.2">
      <c r="A20" s="595"/>
      <c r="B20" s="581" t="s">
        <v>1405</v>
      </c>
      <c r="C20" s="582"/>
      <c r="D20" s="582"/>
      <c r="E20" s="582"/>
      <c r="F20" s="582"/>
      <c r="G20" s="555"/>
      <c r="H20" s="555"/>
      <c r="I20" s="555"/>
      <c r="J20" s="555"/>
      <c r="K20" s="555"/>
      <c r="L20" s="555"/>
      <c r="M20" s="555"/>
      <c r="N20" s="582"/>
      <c r="O20" s="582"/>
      <c r="P20" s="582"/>
      <c r="Q20" s="582"/>
      <c r="R20" s="582"/>
      <c r="S20" s="582"/>
    </row>
    <row r="21" spans="1:19" ht="15.75" x14ac:dyDescent="0.2">
      <c r="A21" s="556" t="s">
        <v>1406</v>
      </c>
      <c r="B21" s="557"/>
      <c r="C21" s="557"/>
      <c r="D21" s="557"/>
      <c r="E21" s="557"/>
      <c r="F21" s="557"/>
      <c r="G21" s="557"/>
      <c r="H21" s="557"/>
      <c r="I21" s="557"/>
      <c r="J21" s="557"/>
      <c r="K21" s="557"/>
      <c r="L21" s="557"/>
      <c r="M21" s="557"/>
      <c r="N21" s="557"/>
      <c r="O21" s="557"/>
      <c r="P21" s="557"/>
      <c r="Q21" s="557"/>
      <c r="R21" s="557"/>
      <c r="S21" s="557"/>
    </row>
    <row r="22" spans="1:19" ht="25.5" customHeight="1" x14ac:dyDescent="0.2">
      <c r="A22" s="593">
        <v>4</v>
      </c>
      <c r="B22" s="585" t="s">
        <v>1407</v>
      </c>
      <c r="C22" s="638" t="s">
        <v>1401</v>
      </c>
      <c r="D22" s="597">
        <v>1722100781</v>
      </c>
      <c r="E22" s="641" t="s">
        <v>67</v>
      </c>
      <c r="F22" s="644" t="s">
        <v>64</v>
      </c>
      <c r="G22" s="159" t="s">
        <v>1408</v>
      </c>
      <c r="H22" s="159">
        <v>100</v>
      </c>
      <c r="I22" s="159" t="s">
        <v>14</v>
      </c>
      <c r="J22" s="160">
        <v>700</v>
      </c>
      <c r="K22" s="159">
        <v>25</v>
      </c>
      <c r="L22" s="160">
        <v>17500</v>
      </c>
      <c r="M22" s="160">
        <v>20475</v>
      </c>
      <c r="N22" s="13" t="s">
        <v>1111</v>
      </c>
      <c r="O22" s="560" t="s">
        <v>15</v>
      </c>
      <c r="P22" s="560" t="s">
        <v>97</v>
      </c>
      <c r="Q22" s="647"/>
      <c r="R22" s="604">
        <f>M22*(100-Q22)/100</f>
        <v>20475</v>
      </c>
      <c r="S22" s="568" t="s">
        <v>18</v>
      </c>
    </row>
    <row r="23" spans="1:19" ht="25.5" customHeight="1" x14ac:dyDescent="0.2">
      <c r="A23" s="594"/>
      <c r="B23" s="586"/>
      <c r="C23" s="639"/>
      <c r="D23" s="598"/>
      <c r="E23" s="642"/>
      <c r="F23" s="645"/>
      <c r="G23" s="495" t="s">
        <v>1409</v>
      </c>
      <c r="H23" s="495">
        <v>60</v>
      </c>
      <c r="I23" s="495" t="s">
        <v>14</v>
      </c>
      <c r="J23" s="496">
        <v>1155.55</v>
      </c>
      <c r="K23" s="495">
        <v>25</v>
      </c>
      <c r="L23" s="496">
        <v>28888.75</v>
      </c>
      <c r="M23" s="496">
        <v>33799.837500000001</v>
      </c>
      <c r="N23" s="494" t="s">
        <v>1143</v>
      </c>
      <c r="O23" s="561"/>
      <c r="P23" s="561"/>
      <c r="Q23" s="648"/>
      <c r="R23" s="605"/>
      <c r="S23" s="569"/>
    </row>
    <row r="24" spans="1:19" ht="26.45" customHeight="1" x14ac:dyDescent="0.2">
      <c r="A24" s="594"/>
      <c r="B24" s="596"/>
      <c r="C24" s="640"/>
      <c r="D24" s="599"/>
      <c r="E24" s="643"/>
      <c r="F24" s="646"/>
      <c r="G24" s="495" t="s">
        <v>1410</v>
      </c>
      <c r="H24" s="495">
        <v>51</v>
      </c>
      <c r="I24" s="495" t="s">
        <v>14</v>
      </c>
      <c r="J24" s="496">
        <v>1500</v>
      </c>
      <c r="K24" s="495">
        <v>25</v>
      </c>
      <c r="L24" s="496">
        <v>37500</v>
      </c>
      <c r="M24" s="496">
        <v>43875</v>
      </c>
      <c r="N24" s="19" t="s">
        <v>1143</v>
      </c>
      <c r="O24" s="562"/>
      <c r="P24" s="562"/>
      <c r="Q24" s="649"/>
      <c r="R24" s="606"/>
      <c r="S24" s="570"/>
    </row>
    <row r="25" spans="1:19" ht="14.25" customHeight="1" x14ac:dyDescent="0.2">
      <c r="A25" s="595"/>
      <c r="B25" s="581" t="s">
        <v>1411</v>
      </c>
      <c r="C25" s="582"/>
      <c r="D25" s="582"/>
      <c r="E25" s="582"/>
      <c r="F25" s="582"/>
      <c r="G25" s="555"/>
      <c r="H25" s="555"/>
      <c r="I25" s="555"/>
      <c r="J25" s="555"/>
      <c r="K25" s="555"/>
      <c r="L25" s="555"/>
      <c r="M25" s="555"/>
      <c r="N25" s="582"/>
      <c r="O25" s="582"/>
      <c r="P25" s="582"/>
      <c r="Q25" s="582"/>
      <c r="R25" s="582"/>
      <c r="S25" s="582"/>
    </row>
    <row r="26" spans="1:19" ht="15.75" x14ac:dyDescent="0.2">
      <c r="A26" s="556" t="s">
        <v>1412</v>
      </c>
      <c r="B26" s="557"/>
      <c r="C26" s="557"/>
      <c r="D26" s="557"/>
      <c r="E26" s="557"/>
      <c r="F26" s="557"/>
      <c r="G26" s="557"/>
      <c r="H26" s="557"/>
      <c r="I26" s="557"/>
      <c r="J26" s="557"/>
      <c r="K26" s="557"/>
      <c r="L26" s="557"/>
      <c r="M26" s="557"/>
      <c r="N26" s="557"/>
      <c r="O26" s="557"/>
      <c r="P26" s="557"/>
      <c r="Q26" s="557"/>
      <c r="R26" s="557"/>
      <c r="S26" s="557"/>
    </row>
    <row r="27" spans="1:19" ht="25.5" customHeight="1" x14ac:dyDescent="0.2">
      <c r="A27" s="593">
        <v>5</v>
      </c>
      <c r="B27" s="585" t="s">
        <v>1413</v>
      </c>
      <c r="C27" s="638" t="s">
        <v>1401</v>
      </c>
      <c r="D27" s="597">
        <v>1722100781</v>
      </c>
      <c r="E27" s="641" t="s">
        <v>67</v>
      </c>
      <c r="F27" s="644" t="s">
        <v>64</v>
      </c>
      <c r="G27" s="159" t="s">
        <v>1414</v>
      </c>
      <c r="H27" s="159">
        <v>100</v>
      </c>
      <c r="I27" s="159" t="s">
        <v>14</v>
      </c>
      <c r="J27" s="160">
        <v>483.3</v>
      </c>
      <c r="K27" s="159">
        <v>60</v>
      </c>
      <c r="L27" s="160">
        <v>28998</v>
      </c>
      <c r="M27" s="160">
        <v>33927.659999999996</v>
      </c>
      <c r="N27" s="13" t="s">
        <v>1111</v>
      </c>
      <c r="O27" s="560" t="s">
        <v>15</v>
      </c>
      <c r="P27" s="560" t="s">
        <v>97</v>
      </c>
      <c r="Q27" s="647"/>
      <c r="R27" s="604">
        <f>M27*(100-Q27)/100</f>
        <v>33927.659999999996</v>
      </c>
      <c r="S27" s="568" t="s">
        <v>18</v>
      </c>
    </row>
    <row r="28" spans="1:19" ht="25.5" customHeight="1" x14ac:dyDescent="0.2">
      <c r="A28" s="594"/>
      <c r="B28" s="586"/>
      <c r="C28" s="639"/>
      <c r="D28" s="598"/>
      <c r="E28" s="642"/>
      <c r="F28" s="645"/>
      <c r="G28" s="495" t="s">
        <v>1415</v>
      </c>
      <c r="H28" s="495">
        <v>51</v>
      </c>
      <c r="I28" s="495" t="s">
        <v>14</v>
      </c>
      <c r="J28" s="496">
        <v>1026</v>
      </c>
      <c r="K28" s="495">
        <v>60</v>
      </c>
      <c r="L28" s="496">
        <v>61560</v>
      </c>
      <c r="M28" s="496">
        <v>72025.2</v>
      </c>
      <c r="N28" s="494" t="s">
        <v>1143</v>
      </c>
      <c r="O28" s="561"/>
      <c r="P28" s="561"/>
      <c r="Q28" s="648"/>
      <c r="R28" s="605"/>
      <c r="S28" s="569"/>
    </row>
    <row r="29" spans="1:19" ht="26.45" customHeight="1" x14ac:dyDescent="0.2">
      <c r="A29" s="594"/>
      <c r="B29" s="596"/>
      <c r="C29" s="640"/>
      <c r="D29" s="599"/>
      <c r="E29" s="643"/>
      <c r="F29" s="646"/>
      <c r="G29" s="495" t="s">
        <v>1404</v>
      </c>
      <c r="H29" s="495">
        <v>52</v>
      </c>
      <c r="I29" s="495" t="s">
        <v>14</v>
      </c>
      <c r="J29" s="496">
        <v>1000</v>
      </c>
      <c r="K29" s="495">
        <v>60</v>
      </c>
      <c r="L29" s="496">
        <v>60000</v>
      </c>
      <c r="M29" s="496">
        <v>70200</v>
      </c>
      <c r="N29" s="19" t="s">
        <v>1143</v>
      </c>
      <c r="O29" s="562"/>
      <c r="P29" s="562"/>
      <c r="Q29" s="649"/>
      <c r="R29" s="606"/>
      <c r="S29" s="570"/>
    </row>
    <row r="30" spans="1:19" ht="14.25" customHeight="1" x14ac:dyDescent="0.2">
      <c r="A30" s="595"/>
      <c r="B30" s="581" t="s">
        <v>1416</v>
      </c>
      <c r="C30" s="582"/>
      <c r="D30" s="582"/>
      <c r="E30" s="582"/>
      <c r="F30" s="582"/>
      <c r="G30" s="555"/>
      <c r="H30" s="555"/>
      <c r="I30" s="555"/>
      <c r="J30" s="555"/>
      <c r="K30" s="555"/>
      <c r="L30" s="555"/>
      <c r="M30" s="555"/>
      <c r="N30" s="582"/>
      <c r="O30" s="582"/>
      <c r="P30" s="582"/>
      <c r="Q30" s="582"/>
      <c r="R30" s="582"/>
      <c r="S30" s="582"/>
    </row>
    <row r="31" spans="1:19" ht="15.75" x14ac:dyDescent="0.2">
      <c r="A31" s="556" t="s">
        <v>1412</v>
      </c>
      <c r="B31" s="557"/>
      <c r="C31" s="557"/>
      <c r="D31" s="557"/>
      <c r="E31" s="557"/>
      <c r="F31" s="557"/>
      <c r="G31" s="557"/>
      <c r="H31" s="557"/>
      <c r="I31" s="557"/>
      <c r="J31" s="557"/>
      <c r="K31" s="557"/>
      <c r="L31" s="557"/>
      <c r="M31" s="557"/>
      <c r="N31" s="557"/>
      <c r="O31" s="557"/>
      <c r="P31" s="557"/>
      <c r="Q31" s="557"/>
      <c r="R31" s="557"/>
      <c r="S31" s="557"/>
    </row>
    <row r="32" spans="1:19" ht="25.5" customHeight="1" x14ac:dyDescent="0.2">
      <c r="A32" s="593">
        <v>5</v>
      </c>
      <c r="B32" s="585" t="s">
        <v>1417</v>
      </c>
      <c r="C32" s="638" t="s">
        <v>1401</v>
      </c>
      <c r="D32" s="597">
        <v>1722100781</v>
      </c>
      <c r="E32" s="641" t="s">
        <v>67</v>
      </c>
      <c r="F32" s="644" t="s">
        <v>64</v>
      </c>
      <c r="G32" s="159" t="s">
        <v>1418</v>
      </c>
      <c r="H32" s="159">
        <v>100</v>
      </c>
      <c r="I32" s="159" t="s">
        <v>14</v>
      </c>
      <c r="J32" s="160">
        <v>1962</v>
      </c>
      <c r="K32" s="159">
        <v>5</v>
      </c>
      <c r="L32" s="160">
        <v>9810</v>
      </c>
      <c r="M32" s="160">
        <v>11477.699999999999</v>
      </c>
      <c r="N32" s="13" t="s">
        <v>1111</v>
      </c>
      <c r="O32" s="560" t="s">
        <v>15</v>
      </c>
      <c r="P32" s="560" t="s">
        <v>97</v>
      </c>
      <c r="Q32" s="647"/>
      <c r="R32" s="604">
        <f>M32*(100-Q32)/100</f>
        <v>11477.7</v>
      </c>
      <c r="S32" s="568" t="s">
        <v>18</v>
      </c>
    </row>
    <row r="33" spans="1:19" ht="25.5" customHeight="1" x14ac:dyDescent="0.2">
      <c r="A33" s="594"/>
      <c r="B33" s="586"/>
      <c r="C33" s="639"/>
      <c r="D33" s="598"/>
      <c r="E33" s="642"/>
      <c r="F33" s="645"/>
      <c r="G33" s="495" t="s">
        <v>1419</v>
      </c>
      <c r="H33" s="495">
        <v>73</v>
      </c>
      <c r="I33" s="495" t="s">
        <v>14</v>
      </c>
      <c r="J33" s="496">
        <v>2500</v>
      </c>
      <c r="K33" s="495">
        <v>5</v>
      </c>
      <c r="L33" s="496">
        <v>12500</v>
      </c>
      <c r="M33" s="496">
        <v>14625</v>
      </c>
      <c r="N33" s="494" t="s">
        <v>1143</v>
      </c>
      <c r="O33" s="561"/>
      <c r="P33" s="561"/>
      <c r="Q33" s="648"/>
      <c r="R33" s="605"/>
      <c r="S33" s="569"/>
    </row>
    <row r="34" spans="1:19" ht="26.45" customHeight="1" x14ac:dyDescent="0.2">
      <c r="A34" s="594"/>
      <c r="B34" s="596"/>
      <c r="C34" s="640"/>
      <c r="D34" s="599"/>
      <c r="E34" s="643"/>
      <c r="F34" s="646"/>
      <c r="G34" s="495" t="s">
        <v>1420</v>
      </c>
      <c r="H34" s="495">
        <v>49</v>
      </c>
      <c r="I34" s="495" t="s">
        <v>14</v>
      </c>
      <c r="J34" s="496">
        <v>4500</v>
      </c>
      <c r="K34" s="495">
        <v>5</v>
      </c>
      <c r="L34" s="496">
        <v>22500</v>
      </c>
      <c r="M34" s="496">
        <v>26325</v>
      </c>
      <c r="N34" s="19" t="s">
        <v>1143</v>
      </c>
      <c r="O34" s="562"/>
      <c r="P34" s="562"/>
      <c r="Q34" s="649"/>
      <c r="R34" s="606"/>
      <c r="S34" s="570"/>
    </row>
    <row r="35" spans="1:19" ht="14.25" customHeight="1" x14ac:dyDescent="0.2">
      <c r="A35" s="595"/>
      <c r="B35" s="581"/>
      <c r="C35" s="582"/>
      <c r="D35" s="582"/>
      <c r="E35" s="582"/>
      <c r="F35" s="582"/>
      <c r="G35" s="555"/>
      <c r="H35" s="555"/>
      <c r="I35" s="555"/>
      <c r="J35" s="555"/>
      <c r="K35" s="555"/>
      <c r="L35" s="555"/>
      <c r="M35" s="555"/>
      <c r="N35" s="582"/>
      <c r="O35" s="582"/>
      <c r="P35" s="582"/>
      <c r="Q35" s="582"/>
      <c r="R35" s="582"/>
      <c r="S35" s="582"/>
    </row>
    <row r="36" spans="1:19" ht="15.75" x14ac:dyDescent="0.2">
      <c r="A36" s="556" t="s">
        <v>1412</v>
      </c>
      <c r="B36" s="557"/>
      <c r="C36" s="557"/>
      <c r="D36" s="557"/>
      <c r="E36" s="557"/>
      <c r="F36" s="557"/>
      <c r="G36" s="557"/>
      <c r="H36" s="557"/>
      <c r="I36" s="557"/>
      <c r="J36" s="557"/>
      <c r="K36" s="557"/>
      <c r="L36" s="557"/>
      <c r="M36" s="557"/>
      <c r="N36" s="557"/>
      <c r="O36" s="557"/>
      <c r="P36" s="557"/>
      <c r="Q36" s="557"/>
      <c r="R36" s="557"/>
      <c r="S36" s="557"/>
    </row>
    <row r="37" spans="1:19" ht="25.5" customHeight="1" x14ac:dyDescent="0.2">
      <c r="A37" s="593">
        <v>5</v>
      </c>
      <c r="B37" s="585" t="s">
        <v>1421</v>
      </c>
      <c r="C37" s="638" t="s">
        <v>1401</v>
      </c>
      <c r="D37" s="597">
        <v>1722100781</v>
      </c>
      <c r="E37" s="641" t="s">
        <v>67</v>
      </c>
      <c r="F37" s="644" t="s">
        <v>64</v>
      </c>
      <c r="G37" s="159" t="s">
        <v>1422</v>
      </c>
      <c r="H37" s="159">
        <v>100</v>
      </c>
      <c r="I37" s="159" t="s">
        <v>14</v>
      </c>
      <c r="J37" s="160">
        <v>891</v>
      </c>
      <c r="K37" s="159">
        <v>8</v>
      </c>
      <c r="L37" s="160">
        <v>7128</v>
      </c>
      <c r="M37" s="160">
        <v>8339.76</v>
      </c>
      <c r="N37" s="13" t="s">
        <v>1111</v>
      </c>
      <c r="O37" s="560" t="s">
        <v>15</v>
      </c>
      <c r="P37" s="560" t="s">
        <v>97</v>
      </c>
      <c r="Q37" s="647"/>
      <c r="R37" s="604">
        <f>M37*(100-Q37)/100</f>
        <v>8339.76</v>
      </c>
      <c r="S37" s="568" t="s">
        <v>18</v>
      </c>
    </row>
    <row r="38" spans="1:19" ht="25.5" customHeight="1" x14ac:dyDescent="0.2">
      <c r="A38" s="594"/>
      <c r="B38" s="586"/>
      <c r="C38" s="639"/>
      <c r="D38" s="598"/>
      <c r="E38" s="642"/>
      <c r="F38" s="645"/>
      <c r="G38" s="495" t="s">
        <v>1423</v>
      </c>
      <c r="H38" s="495">
        <v>60</v>
      </c>
      <c r="I38" s="495" t="s">
        <v>14</v>
      </c>
      <c r="J38" s="496">
        <v>1500</v>
      </c>
      <c r="K38" s="495">
        <v>8</v>
      </c>
      <c r="L38" s="496">
        <v>12000</v>
      </c>
      <c r="M38" s="496">
        <v>14040</v>
      </c>
      <c r="N38" s="494" t="s">
        <v>1143</v>
      </c>
      <c r="O38" s="561"/>
      <c r="P38" s="561"/>
      <c r="Q38" s="648"/>
      <c r="R38" s="605"/>
      <c r="S38" s="569"/>
    </row>
    <row r="39" spans="1:19" ht="26.45" customHeight="1" x14ac:dyDescent="0.2">
      <c r="A39" s="594"/>
      <c r="B39" s="596"/>
      <c r="C39" s="640"/>
      <c r="D39" s="599"/>
      <c r="E39" s="643"/>
      <c r="F39" s="646"/>
      <c r="G39" s="495" t="s">
        <v>1424</v>
      </c>
      <c r="H39" s="495">
        <v>55</v>
      </c>
      <c r="I39" s="495" t="s">
        <v>14</v>
      </c>
      <c r="J39" s="496">
        <v>1452.99</v>
      </c>
      <c r="K39" s="495">
        <v>8</v>
      </c>
      <c r="L39" s="496">
        <v>11623.92</v>
      </c>
      <c r="M39" s="496">
        <v>13599.9864</v>
      </c>
      <c r="N39" s="19" t="s">
        <v>1143</v>
      </c>
      <c r="O39" s="562"/>
      <c r="P39" s="562"/>
      <c r="Q39" s="649"/>
      <c r="R39" s="606"/>
      <c r="S39" s="570"/>
    </row>
    <row r="40" spans="1:19" ht="14.25" customHeight="1" x14ac:dyDescent="0.2">
      <c r="A40" s="595"/>
      <c r="B40" s="581"/>
      <c r="C40" s="582"/>
      <c r="D40" s="582"/>
      <c r="E40" s="582"/>
      <c r="F40" s="582"/>
      <c r="G40" s="555"/>
      <c r="H40" s="555"/>
      <c r="I40" s="555"/>
      <c r="J40" s="555"/>
      <c r="K40" s="555"/>
      <c r="L40" s="555"/>
      <c r="M40" s="555"/>
      <c r="N40" s="582"/>
      <c r="O40" s="582"/>
      <c r="P40" s="582"/>
      <c r="Q40" s="582"/>
      <c r="R40" s="582"/>
      <c r="S40" s="582"/>
    </row>
    <row r="41" spans="1:19" ht="14.25" customHeight="1" x14ac:dyDescent="0.2">
      <c r="A41" s="188"/>
      <c r="B41" s="189"/>
      <c r="C41" s="189"/>
      <c r="D41" s="189"/>
      <c r="E41" s="189"/>
      <c r="F41" s="189"/>
      <c r="G41" s="189"/>
      <c r="H41" s="189"/>
      <c r="I41" s="189"/>
      <c r="J41" s="189"/>
      <c r="K41" s="189"/>
      <c r="L41" s="189"/>
      <c r="M41" s="189"/>
      <c r="N41" s="189"/>
      <c r="O41" s="189"/>
      <c r="P41" s="189"/>
      <c r="Q41" s="189"/>
      <c r="R41" s="189"/>
      <c r="S41" s="189"/>
    </row>
    <row r="42" spans="1:19" ht="15.75" x14ac:dyDescent="0.2">
      <c r="A42" s="268"/>
      <c r="B42" s="269"/>
      <c r="C42" s="269"/>
      <c r="D42" s="269"/>
      <c r="E42" s="269"/>
      <c r="F42" s="269"/>
      <c r="G42" s="269"/>
      <c r="H42" s="269"/>
      <c r="I42" s="269"/>
      <c r="J42" s="269"/>
      <c r="K42" s="269"/>
      <c r="L42" s="269"/>
      <c r="M42" s="269"/>
      <c r="N42" s="269"/>
      <c r="O42" s="269"/>
      <c r="P42" s="269"/>
      <c r="Q42" s="269"/>
      <c r="R42" s="269"/>
      <c r="S42" s="269"/>
    </row>
    <row r="43" spans="1:19" x14ac:dyDescent="0.2">
      <c r="B43" s="23"/>
    </row>
  </sheetData>
  <dataConsolidate/>
  <mergeCells count="96">
    <mergeCell ref="A36:S36"/>
    <mergeCell ref="A37:A40"/>
    <mergeCell ref="B37:B39"/>
    <mergeCell ref="C37:C39"/>
    <mergeCell ref="D37:D39"/>
    <mergeCell ref="E37:E39"/>
    <mergeCell ref="F37:F39"/>
    <mergeCell ref="O37:O39"/>
    <mergeCell ref="P37:P39"/>
    <mergeCell ref="Q37:Q39"/>
    <mergeCell ref="R37:R39"/>
    <mergeCell ref="S37:S39"/>
    <mergeCell ref="B40:S40"/>
    <mergeCell ref="A31:S31"/>
    <mergeCell ref="A32:A35"/>
    <mergeCell ref="B32:B34"/>
    <mergeCell ref="C32:C34"/>
    <mergeCell ref="D32:D34"/>
    <mergeCell ref="E32:E34"/>
    <mergeCell ref="F32:F34"/>
    <mergeCell ref="O32:O34"/>
    <mergeCell ref="P32:P34"/>
    <mergeCell ref="Q32:Q34"/>
    <mergeCell ref="R32:R34"/>
    <mergeCell ref="S32:S34"/>
    <mergeCell ref="B35:S35"/>
    <mergeCell ref="A26:S26"/>
    <mergeCell ref="A27:A30"/>
    <mergeCell ref="B27:B29"/>
    <mergeCell ref="C27:C29"/>
    <mergeCell ref="D27:D29"/>
    <mergeCell ref="E27:E29"/>
    <mergeCell ref="F27:F29"/>
    <mergeCell ref="O27:O29"/>
    <mergeCell ref="P27:P29"/>
    <mergeCell ref="Q27:Q29"/>
    <mergeCell ref="R27:R29"/>
    <mergeCell ref="S27:S29"/>
    <mergeCell ref="B30:S30"/>
    <mergeCell ref="A21:S21"/>
    <mergeCell ref="A22:A25"/>
    <mergeCell ref="B22:B24"/>
    <mergeCell ref="C22:C24"/>
    <mergeCell ref="D22:D24"/>
    <mergeCell ref="E22:E24"/>
    <mergeCell ref="F22:F24"/>
    <mergeCell ref="O22:O24"/>
    <mergeCell ref="P22:P24"/>
    <mergeCell ref="Q22:Q24"/>
    <mergeCell ref="R22:R24"/>
    <mergeCell ref="S22:S24"/>
    <mergeCell ref="B25:S25"/>
    <mergeCell ref="B1:S1"/>
    <mergeCell ref="B2:S2"/>
    <mergeCell ref="B3:S3"/>
    <mergeCell ref="B4:S4"/>
    <mergeCell ref="B5:S5"/>
    <mergeCell ref="R8:R9"/>
    <mergeCell ref="S8:S9"/>
    <mergeCell ref="B10:S10"/>
    <mergeCell ref="A7:S7"/>
    <mergeCell ref="A8:A10"/>
    <mergeCell ref="B8:B9"/>
    <mergeCell ref="C8:C9"/>
    <mergeCell ref="D8:D9"/>
    <mergeCell ref="E8:E9"/>
    <mergeCell ref="F8:F9"/>
    <mergeCell ref="O8:O9"/>
    <mergeCell ref="P8:P9"/>
    <mergeCell ref="Q8:Q9"/>
    <mergeCell ref="A11:S11"/>
    <mergeCell ref="A12:A15"/>
    <mergeCell ref="B12:B14"/>
    <mergeCell ref="C12:C14"/>
    <mergeCell ref="D12:D14"/>
    <mergeCell ref="E12:E14"/>
    <mergeCell ref="F12:F14"/>
    <mergeCell ref="O12:O14"/>
    <mergeCell ref="P12:P14"/>
    <mergeCell ref="Q12:Q14"/>
    <mergeCell ref="R12:R14"/>
    <mergeCell ref="S12:S14"/>
    <mergeCell ref="B15:S15"/>
    <mergeCell ref="A16:S16"/>
    <mergeCell ref="A17:A20"/>
    <mergeCell ref="B17:B19"/>
    <mergeCell ref="C17:C19"/>
    <mergeCell ref="D17:D19"/>
    <mergeCell ref="E17:E19"/>
    <mergeCell ref="F17:F19"/>
    <mergeCell ref="O17:O19"/>
    <mergeCell ref="P17:P19"/>
    <mergeCell ref="Q17:Q19"/>
    <mergeCell ref="R17:R19"/>
    <mergeCell ref="S17:S19"/>
    <mergeCell ref="B20:S20"/>
  </mergeCells>
  <dataValidations count="2">
    <dataValidation type="list" allowBlank="1" showInputMessage="1" showErrorMessage="1" sqref="F8 F12:F13 F17:F18 F22:F23 F27:F28 F32:F33 F37:F38" xr:uid="{3EC83B92-BD17-4DBA-8332-CA8E36F3B2D6}">
      <formula1>#REF!</formula1>
    </dataValidation>
    <dataValidation type="list" allowBlank="1" showInputMessage="1" showErrorMessage="1" sqref="E8 E12:E13 E17:E18 E22:E23 E27:E28 E32:E33 E37:E38 O8:O9 O12:O14 O17:O19 O22:O24 O27:O29 O32:O34 O37:O39 I8:I9" xr:uid="{DBE59022-8073-4793-B7DD-88F13759C8E2}">
      <formula1>#REF!</formula1>
    </dataValidation>
  </dataValidations>
  <pageMargins left="0.25" right="0.25" top="0.75" bottom="0.75" header="0.3" footer="0.3"/>
  <pageSetup paperSize="9" scale="54"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7DB8B-5368-4FA9-9D50-B697E7003C5A}">
  <sheetPr>
    <pageSetUpPr fitToPage="1"/>
  </sheetPr>
  <dimension ref="A1:U35"/>
  <sheetViews>
    <sheetView rightToLeft="1" zoomScale="102" zoomScaleNormal="102" workbookViewId="0">
      <selection activeCell="H39" sqref="H39"/>
    </sheetView>
  </sheetViews>
  <sheetFormatPr defaultColWidth="8.75" defaultRowHeight="15" x14ac:dyDescent="0.2"/>
  <cols>
    <col min="1" max="1" width="4.25" customWidth="1"/>
    <col min="2" max="2" width="21.125" bestFit="1" customWidth="1"/>
    <col min="4" max="4" width="10.875" bestFit="1" customWidth="1"/>
    <col min="5" max="5" width="11.25" customWidth="1"/>
    <col min="7" max="7" width="16.5" customWidth="1"/>
    <col min="8" max="8" width="7.75" customWidth="1"/>
    <col min="9" max="9" width="10.25" bestFit="1" customWidth="1"/>
    <col min="10" max="10" width="17.875" customWidth="1"/>
    <col min="11" max="11" width="10.25" customWidth="1"/>
    <col min="12" max="12" width="15.625" style="7" customWidth="1"/>
    <col min="13" max="13" width="13.625" style="8" bestFit="1" customWidth="1"/>
    <col min="14" max="14" width="10.875" style="8" customWidth="1"/>
    <col min="15" max="15" width="13.875" customWidth="1"/>
    <col min="16" max="16" width="22.5" style="9" customWidth="1"/>
    <col min="17" max="17" width="12.75" style="9" customWidth="1"/>
    <col min="18" max="18" width="15.625" style="9" bestFit="1" customWidth="1"/>
    <col min="19" max="19" width="10.875" style="247" customWidth="1"/>
  </cols>
  <sheetData>
    <row r="1" spans="1:21" ht="20.25" x14ac:dyDescent="0.2">
      <c r="A1" s="571"/>
      <c r="B1" s="572" t="s">
        <v>1315</v>
      </c>
      <c r="C1" s="572"/>
      <c r="D1" s="572"/>
      <c r="E1" s="572"/>
      <c r="F1" s="572"/>
      <c r="G1" s="572"/>
      <c r="H1" s="572"/>
      <c r="I1" s="572"/>
      <c r="J1" s="572"/>
      <c r="K1" s="572"/>
      <c r="L1" s="572"/>
      <c r="M1" s="572"/>
      <c r="N1" s="572"/>
      <c r="O1" s="572"/>
      <c r="P1" s="572"/>
      <c r="Q1" s="572"/>
      <c r="R1" s="572"/>
      <c r="S1" s="572"/>
    </row>
    <row r="2" spans="1:21" ht="14.25" x14ac:dyDescent="0.2">
      <c r="A2" s="571"/>
      <c r="B2" s="573" t="s">
        <v>1346</v>
      </c>
      <c r="C2" s="573"/>
      <c r="D2" s="573"/>
      <c r="E2" s="573"/>
      <c r="F2" s="573"/>
      <c r="G2" s="573"/>
      <c r="H2" s="573"/>
      <c r="I2" s="573"/>
      <c r="J2" s="573"/>
      <c r="K2" s="573"/>
      <c r="L2" s="573"/>
      <c r="M2" s="573"/>
      <c r="N2" s="573"/>
      <c r="O2" s="573"/>
      <c r="P2" s="573"/>
      <c r="Q2" s="573"/>
      <c r="R2" s="573"/>
      <c r="S2" s="573"/>
    </row>
    <row r="3" spans="1:21" ht="15.75" x14ac:dyDescent="0.2">
      <c r="A3" s="571"/>
      <c r="B3" s="574" t="s">
        <v>795</v>
      </c>
      <c r="C3" s="574"/>
      <c r="D3" s="574"/>
      <c r="E3" s="574"/>
      <c r="F3" s="574"/>
      <c r="G3" s="574"/>
      <c r="H3" s="574"/>
      <c r="I3" s="574"/>
      <c r="J3" s="574"/>
      <c r="K3" s="574"/>
      <c r="L3" s="574"/>
      <c r="M3" s="574"/>
      <c r="N3" s="574"/>
      <c r="O3" s="574"/>
      <c r="P3" s="574"/>
      <c r="Q3" s="574"/>
      <c r="R3" s="574"/>
      <c r="S3" s="574"/>
    </row>
    <row r="4" spans="1:21" ht="14.25" x14ac:dyDescent="0.2">
      <c r="A4" s="571"/>
      <c r="B4" s="575" t="s">
        <v>52</v>
      </c>
      <c r="C4" s="575"/>
      <c r="D4" s="575"/>
      <c r="E4" s="575"/>
      <c r="F4" s="575"/>
      <c r="G4" s="575"/>
      <c r="H4" s="575"/>
      <c r="I4" s="575"/>
      <c r="J4" s="575"/>
      <c r="K4" s="575"/>
      <c r="L4" s="575"/>
      <c r="M4" s="575"/>
      <c r="N4" s="575"/>
      <c r="O4" s="575"/>
      <c r="P4" s="575"/>
      <c r="Q4" s="575"/>
      <c r="R4" s="575"/>
      <c r="S4" s="575"/>
    </row>
    <row r="5" spans="1:21" ht="14.25" x14ac:dyDescent="0.2">
      <c r="A5" s="571"/>
      <c r="B5" s="575" t="s">
        <v>51</v>
      </c>
      <c r="C5" s="575"/>
      <c r="D5" s="575"/>
      <c r="E5" s="575"/>
      <c r="F5" s="575"/>
      <c r="G5" s="575"/>
      <c r="H5" s="575"/>
      <c r="I5" s="575"/>
      <c r="J5" s="575"/>
      <c r="K5" s="575"/>
      <c r="L5" s="575"/>
      <c r="M5" s="575"/>
      <c r="N5" s="575"/>
      <c r="O5" s="575"/>
      <c r="P5" s="575"/>
      <c r="Q5" s="575"/>
      <c r="R5" s="575"/>
      <c r="S5" s="575"/>
    </row>
    <row r="6" spans="1:21" s="307" customFormat="1" ht="63" x14ac:dyDescent="0.2">
      <c r="A6" s="571"/>
      <c r="B6" s="35" t="s">
        <v>0</v>
      </c>
      <c r="C6" s="35" t="s">
        <v>1</v>
      </c>
      <c r="D6" s="35" t="s">
        <v>830</v>
      </c>
      <c r="E6" s="35" t="s">
        <v>35</v>
      </c>
      <c r="F6" s="35" t="s">
        <v>831</v>
      </c>
      <c r="G6" s="35" t="s">
        <v>2</v>
      </c>
      <c r="H6" s="35" t="s">
        <v>3</v>
      </c>
      <c r="I6" s="35" t="s">
        <v>832</v>
      </c>
      <c r="J6" s="35" t="s">
        <v>833</v>
      </c>
      <c r="K6" s="308" t="s">
        <v>834</v>
      </c>
      <c r="L6" s="309" t="s">
        <v>835</v>
      </c>
      <c r="M6" s="310" t="s">
        <v>836</v>
      </c>
      <c r="N6" s="35" t="s">
        <v>8</v>
      </c>
      <c r="O6" s="35" t="s">
        <v>9</v>
      </c>
      <c r="P6" s="35" t="s">
        <v>95</v>
      </c>
      <c r="Q6" s="35" t="s">
        <v>837</v>
      </c>
      <c r="R6" s="479" t="s">
        <v>729</v>
      </c>
      <c r="S6" s="35" t="s">
        <v>10</v>
      </c>
    </row>
    <row r="7" spans="1:21" s="419" customFormat="1" ht="12.75" x14ac:dyDescent="0.2">
      <c r="A7" s="576" t="s">
        <v>1316</v>
      </c>
      <c r="B7" s="577"/>
      <c r="C7" s="577"/>
      <c r="D7" s="577"/>
      <c r="E7" s="577"/>
      <c r="F7" s="577"/>
      <c r="G7" s="577"/>
      <c r="H7" s="577"/>
      <c r="I7" s="577"/>
      <c r="J7" s="577"/>
      <c r="K7" s="577"/>
      <c r="L7" s="577"/>
      <c r="M7" s="577"/>
      <c r="N7" s="577"/>
      <c r="O7" s="577"/>
      <c r="P7" s="577"/>
      <c r="Q7" s="577"/>
      <c r="R7" s="577"/>
      <c r="S7" s="578"/>
    </row>
    <row r="8" spans="1:21" s="419" customFormat="1" ht="38.25" x14ac:dyDescent="0.2">
      <c r="A8" s="579">
        <v>1</v>
      </c>
      <c r="B8" s="474" t="s">
        <v>1318</v>
      </c>
      <c r="C8" s="474" t="s">
        <v>1280</v>
      </c>
      <c r="D8" s="474">
        <v>1960000750</v>
      </c>
      <c r="E8" s="478" t="s">
        <v>37</v>
      </c>
      <c r="F8" s="478" t="s">
        <v>62</v>
      </c>
      <c r="G8" s="13" t="s">
        <v>1317</v>
      </c>
      <c r="H8" s="14">
        <v>100</v>
      </c>
      <c r="I8" s="15" t="s">
        <v>14</v>
      </c>
      <c r="J8" s="18">
        <f>6410.26</f>
        <v>6410.26</v>
      </c>
      <c r="K8" s="364">
        <v>1</v>
      </c>
      <c r="L8" s="36">
        <f t="shared" ref="L8" si="0">J8*K8</f>
        <v>6410.26</v>
      </c>
      <c r="M8" s="18">
        <f t="shared" ref="M8" si="1">L8*1.17</f>
        <v>7500.0041999999994</v>
      </c>
      <c r="N8" s="13" t="s">
        <v>1111</v>
      </c>
      <c r="O8" s="386" t="s">
        <v>116</v>
      </c>
      <c r="P8" s="473" t="s">
        <v>1342</v>
      </c>
      <c r="Q8" s="473"/>
      <c r="R8" s="487">
        <f>M8*(100-Q8)/100</f>
        <v>7500.0041999999994</v>
      </c>
      <c r="S8" s="420" t="s">
        <v>18</v>
      </c>
      <c r="T8" s="421"/>
      <c r="U8" s="11"/>
    </row>
    <row r="9" spans="1:21" s="419" customFormat="1" ht="12.75" x14ac:dyDescent="0.2">
      <c r="A9" s="580"/>
      <c r="B9" s="581" t="s">
        <v>1319</v>
      </c>
      <c r="C9" s="582"/>
      <c r="D9" s="582"/>
      <c r="E9" s="582"/>
      <c r="F9" s="582"/>
      <c r="G9" s="582"/>
      <c r="H9" s="582"/>
      <c r="I9" s="582"/>
      <c r="J9" s="582"/>
      <c r="K9" s="582"/>
      <c r="L9" s="582"/>
      <c r="M9" s="582"/>
      <c r="N9" s="582"/>
      <c r="O9" s="582"/>
      <c r="P9" s="582"/>
      <c r="Q9" s="582"/>
      <c r="R9" s="582"/>
      <c r="S9" s="583"/>
    </row>
    <row r="10" spans="1:21" ht="15.75" x14ac:dyDescent="0.2">
      <c r="A10" s="556" t="s">
        <v>1321</v>
      </c>
      <c r="B10" s="557"/>
      <c r="C10" s="557"/>
      <c r="D10" s="557"/>
      <c r="E10" s="557"/>
      <c r="F10" s="557"/>
      <c r="G10" s="557"/>
      <c r="H10" s="557"/>
      <c r="I10" s="557"/>
      <c r="J10" s="557"/>
      <c r="K10" s="557"/>
      <c r="L10" s="557"/>
      <c r="M10" s="557"/>
      <c r="N10" s="557"/>
      <c r="O10" s="557"/>
      <c r="P10" s="557"/>
      <c r="Q10" s="557"/>
      <c r="R10" s="557"/>
      <c r="S10" s="557"/>
    </row>
    <row r="11" spans="1:21" ht="76.5" x14ac:dyDescent="0.2">
      <c r="A11" s="593">
        <v>2</v>
      </c>
      <c r="B11" s="476" t="s">
        <v>1320</v>
      </c>
      <c r="C11" s="477" t="s">
        <v>69</v>
      </c>
      <c r="D11" s="477">
        <v>2130192750</v>
      </c>
      <c r="E11" s="478" t="s">
        <v>57</v>
      </c>
      <c r="F11" s="478" t="s">
        <v>56</v>
      </c>
      <c r="G11" s="13" t="s">
        <v>1323</v>
      </c>
      <c r="H11" s="14">
        <v>100</v>
      </c>
      <c r="I11" s="15" t="s">
        <v>14</v>
      </c>
      <c r="J11" s="18">
        <v>68375</v>
      </c>
      <c r="K11" s="364">
        <v>1</v>
      </c>
      <c r="L11" s="36">
        <f>K11*J11</f>
        <v>68375</v>
      </c>
      <c r="M11" s="18">
        <f>L11*117/100</f>
        <v>79998.75</v>
      </c>
      <c r="N11" s="13" t="s">
        <v>1111</v>
      </c>
      <c r="O11" s="386" t="s">
        <v>116</v>
      </c>
      <c r="P11" s="475" t="s">
        <v>97</v>
      </c>
      <c r="Q11" s="235"/>
      <c r="R11" s="487">
        <f>M11*(100-Q11)/100</f>
        <v>79998.75</v>
      </c>
      <c r="S11" s="480" t="s">
        <v>18</v>
      </c>
      <c r="T11" s="247"/>
      <c r="U11" s="11"/>
    </row>
    <row r="12" spans="1:21" ht="15" customHeight="1" x14ac:dyDescent="0.2">
      <c r="A12" s="595"/>
      <c r="B12" s="581" t="s">
        <v>1322</v>
      </c>
      <c r="C12" s="582"/>
      <c r="D12" s="582"/>
      <c r="E12" s="582"/>
      <c r="F12" s="582"/>
      <c r="G12" s="582"/>
      <c r="H12" s="582"/>
      <c r="I12" s="582"/>
      <c r="J12" s="582"/>
      <c r="K12" s="582"/>
      <c r="L12" s="582"/>
      <c r="M12" s="582"/>
      <c r="N12" s="582"/>
      <c r="O12" s="582"/>
      <c r="P12" s="582"/>
      <c r="Q12" s="582"/>
      <c r="R12" s="582"/>
      <c r="S12" s="582"/>
    </row>
    <row r="13" spans="1:21" ht="15.75" x14ac:dyDescent="0.2">
      <c r="A13" s="556" t="s">
        <v>1325</v>
      </c>
      <c r="B13" s="557"/>
      <c r="C13" s="557"/>
      <c r="D13" s="557"/>
      <c r="E13" s="557"/>
      <c r="F13" s="557"/>
      <c r="G13" s="557"/>
      <c r="H13" s="557"/>
      <c r="I13" s="557"/>
      <c r="J13" s="557"/>
      <c r="K13" s="557"/>
      <c r="L13" s="557"/>
      <c r="M13" s="557"/>
      <c r="N13" s="557"/>
      <c r="O13" s="557"/>
      <c r="P13" s="557"/>
      <c r="Q13" s="557"/>
      <c r="R13" s="557"/>
      <c r="S13" s="557"/>
    </row>
    <row r="14" spans="1:21" ht="25.5" customHeight="1" x14ac:dyDescent="0.2">
      <c r="A14" s="558">
        <v>3</v>
      </c>
      <c r="B14" s="559" t="s">
        <v>1324</v>
      </c>
      <c r="C14" s="559" t="s">
        <v>69</v>
      </c>
      <c r="D14" s="597">
        <v>2130202750</v>
      </c>
      <c r="E14" s="641" t="s">
        <v>57</v>
      </c>
      <c r="F14" s="641" t="s">
        <v>56</v>
      </c>
      <c r="G14" s="26" t="s">
        <v>1326</v>
      </c>
      <c r="H14" s="27">
        <v>100</v>
      </c>
      <c r="I14" s="28" t="s">
        <v>14</v>
      </c>
      <c r="J14" s="486">
        <v>94200</v>
      </c>
      <c r="K14" s="488">
        <v>1</v>
      </c>
      <c r="L14" s="486">
        <f>J14*K14</f>
        <v>94200</v>
      </c>
      <c r="M14" s="486">
        <f>L14*117/100</f>
        <v>110214</v>
      </c>
      <c r="N14" s="26" t="s">
        <v>1111</v>
      </c>
      <c r="O14" s="560" t="s">
        <v>15</v>
      </c>
      <c r="P14" s="563" t="s">
        <v>1343</v>
      </c>
      <c r="Q14" s="564"/>
      <c r="R14" s="604">
        <f>M14*(100-Q14)/100</f>
        <v>110214</v>
      </c>
      <c r="S14" s="568" t="s">
        <v>18</v>
      </c>
    </row>
    <row r="15" spans="1:21" ht="26.45" customHeight="1" x14ac:dyDescent="0.2">
      <c r="A15" s="558"/>
      <c r="B15" s="559"/>
      <c r="C15" s="559"/>
      <c r="D15" s="598"/>
      <c r="E15" s="642"/>
      <c r="F15" s="642"/>
      <c r="G15" s="485" t="s">
        <v>1327</v>
      </c>
      <c r="H15" s="481">
        <v>88</v>
      </c>
      <c r="I15" s="34" t="s">
        <v>14</v>
      </c>
      <c r="J15" s="12">
        <v>125500</v>
      </c>
      <c r="K15" s="365">
        <v>1</v>
      </c>
      <c r="L15" s="12">
        <f>J15*K15</f>
        <v>125500</v>
      </c>
      <c r="M15" s="12">
        <f>L15</f>
        <v>125500</v>
      </c>
      <c r="N15" s="19" t="s">
        <v>1111</v>
      </c>
      <c r="O15" s="561"/>
      <c r="P15" s="563"/>
      <c r="Q15" s="564"/>
      <c r="R15" s="605"/>
      <c r="S15" s="569"/>
    </row>
    <row r="16" spans="1:21" ht="14.25" customHeight="1" x14ac:dyDescent="0.2">
      <c r="A16" s="558"/>
      <c r="B16" s="581" t="s">
        <v>1328</v>
      </c>
      <c r="C16" s="582"/>
      <c r="D16" s="582"/>
      <c r="E16" s="582"/>
      <c r="F16" s="582"/>
      <c r="G16" s="582"/>
      <c r="H16" s="582"/>
      <c r="I16" s="582"/>
      <c r="J16" s="582"/>
      <c r="K16" s="582"/>
      <c r="L16" s="582"/>
      <c r="M16" s="582"/>
      <c r="N16" s="582"/>
      <c r="O16" s="582"/>
      <c r="P16" s="582"/>
      <c r="Q16" s="582"/>
      <c r="R16" s="582"/>
      <c r="S16" s="582"/>
    </row>
    <row r="17" spans="1:21" s="419" customFormat="1" ht="12.75" x14ac:dyDescent="0.2">
      <c r="A17" s="576" t="s">
        <v>1329</v>
      </c>
      <c r="B17" s="577"/>
      <c r="C17" s="577"/>
      <c r="D17" s="577"/>
      <c r="E17" s="577"/>
      <c r="F17" s="577"/>
      <c r="G17" s="577"/>
      <c r="H17" s="577"/>
      <c r="I17" s="577"/>
      <c r="J17" s="577"/>
      <c r="K17" s="577"/>
      <c r="L17" s="577"/>
      <c r="M17" s="577"/>
      <c r="N17" s="577"/>
      <c r="O17" s="577"/>
      <c r="P17" s="577"/>
      <c r="Q17" s="577"/>
      <c r="R17" s="577"/>
      <c r="S17" s="578"/>
    </row>
    <row r="18" spans="1:21" s="419" customFormat="1" ht="63.75" x14ac:dyDescent="0.2">
      <c r="A18" s="579">
        <v>4</v>
      </c>
      <c r="B18" s="483" t="s">
        <v>1332</v>
      </c>
      <c r="C18" s="483" t="s">
        <v>1334</v>
      </c>
      <c r="D18" s="483"/>
      <c r="E18" s="484" t="s">
        <v>68</v>
      </c>
      <c r="F18" s="484" t="s">
        <v>54</v>
      </c>
      <c r="G18" s="13" t="s">
        <v>1333</v>
      </c>
      <c r="H18" s="14">
        <v>100</v>
      </c>
      <c r="I18" s="15" t="s">
        <v>14</v>
      </c>
      <c r="J18" s="15">
        <v>4767</v>
      </c>
      <c r="K18" s="380">
        <v>1</v>
      </c>
      <c r="L18" s="22">
        <v>4767</v>
      </c>
      <c r="M18" s="22">
        <f t="shared" ref="M18" si="2">L18*1.17</f>
        <v>5577.3899999999994</v>
      </c>
      <c r="N18" s="13" t="s">
        <v>1111</v>
      </c>
      <c r="O18" s="386" t="s">
        <v>116</v>
      </c>
      <c r="P18" s="482" t="s">
        <v>97</v>
      </c>
      <c r="Q18" s="482"/>
      <c r="R18" s="487">
        <f>M18*(100-Q18)/100</f>
        <v>5577.39</v>
      </c>
      <c r="S18" s="420"/>
      <c r="T18" s="421"/>
      <c r="U18" s="11"/>
    </row>
    <row r="19" spans="1:21" s="419" customFormat="1" ht="12.75" x14ac:dyDescent="0.2">
      <c r="A19" s="580"/>
      <c r="B19" s="581" t="s">
        <v>1340</v>
      </c>
      <c r="C19" s="582"/>
      <c r="D19" s="582"/>
      <c r="E19" s="582"/>
      <c r="F19" s="582"/>
      <c r="G19" s="582"/>
      <c r="H19" s="582"/>
      <c r="I19" s="582"/>
      <c r="J19" s="582"/>
      <c r="K19" s="582"/>
      <c r="L19" s="582"/>
      <c r="M19" s="582"/>
      <c r="N19" s="582"/>
      <c r="O19" s="582"/>
      <c r="P19" s="582"/>
      <c r="Q19" s="582"/>
      <c r="R19" s="582"/>
      <c r="S19" s="583"/>
    </row>
    <row r="20" spans="1:21" s="419" customFormat="1" ht="12.75" x14ac:dyDescent="0.2">
      <c r="A20" s="576" t="s">
        <v>1330</v>
      </c>
      <c r="B20" s="577"/>
      <c r="C20" s="577"/>
      <c r="D20" s="577"/>
      <c r="E20" s="577"/>
      <c r="F20" s="577"/>
      <c r="G20" s="577"/>
      <c r="H20" s="577"/>
      <c r="I20" s="577"/>
      <c r="J20" s="577"/>
      <c r="K20" s="577"/>
      <c r="L20" s="577"/>
      <c r="M20" s="577"/>
      <c r="N20" s="577"/>
      <c r="O20" s="577"/>
      <c r="P20" s="577"/>
      <c r="Q20" s="577"/>
      <c r="R20" s="577"/>
      <c r="S20" s="578"/>
    </row>
    <row r="21" spans="1:21" s="419" customFormat="1" ht="51" x14ac:dyDescent="0.2">
      <c r="A21" s="579">
        <v>5</v>
      </c>
      <c r="B21" s="483" t="s">
        <v>1344</v>
      </c>
      <c r="C21" s="483" t="s">
        <v>1335</v>
      </c>
      <c r="D21" s="483" t="s">
        <v>1336</v>
      </c>
      <c r="E21" s="484" t="s">
        <v>46</v>
      </c>
      <c r="F21" s="484" t="s">
        <v>54</v>
      </c>
      <c r="G21" s="26" t="s">
        <v>1337</v>
      </c>
      <c r="H21" s="27">
        <v>100</v>
      </c>
      <c r="I21" s="28" t="s">
        <v>847</v>
      </c>
      <c r="J21" s="28">
        <v>1800</v>
      </c>
      <c r="K21" s="488">
        <v>40</v>
      </c>
      <c r="L21" s="384">
        <f>J21*K21</f>
        <v>72000</v>
      </c>
      <c r="M21" s="384">
        <f>L21*1.17</f>
        <v>84240</v>
      </c>
      <c r="N21" s="26" t="s">
        <v>1111</v>
      </c>
      <c r="O21" s="386" t="s">
        <v>116</v>
      </c>
      <c r="P21" s="482" t="s">
        <v>1345</v>
      </c>
      <c r="Q21" s="482"/>
      <c r="R21" s="487">
        <f>(M21*(100-Q21)/100)/2</f>
        <v>42120</v>
      </c>
      <c r="S21" s="420"/>
      <c r="T21" s="421"/>
      <c r="U21" s="11"/>
    </row>
    <row r="22" spans="1:21" s="419" customFormat="1" ht="12.75" x14ac:dyDescent="0.2">
      <c r="A22" s="580"/>
      <c r="B22" s="581" t="s">
        <v>1341</v>
      </c>
      <c r="C22" s="582"/>
      <c r="D22" s="582"/>
      <c r="E22" s="582"/>
      <c r="F22" s="582"/>
      <c r="G22" s="582"/>
      <c r="H22" s="582"/>
      <c r="I22" s="582"/>
      <c r="J22" s="582"/>
      <c r="K22" s="582"/>
      <c r="L22" s="582"/>
      <c r="M22" s="582"/>
      <c r="N22" s="582"/>
      <c r="O22" s="582"/>
      <c r="P22" s="582"/>
      <c r="Q22" s="582"/>
      <c r="R22" s="582"/>
      <c r="S22" s="583"/>
    </row>
    <row r="23" spans="1:21" s="419" customFormat="1" ht="12.75" x14ac:dyDescent="0.2">
      <c r="A23" s="576" t="s">
        <v>1331</v>
      </c>
      <c r="B23" s="577"/>
      <c r="C23" s="577"/>
      <c r="D23" s="577"/>
      <c r="E23" s="577"/>
      <c r="F23" s="577"/>
      <c r="G23" s="577"/>
      <c r="H23" s="577"/>
      <c r="I23" s="577"/>
      <c r="J23" s="577"/>
      <c r="K23" s="577"/>
      <c r="L23" s="577"/>
      <c r="M23" s="577"/>
      <c r="N23" s="577"/>
      <c r="O23" s="577"/>
      <c r="P23" s="577"/>
      <c r="Q23" s="577"/>
      <c r="R23" s="577"/>
      <c r="S23" s="578"/>
    </row>
    <row r="24" spans="1:21" s="419" customFormat="1" ht="12.75" x14ac:dyDescent="0.2">
      <c r="A24" s="579">
        <v>6</v>
      </c>
      <c r="B24" s="585" t="s">
        <v>1338</v>
      </c>
      <c r="C24" s="585" t="s">
        <v>1109</v>
      </c>
      <c r="D24" s="585" t="s">
        <v>1339</v>
      </c>
      <c r="E24" s="641" t="s">
        <v>43</v>
      </c>
      <c r="F24" s="641" t="s">
        <v>54</v>
      </c>
      <c r="G24" s="13" t="s">
        <v>138</v>
      </c>
      <c r="H24" s="14">
        <v>100</v>
      </c>
      <c r="I24" s="15" t="s">
        <v>73</v>
      </c>
      <c r="J24" s="470">
        <v>200</v>
      </c>
      <c r="K24" s="364">
        <v>250</v>
      </c>
      <c r="L24" s="470">
        <v>50000</v>
      </c>
      <c r="M24" s="470">
        <v>58500</v>
      </c>
      <c r="N24" s="13" t="s">
        <v>1111</v>
      </c>
      <c r="O24" s="560" t="s">
        <v>15</v>
      </c>
      <c r="P24" s="560" t="s">
        <v>97</v>
      </c>
      <c r="Q24" s="650"/>
      <c r="R24" s="604">
        <f>M24*(100-Q24)/100</f>
        <v>58500</v>
      </c>
      <c r="S24" s="568"/>
    </row>
    <row r="25" spans="1:21" s="419" customFormat="1" ht="12.75" x14ac:dyDescent="0.2">
      <c r="A25" s="584"/>
      <c r="B25" s="586"/>
      <c r="C25" s="586"/>
      <c r="D25" s="586"/>
      <c r="E25" s="642"/>
      <c r="F25" s="642"/>
      <c r="G25" s="78" t="s">
        <v>1118</v>
      </c>
      <c r="H25" s="79">
        <v>94</v>
      </c>
      <c r="I25" s="118" t="s">
        <v>73</v>
      </c>
      <c r="J25" s="423">
        <v>217</v>
      </c>
      <c r="K25" s="464">
        <v>250</v>
      </c>
      <c r="L25" s="423">
        <v>54250</v>
      </c>
      <c r="M25" s="423">
        <v>63472</v>
      </c>
      <c r="N25" s="78" t="s">
        <v>1111</v>
      </c>
      <c r="O25" s="561"/>
      <c r="P25" s="561"/>
      <c r="Q25" s="651"/>
      <c r="R25" s="605"/>
      <c r="S25" s="569"/>
    </row>
    <row r="26" spans="1:21" s="419" customFormat="1" ht="12.75" x14ac:dyDescent="0.2">
      <c r="A26" s="584"/>
      <c r="B26" s="586"/>
      <c r="C26" s="586"/>
      <c r="D26" s="586"/>
      <c r="E26" s="642"/>
      <c r="F26" s="642"/>
      <c r="G26" s="78" t="s">
        <v>354</v>
      </c>
      <c r="H26" s="79">
        <v>86</v>
      </c>
      <c r="I26" s="118" t="s">
        <v>73</v>
      </c>
      <c r="J26" s="423">
        <v>250</v>
      </c>
      <c r="K26" s="464">
        <v>250</v>
      </c>
      <c r="L26" s="423">
        <v>62500</v>
      </c>
      <c r="M26" s="423">
        <v>73125</v>
      </c>
      <c r="N26" s="78" t="s">
        <v>1111</v>
      </c>
      <c r="O26" s="561"/>
      <c r="P26" s="561"/>
      <c r="Q26" s="651"/>
      <c r="R26" s="605"/>
      <c r="S26" s="569"/>
    </row>
    <row r="27" spans="1:21" s="419" customFormat="1" ht="12.75" x14ac:dyDescent="0.2">
      <c r="A27" s="584"/>
      <c r="B27" s="586"/>
      <c r="C27" s="586"/>
      <c r="D27" s="586"/>
      <c r="E27" s="642"/>
      <c r="F27" s="642"/>
      <c r="G27" s="78" t="s">
        <v>50</v>
      </c>
      <c r="H27" s="79">
        <v>72</v>
      </c>
      <c r="I27" s="118" t="s">
        <v>73</v>
      </c>
      <c r="J27" s="423">
        <v>335</v>
      </c>
      <c r="K27" s="464">
        <v>250</v>
      </c>
      <c r="L27" s="423">
        <v>83750</v>
      </c>
      <c r="M27" s="423">
        <v>97987</v>
      </c>
      <c r="N27" s="78" t="s">
        <v>1111</v>
      </c>
      <c r="O27" s="561"/>
      <c r="P27" s="561"/>
      <c r="Q27" s="651"/>
      <c r="R27" s="605"/>
      <c r="S27" s="569"/>
    </row>
    <row r="28" spans="1:21" s="419" customFormat="1" ht="12.75" x14ac:dyDescent="0.2">
      <c r="A28" s="580"/>
      <c r="B28" s="581"/>
      <c r="C28" s="582"/>
      <c r="D28" s="582"/>
      <c r="E28" s="582"/>
      <c r="F28" s="582"/>
      <c r="G28" s="582"/>
      <c r="H28" s="582"/>
      <c r="I28" s="582"/>
      <c r="J28" s="582"/>
      <c r="K28" s="582"/>
      <c r="L28" s="582"/>
      <c r="M28" s="582"/>
      <c r="N28" s="582"/>
      <c r="O28" s="582"/>
      <c r="P28" s="582"/>
      <c r="Q28" s="582"/>
      <c r="R28" s="582"/>
      <c r="S28" s="583"/>
    </row>
    <row r="29" spans="1:21" s="419" customFormat="1" ht="12.75" x14ac:dyDescent="0.2">
      <c r="A29" s="576" t="s">
        <v>1347</v>
      </c>
      <c r="B29" s="577"/>
      <c r="C29" s="577"/>
      <c r="D29" s="577"/>
      <c r="E29" s="577"/>
      <c r="F29" s="577"/>
      <c r="G29" s="577"/>
      <c r="H29" s="577"/>
      <c r="I29" s="577"/>
      <c r="J29" s="577"/>
      <c r="K29" s="577"/>
      <c r="L29" s="577"/>
      <c r="M29" s="577"/>
      <c r="N29" s="577"/>
      <c r="O29" s="577"/>
      <c r="P29" s="577"/>
      <c r="Q29" s="577"/>
      <c r="R29" s="577"/>
      <c r="S29" s="578"/>
    </row>
    <row r="30" spans="1:21" s="419" customFormat="1" ht="25.5" x14ac:dyDescent="0.2">
      <c r="A30" s="579">
        <v>7</v>
      </c>
      <c r="B30" s="585" t="s">
        <v>1348</v>
      </c>
      <c r="C30" s="585" t="s">
        <v>1174</v>
      </c>
      <c r="D30" s="585" t="s">
        <v>1339</v>
      </c>
      <c r="E30" s="641" t="s">
        <v>66</v>
      </c>
      <c r="F30" s="641" t="s">
        <v>134</v>
      </c>
      <c r="G30" s="13" t="s">
        <v>1349</v>
      </c>
      <c r="H30" s="14">
        <v>100</v>
      </c>
      <c r="I30" s="15" t="s">
        <v>129</v>
      </c>
      <c r="J30" s="470">
        <v>2564</v>
      </c>
      <c r="K30" s="364">
        <v>3</v>
      </c>
      <c r="L30" s="470">
        <v>7692</v>
      </c>
      <c r="M30" s="470">
        <v>9000</v>
      </c>
      <c r="N30" s="13" t="s">
        <v>1111</v>
      </c>
      <c r="O30" s="560" t="s">
        <v>15</v>
      </c>
      <c r="P30" s="560" t="s">
        <v>97</v>
      </c>
      <c r="Q30" s="650"/>
      <c r="R30" s="604">
        <f>M30*(100-Q30)/100</f>
        <v>9000</v>
      </c>
      <c r="S30" s="568" t="s">
        <v>18</v>
      </c>
    </row>
    <row r="31" spans="1:21" s="419" customFormat="1" ht="12.75" x14ac:dyDescent="0.2">
      <c r="A31" s="584"/>
      <c r="B31" s="586"/>
      <c r="C31" s="586"/>
      <c r="D31" s="586"/>
      <c r="E31" s="642"/>
      <c r="F31" s="642"/>
      <c r="G31" s="78" t="s">
        <v>1350</v>
      </c>
      <c r="H31" s="79">
        <v>82</v>
      </c>
      <c r="I31" s="118" t="s">
        <v>129</v>
      </c>
      <c r="J31" s="423">
        <v>3419</v>
      </c>
      <c r="K31" s="464">
        <v>3</v>
      </c>
      <c r="L31" s="423">
        <f t="shared" ref="L31:L32" si="3">J31*K31</f>
        <v>10257</v>
      </c>
      <c r="M31" s="423">
        <v>12000</v>
      </c>
      <c r="N31" s="78" t="s">
        <v>1111</v>
      </c>
      <c r="O31" s="561"/>
      <c r="P31" s="561"/>
      <c r="Q31" s="651"/>
      <c r="R31" s="605"/>
      <c r="S31" s="569"/>
    </row>
    <row r="32" spans="1:21" s="419" customFormat="1" ht="12.75" x14ac:dyDescent="0.2">
      <c r="A32" s="584"/>
      <c r="B32" s="586"/>
      <c r="C32" s="586"/>
      <c r="D32" s="586"/>
      <c r="E32" s="642"/>
      <c r="F32" s="642"/>
      <c r="G32" s="78" t="s">
        <v>1351</v>
      </c>
      <c r="H32" s="79">
        <v>72</v>
      </c>
      <c r="I32" s="118" t="s">
        <v>129</v>
      </c>
      <c r="J32" s="423">
        <v>4273.5</v>
      </c>
      <c r="K32" s="464">
        <v>3</v>
      </c>
      <c r="L32" s="423">
        <f t="shared" si="3"/>
        <v>12820.5</v>
      </c>
      <c r="M32" s="423">
        <v>15000</v>
      </c>
      <c r="N32" s="78" t="s">
        <v>1111</v>
      </c>
      <c r="O32" s="561"/>
      <c r="P32" s="561"/>
      <c r="Q32" s="651"/>
      <c r="R32" s="605"/>
      <c r="S32" s="569"/>
    </row>
    <row r="33" spans="1:19" s="419" customFormat="1" ht="12.75" x14ac:dyDescent="0.2">
      <c r="A33" s="580"/>
      <c r="B33" s="581"/>
      <c r="C33" s="582"/>
      <c r="D33" s="582"/>
      <c r="E33" s="582"/>
      <c r="F33" s="582"/>
      <c r="G33" s="582"/>
      <c r="H33" s="582"/>
      <c r="I33" s="582"/>
      <c r="J33" s="582"/>
      <c r="K33" s="582"/>
      <c r="L33" s="582"/>
      <c r="M33" s="582"/>
      <c r="N33" s="582"/>
      <c r="O33" s="582"/>
      <c r="P33" s="582"/>
      <c r="Q33" s="582"/>
      <c r="R33" s="582"/>
      <c r="S33" s="583"/>
    </row>
    <row r="34" spans="1:19" ht="15.75" x14ac:dyDescent="0.2">
      <c r="A34" s="268"/>
      <c r="B34" s="269"/>
      <c r="C34" s="269"/>
      <c r="D34" s="269"/>
      <c r="E34" s="269"/>
      <c r="F34" s="269"/>
      <c r="G34" s="269"/>
      <c r="H34" s="269"/>
      <c r="I34" s="269"/>
      <c r="J34" s="269"/>
      <c r="K34" s="269"/>
      <c r="L34" s="269"/>
      <c r="M34" s="269"/>
      <c r="N34" s="269"/>
      <c r="O34" s="269"/>
      <c r="P34" s="269"/>
      <c r="Q34" s="269"/>
      <c r="R34" s="269"/>
      <c r="S34" s="269"/>
    </row>
    <row r="35" spans="1:19" x14ac:dyDescent="0.2">
      <c r="B35" s="23"/>
    </row>
  </sheetData>
  <dataConsolidate/>
  <mergeCells count="57">
    <mergeCell ref="A29:S29"/>
    <mergeCell ref="A30:A33"/>
    <mergeCell ref="B30:B32"/>
    <mergeCell ref="C30:C32"/>
    <mergeCell ref="D30:D32"/>
    <mergeCell ref="E30:E32"/>
    <mergeCell ref="F30:F32"/>
    <mergeCell ref="O30:O32"/>
    <mergeCell ref="P30:P32"/>
    <mergeCell ref="Q30:Q32"/>
    <mergeCell ref="R30:R32"/>
    <mergeCell ref="S30:S32"/>
    <mergeCell ref="B33:S33"/>
    <mergeCell ref="A17:S17"/>
    <mergeCell ref="A18:A19"/>
    <mergeCell ref="B19:S19"/>
    <mergeCell ref="A20:S20"/>
    <mergeCell ref="A21:A22"/>
    <mergeCell ref="B22:S22"/>
    <mergeCell ref="A1:A6"/>
    <mergeCell ref="B1:S1"/>
    <mergeCell ref="B2:S2"/>
    <mergeCell ref="B3:S3"/>
    <mergeCell ref="B4:S4"/>
    <mergeCell ref="B5:S5"/>
    <mergeCell ref="B16:S16"/>
    <mergeCell ref="A10:S10"/>
    <mergeCell ref="A11:A12"/>
    <mergeCell ref="B12:S12"/>
    <mergeCell ref="A13:S13"/>
    <mergeCell ref="A14:A16"/>
    <mergeCell ref="B14:B15"/>
    <mergeCell ref="C14:C15"/>
    <mergeCell ref="D14:D15"/>
    <mergeCell ref="E14:E15"/>
    <mergeCell ref="F14:F15"/>
    <mergeCell ref="A7:S7"/>
    <mergeCell ref="A8:A9"/>
    <mergeCell ref="B9:S9"/>
    <mergeCell ref="O14:O15"/>
    <mergeCell ref="P14:P15"/>
    <mergeCell ref="Q14:Q15"/>
    <mergeCell ref="R14:R15"/>
    <mergeCell ref="S14:S15"/>
    <mergeCell ref="A23:S23"/>
    <mergeCell ref="A24:A28"/>
    <mergeCell ref="B24:B27"/>
    <mergeCell ref="C24:C27"/>
    <mergeCell ref="D24:D27"/>
    <mergeCell ref="E24:E27"/>
    <mergeCell ref="F24:F27"/>
    <mergeCell ref="O24:O27"/>
    <mergeCell ref="P24:P27"/>
    <mergeCell ref="Q24:Q27"/>
    <mergeCell ref="R24:R27"/>
    <mergeCell ref="S24:S27"/>
    <mergeCell ref="B28:S28"/>
  </mergeCells>
  <dataValidations count="2">
    <dataValidation type="list" allowBlank="1" showInputMessage="1" showErrorMessage="1" sqref="O11 O14:O15 O8 O18 O21 O24:O27 O30:O32" xr:uid="{85FBE413-2B8F-450C-BF28-B4654D5C271D}">
      <formula1>#REF!</formula1>
    </dataValidation>
    <dataValidation type="list" allowBlank="1" showInputMessage="1" showErrorMessage="1" sqref="I14:I15 E11:F11 E8:F8 E14:F14 E18:F18 E21:F21 E24:F27 E30:F32 I11" xr:uid="{72936B4F-A6B8-400A-A5A3-FDC5B937F988}">
      <formula1>#REF!</formula1>
    </dataValidation>
  </dataValidations>
  <pageMargins left="0.25" right="0.25" top="0.75" bottom="0.75" header="0.3" footer="0.3"/>
  <pageSetup paperSize="9" scale="54"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A4B242-31A1-48A0-B1F4-DC06656C1671}">
  <sheetPr>
    <pageSetUpPr fitToPage="1"/>
  </sheetPr>
  <dimension ref="A1:U77"/>
  <sheetViews>
    <sheetView rightToLeft="1" zoomScaleNormal="100" zoomScaleSheetLayoutView="80" workbookViewId="0">
      <pane ySplit="6" topLeftCell="A73" activePane="bottomLeft" state="frozen"/>
      <selection pane="bottomLeft" activeCell="A77" sqref="A77:XFD77"/>
    </sheetView>
  </sheetViews>
  <sheetFormatPr defaultColWidth="8.75" defaultRowHeight="15" x14ac:dyDescent="0.2"/>
  <cols>
    <col min="1" max="1" width="4.25" customWidth="1"/>
    <col min="2" max="2" width="21.125" bestFit="1" customWidth="1"/>
    <col min="4" max="4" width="15" bestFit="1" customWidth="1"/>
    <col min="5" max="5" width="11.25" customWidth="1"/>
    <col min="6" max="6" width="8.125" customWidth="1"/>
    <col min="7" max="7" width="12.75" customWidth="1"/>
    <col min="8" max="8" width="9" customWidth="1"/>
    <col min="9" max="9" width="10.25" bestFit="1" customWidth="1"/>
    <col min="10" max="10" width="14.125" customWidth="1"/>
    <col min="11" max="11" width="10.25" customWidth="1"/>
    <col min="12" max="12" width="15.75" style="7" customWidth="1"/>
    <col min="13" max="13" width="16.125" style="8" bestFit="1" customWidth="1"/>
    <col min="14" max="14" width="10.875" style="8" customWidth="1"/>
    <col min="15" max="15" width="13.875" customWidth="1"/>
    <col min="16" max="16" width="22.5" style="9" customWidth="1"/>
    <col min="17" max="17" width="12.375" style="9" customWidth="1"/>
    <col min="18" max="18" width="15" style="9" customWidth="1"/>
    <col min="19" max="19" width="14.625" style="247" customWidth="1"/>
  </cols>
  <sheetData>
    <row r="1" spans="1:21" ht="20.25" x14ac:dyDescent="0.2">
      <c r="A1" s="571"/>
      <c r="B1" s="572" t="s">
        <v>1295</v>
      </c>
      <c r="C1" s="572"/>
      <c r="D1" s="572"/>
      <c r="E1" s="572"/>
      <c r="F1" s="572"/>
      <c r="G1" s="572"/>
      <c r="H1" s="572"/>
      <c r="I1" s="572"/>
      <c r="J1" s="572"/>
      <c r="K1" s="572"/>
      <c r="L1" s="572"/>
      <c r="M1" s="572"/>
      <c r="N1" s="572"/>
      <c r="O1" s="572"/>
      <c r="P1" s="572"/>
      <c r="Q1" s="572"/>
      <c r="R1" s="572"/>
      <c r="S1" s="572"/>
    </row>
    <row r="2" spans="1:21" ht="14.25" x14ac:dyDescent="0.2">
      <c r="A2" s="571"/>
      <c r="B2" s="573" t="s">
        <v>1312</v>
      </c>
      <c r="C2" s="573"/>
      <c r="D2" s="573"/>
      <c r="E2" s="573"/>
      <c r="F2" s="573"/>
      <c r="G2" s="573"/>
      <c r="H2" s="573"/>
      <c r="I2" s="573"/>
      <c r="J2" s="573"/>
      <c r="K2" s="573"/>
      <c r="L2" s="573"/>
      <c r="M2" s="573"/>
      <c r="N2" s="573"/>
      <c r="O2" s="573"/>
      <c r="P2" s="573"/>
      <c r="Q2" s="573"/>
      <c r="R2" s="573"/>
      <c r="S2" s="573"/>
    </row>
    <row r="3" spans="1:21" ht="15.75" x14ac:dyDescent="0.2">
      <c r="A3" s="571"/>
      <c r="B3" s="574" t="s">
        <v>795</v>
      </c>
      <c r="C3" s="574"/>
      <c r="D3" s="574"/>
      <c r="E3" s="574"/>
      <c r="F3" s="574"/>
      <c r="G3" s="574"/>
      <c r="H3" s="574"/>
      <c r="I3" s="574"/>
      <c r="J3" s="574"/>
      <c r="K3" s="574"/>
      <c r="L3" s="574"/>
      <c r="M3" s="574"/>
      <c r="N3" s="574"/>
      <c r="O3" s="574"/>
      <c r="P3" s="574"/>
      <c r="Q3" s="574"/>
      <c r="R3" s="574"/>
      <c r="S3" s="574"/>
    </row>
    <row r="4" spans="1:21" ht="14.25" x14ac:dyDescent="0.2">
      <c r="A4" s="571"/>
      <c r="B4" s="575" t="s">
        <v>52</v>
      </c>
      <c r="C4" s="575"/>
      <c r="D4" s="575"/>
      <c r="E4" s="575"/>
      <c r="F4" s="575"/>
      <c r="G4" s="575"/>
      <c r="H4" s="575"/>
      <c r="I4" s="575"/>
      <c r="J4" s="575"/>
      <c r="K4" s="575"/>
      <c r="L4" s="575"/>
      <c r="M4" s="575"/>
      <c r="N4" s="575"/>
      <c r="O4" s="575"/>
      <c r="P4" s="575"/>
      <c r="Q4" s="575"/>
      <c r="R4" s="575"/>
      <c r="S4" s="575"/>
    </row>
    <row r="5" spans="1:21" ht="14.25" x14ac:dyDescent="0.2">
      <c r="A5" s="571"/>
      <c r="B5" s="575" t="s">
        <v>51</v>
      </c>
      <c r="C5" s="575"/>
      <c r="D5" s="575"/>
      <c r="E5" s="575"/>
      <c r="F5" s="575"/>
      <c r="G5" s="575"/>
      <c r="H5" s="575"/>
      <c r="I5" s="575"/>
      <c r="J5" s="575"/>
      <c r="K5" s="575"/>
      <c r="L5" s="575"/>
      <c r="M5" s="575"/>
      <c r="N5" s="575"/>
      <c r="O5" s="575"/>
      <c r="P5" s="575"/>
      <c r="Q5" s="575"/>
      <c r="R5" s="575"/>
      <c r="S5" s="575"/>
    </row>
    <row r="6" spans="1:21" s="307" customFormat="1" ht="63" x14ac:dyDescent="0.2">
      <c r="A6" s="571"/>
      <c r="B6" s="35" t="s">
        <v>0</v>
      </c>
      <c r="C6" s="35" t="s">
        <v>1</v>
      </c>
      <c r="D6" s="35" t="s">
        <v>830</v>
      </c>
      <c r="E6" s="35" t="s">
        <v>35</v>
      </c>
      <c r="F6" s="35" t="s">
        <v>831</v>
      </c>
      <c r="G6" s="35" t="s">
        <v>2</v>
      </c>
      <c r="H6" s="35" t="s">
        <v>3</v>
      </c>
      <c r="I6" s="35" t="s">
        <v>832</v>
      </c>
      <c r="J6" s="35" t="s">
        <v>833</v>
      </c>
      <c r="K6" s="308" t="s">
        <v>834</v>
      </c>
      <c r="L6" s="309" t="s">
        <v>835</v>
      </c>
      <c r="M6" s="310" t="s">
        <v>836</v>
      </c>
      <c r="N6" s="35" t="s">
        <v>8</v>
      </c>
      <c r="O6" s="35" t="s">
        <v>9</v>
      </c>
      <c r="P6" s="35" t="s">
        <v>95</v>
      </c>
      <c r="Q6" s="35" t="s">
        <v>837</v>
      </c>
      <c r="R6" s="377" t="s">
        <v>729</v>
      </c>
      <c r="S6" s="35" t="s">
        <v>10</v>
      </c>
    </row>
    <row r="7" spans="1:21" s="419" customFormat="1" ht="12.75" x14ac:dyDescent="0.2">
      <c r="A7" s="576" t="s">
        <v>1229</v>
      </c>
      <c r="B7" s="577"/>
      <c r="C7" s="577"/>
      <c r="D7" s="577"/>
      <c r="E7" s="577"/>
      <c r="F7" s="577"/>
      <c r="G7" s="577"/>
      <c r="H7" s="577"/>
      <c r="I7" s="577"/>
      <c r="J7" s="577"/>
      <c r="K7" s="577"/>
      <c r="L7" s="577"/>
      <c r="M7" s="577"/>
      <c r="N7" s="577"/>
      <c r="O7" s="577"/>
      <c r="P7" s="577"/>
      <c r="Q7" s="577"/>
      <c r="R7" s="577"/>
      <c r="S7" s="578"/>
    </row>
    <row r="8" spans="1:21" s="419" customFormat="1" ht="38.25" x14ac:dyDescent="0.2">
      <c r="A8" s="579">
        <v>1</v>
      </c>
      <c r="B8" s="403" t="s">
        <v>1313</v>
      </c>
      <c r="C8" s="403" t="s">
        <v>1226</v>
      </c>
      <c r="D8" s="403">
        <v>1811000756</v>
      </c>
      <c r="E8" s="404" t="s">
        <v>67</v>
      </c>
      <c r="F8" s="404" t="s">
        <v>55</v>
      </c>
      <c r="G8" s="13" t="s">
        <v>1227</v>
      </c>
      <c r="H8" s="14">
        <v>100</v>
      </c>
      <c r="I8" s="15" t="s">
        <v>14</v>
      </c>
      <c r="J8" s="22">
        <v>35100</v>
      </c>
      <c r="K8" s="364">
        <v>2</v>
      </c>
      <c r="L8" s="22">
        <v>70200</v>
      </c>
      <c r="M8" s="22">
        <v>82134</v>
      </c>
      <c r="N8" s="13" t="s">
        <v>13</v>
      </c>
      <c r="O8" s="386" t="s">
        <v>116</v>
      </c>
      <c r="P8" s="402" t="s">
        <v>1310</v>
      </c>
      <c r="Q8" s="402"/>
      <c r="R8" s="405">
        <f>M8</f>
        <v>82134</v>
      </c>
      <c r="S8" s="420" t="s">
        <v>18</v>
      </c>
      <c r="T8" s="421"/>
      <c r="U8" s="11"/>
    </row>
    <row r="9" spans="1:21" s="419" customFormat="1" ht="24" customHeight="1" x14ac:dyDescent="0.2">
      <c r="A9" s="580"/>
      <c r="B9" s="581" t="s">
        <v>1228</v>
      </c>
      <c r="C9" s="582"/>
      <c r="D9" s="582"/>
      <c r="E9" s="582"/>
      <c r="F9" s="582"/>
      <c r="G9" s="582"/>
      <c r="H9" s="582"/>
      <c r="I9" s="582"/>
      <c r="J9" s="582"/>
      <c r="K9" s="582"/>
      <c r="L9" s="582"/>
      <c r="M9" s="582"/>
      <c r="N9" s="582"/>
      <c r="O9" s="582"/>
      <c r="P9" s="582"/>
      <c r="Q9" s="582"/>
      <c r="R9" s="582"/>
      <c r="S9" s="583"/>
    </row>
    <row r="10" spans="1:21" s="419" customFormat="1" ht="12.75" x14ac:dyDescent="0.2">
      <c r="A10" s="576" t="s">
        <v>1230</v>
      </c>
      <c r="B10" s="577"/>
      <c r="C10" s="577"/>
      <c r="D10" s="577"/>
      <c r="E10" s="577"/>
      <c r="F10" s="577"/>
      <c r="G10" s="577"/>
      <c r="H10" s="577"/>
      <c r="I10" s="577"/>
      <c r="J10" s="577"/>
      <c r="K10" s="577"/>
      <c r="L10" s="577"/>
      <c r="M10" s="577"/>
      <c r="N10" s="577"/>
      <c r="O10" s="577"/>
      <c r="P10" s="577"/>
      <c r="Q10" s="577"/>
      <c r="R10" s="577"/>
      <c r="S10" s="578"/>
    </row>
    <row r="11" spans="1:21" s="419" customFormat="1" ht="12.75" x14ac:dyDescent="0.2">
      <c r="A11" s="579">
        <v>2</v>
      </c>
      <c r="B11" s="585" t="s">
        <v>1246</v>
      </c>
      <c r="C11" s="585" t="s">
        <v>1247</v>
      </c>
      <c r="D11" s="585">
        <v>1829500780</v>
      </c>
      <c r="E11" s="587" t="s">
        <v>38</v>
      </c>
      <c r="F11" s="587" t="s">
        <v>64</v>
      </c>
      <c r="G11" s="13" t="s">
        <v>1248</v>
      </c>
      <c r="H11" s="14">
        <v>100</v>
      </c>
      <c r="I11" s="15" t="s">
        <v>73</v>
      </c>
      <c r="J11" s="15">
        <v>170.94</v>
      </c>
      <c r="K11" s="13">
        <v>350</v>
      </c>
      <c r="L11" s="22">
        <v>59829</v>
      </c>
      <c r="M11" s="22">
        <v>69999.929999999993</v>
      </c>
      <c r="N11" s="326" t="s">
        <v>13</v>
      </c>
      <c r="O11" s="560" t="s">
        <v>15</v>
      </c>
      <c r="P11" s="560" t="s">
        <v>97</v>
      </c>
      <c r="Q11" s="589"/>
      <c r="R11" s="652">
        <f>M11</f>
        <v>69999.929999999993</v>
      </c>
      <c r="S11" s="568" t="s">
        <v>18</v>
      </c>
    </row>
    <row r="12" spans="1:21" s="419" customFormat="1" ht="12.75" x14ac:dyDescent="0.2">
      <c r="A12" s="584"/>
      <c r="B12" s="586"/>
      <c r="C12" s="586"/>
      <c r="D12" s="586"/>
      <c r="E12" s="588"/>
      <c r="F12" s="588"/>
      <c r="G12" s="367" t="s">
        <v>1249</v>
      </c>
      <c r="H12" s="406">
        <v>84</v>
      </c>
      <c r="I12" s="34" t="s">
        <v>73</v>
      </c>
      <c r="J12" s="34">
        <v>220</v>
      </c>
      <c r="K12" s="403">
        <v>350</v>
      </c>
      <c r="L12" s="198">
        <v>77000</v>
      </c>
      <c r="M12" s="198">
        <v>90090</v>
      </c>
      <c r="N12" s="465" t="s">
        <v>13</v>
      </c>
      <c r="O12" s="561"/>
      <c r="P12" s="561"/>
      <c r="Q12" s="590"/>
      <c r="R12" s="653"/>
      <c r="S12" s="569"/>
    </row>
    <row r="13" spans="1:21" s="419" customFormat="1" ht="12.75" x14ac:dyDescent="0.2">
      <c r="A13" s="584"/>
      <c r="B13" s="586"/>
      <c r="C13" s="586"/>
      <c r="D13" s="586"/>
      <c r="E13" s="588"/>
      <c r="F13" s="588"/>
      <c r="G13" s="408" t="s">
        <v>1250</v>
      </c>
      <c r="H13" s="416">
        <v>90</v>
      </c>
      <c r="I13" s="417" t="s">
        <v>73</v>
      </c>
      <c r="J13" s="417">
        <v>200</v>
      </c>
      <c r="K13" s="408">
        <v>350</v>
      </c>
      <c r="L13" s="418">
        <v>70000</v>
      </c>
      <c r="M13" s="418">
        <v>81900</v>
      </c>
      <c r="N13" s="465" t="s">
        <v>13</v>
      </c>
      <c r="O13" s="561"/>
      <c r="P13" s="561"/>
      <c r="Q13" s="590"/>
      <c r="R13" s="653"/>
      <c r="S13" s="569"/>
    </row>
    <row r="14" spans="1:21" s="419" customFormat="1" ht="30.75" customHeight="1" x14ac:dyDescent="0.2">
      <c r="A14" s="580"/>
      <c r="B14" s="581" t="s">
        <v>1251</v>
      </c>
      <c r="C14" s="582"/>
      <c r="D14" s="582"/>
      <c r="E14" s="582"/>
      <c r="F14" s="582"/>
      <c r="G14" s="582"/>
      <c r="H14" s="582"/>
      <c r="I14" s="582"/>
      <c r="J14" s="582"/>
      <c r="K14" s="582"/>
      <c r="L14" s="582"/>
      <c r="M14" s="582"/>
      <c r="N14" s="582"/>
      <c r="O14" s="582"/>
      <c r="P14" s="582"/>
      <c r="Q14" s="582"/>
      <c r="R14" s="582"/>
      <c r="S14" s="583"/>
    </row>
    <row r="15" spans="1:21" s="419" customFormat="1" ht="12.75" x14ac:dyDescent="0.2">
      <c r="A15" s="576" t="s">
        <v>1231</v>
      </c>
      <c r="B15" s="577"/>
      <c r="C15" s="577"/>
      <c r="D15" s="577"/>
      <c r="E15" s="577"/>
      <c r="F15" s="577"/>
      <c r="G15" s="577"/>
      <c r="H15" s="577"/>
      <c r="I15" s="577"/>
      <c r="J15" s="577"/>
      <c r="K15" s="577"/>
      <c r="L15" s="577"/>
      <c r="M15" s="577"/>
      <c r="N15" s="577"/>
      <c r="O15" s="577"/>
      <c r="P15" s="577"/>
      <c r="Q15" s="577"/>
      <c r="R15" s="577"/>
      <c r="S15" s="578"/>
    </row>
    <row r="16" spans="1:21" s="419" customFormat="1" ht="12.75" x14ac:dyDescent="0.2">
      <c r="A16" s="579">
        <v>3</v>
      </c>
      <c r="B16" s="585" t="s">
        <v>1252</v>
      </c>
      <c r="C16" s="585" t="s">
        <v>1247</v>
      </c>
      <c r="D16" s="585">
        <v>1829500780</v>
      </c>
      <c r="E16" s="587" t="s">
        <v>38</v>
      </c>
      <c r="F16" s="587" t="s">
        <v>64</v>
      </c>
      <c r="G16" s="13" t="s">
        <v>1250</v>
      </c>
      <c r="H16" s="14">
        <v>100</v>
      </c>
      <c r="I16" s="15" t="s">
        <v>847</v>
      </c>
      <c r="J16" s="15">
        <v>300</v>
      </c>
      <c r="K16" s="13">
        <v>43</v>
      </c>
      <c r="L16" s="22">
        <v>12900</v>
      </c>
      <c r="M16" s="22">
        <v>15092.999999999998</v>
      </c>
      <c r="N16" s="326" t="s">
        <v>13</v>
      </c>
      <c r="O16" s="560" t="s">
        <v>15</v>
      </c>
      <c r="P16" s="560" t="s">
        <v>97</v>
      </c>
      <c r="Q16" s="589"/>
      <c r="R16" s="652">
        <f>M16*(100-Q16)/100</f>
        <v>15092.999999999998</v>
      </c>
      <c r="S16" s="568" t="s">
        <v>18</v>
      </c>
    </row>
    <row r="17" spans="1:21" s="419" customFormat="1" ht="12.75" x14ac:dyDescent="0.2">
      <c r="A17" s="584"/>
      <c r="B17" s="586"/>
      <c r="C17" s="586"/>
      <c r="D17" s="586"/>
      <c r="E17" s="588"/>
      <c r="F17" s="588"/>
      <c r="G17" s="367" t="s">
        <v>1253</v>
      </c>
      <c r="H17" s="406">
        <v>84</v>
      </c>
      <c r="I17" s="34" t="s">
        <v>847</v>
      </c>
      <c r="J17" s="34">
        <v>350</v>
      </c>
      <c r="K17" s="403">
        <v>43</v>
      </c>
      <c r="L17" s="198">
        <v>15050</v>
      </c>
      <c r="M17" s="198">
        <v>17608.5</v>
      </c>
      <c r="N17" s="465" t="s">
        <v>13</v>
      </c>
      <c r="O17" s="561"/>
      <c r="P17" s="561"/>
      <c r="Q17" s="590"/>
      <c r="R17" s="653"/>
      <c r="S17" s="569"/>
    </row>
    <row r="18" spans="1:21" s="419" customFormat="1" ht="12.75" x14ac:dyDescent="0.2">
      <c r="A18" s="584"/>
      <c r="B18" s="586"/>
      <c r="C18" s="586"/>
      <c r="D18" s="586"/>
      <c r="E18" s="588"/>
      <c r="F18" s="588"/>
      <c r="G18" s="408" t="s">
        <v>1248</v>
      </c>
      <c r="H18" s="416">
        <v>94</v>
      </c>
      <c r="I18" s="417" t="s">
        <v>847</v>
      </c>
      <c r="J18" s="417">
        <v>300</v>
      </c>
      <c r="K18" s="408">
        <v>43</v>
      </c>
      <c r="L18" s="418">
        <v>12900</v>
      </c>
      <c r="M18" s="418">
        <v>15092.999999999998</v>
      </c>
      <c r="N18" s="465" t="s">
        <v>13</v>
      </c>
      <c r="O18" s="561"/>
      <c r="P18" s="561"/>
      <c r="Q18" s="590"/>
      <c r="R18" s="653"/>
      <c r="S18" s="569"/>
    </row>
    <row r="19" spans="1:21" s="419" customFormat="1" ht="24" customHeight="1" x14ac:dyDescent="0.2">
      <c r="A19" s="580"/>
      <c r="B19" s="581" t="s">
        <v>1254</v>
      </c>
      <c r="C19" s="582"/>
      <c r="D19" s="582"/>
      <c r="E19" s="582"/>
      <c r="F19" s="582"/>
      <c r="G19" s="582"/>
      <c r="H19" s="582"/>
      <c r="I19" s="582"/>
      <c r="J19" s="582"/>
      <c r="K19" s="582"/>
      <c r="L19" s="582"/>
      <c r="M19" s="582"/>
      <c r="N19" s="582"/>
      <c r="O19" s="582"/>
      <c r="P19" s="582"/>
      <c r="Q19" s="582"/>
      <c r="R19" s="582"/>
      <c r="S19" s="583"/>
    </row>
    <row r="20" spans="1:21" s="419" customFormat="1" ht="12.75" x14ac:dyDescent="0.2">
      <c r="A20" s="576" t="s">
        <v>1232</v>
      </c>
      <c r="B20" s="577"/>
      <c r="C20" s="577"/>
      <c r="D20" s="577"/>
      <c r="E20" s="577"/>
      <c r="F20" s="577"/>
      <c r="G20" s="577"/>
      <c r="H20" s="577"/>
      <c r="I20" s="577"/>
      <c r="J20" s="577"/>
      <c r="K20" s="577"/>
      <c r="L20" s="577"/>
      <c r="M20" s="577"/>
      <c r="N20" s="577"/>
      <c r="O20" s="577"/>
      <c r="P20" s="577"/>
      <c r="Q20" s="577"/>
      <c r="R20" s="577"/>
      <c r="S20" s="578"/>
    </row>
    <row r="21" spans="1:21" s="419" customFormat="1" ht="38.25" x14ac:dyDescent="0.2">
      <c r="A21" s="579">
        <v>4</v>
      </c>
      <c r="B21" s="439" t="s">
        <v>1279</v>
      </c>
      <c r="C21" s="439" t="s">
        <v>1280</v>
      </c>
      <c r="D21" s="439">
        <v>1960000750</v>
      </c>
      <c r="E21" s="440" t="s">
        <v>37</v>
      </c>
      <c r="F21" s="440" t="s">
        <v>62</v>
      </c>
      <c r="G21" s="13" t="s">
        <v>1281</v>
      </c>
      <c r="H21" s="14">
        <v>100</v>
      </c>
      <c r="I21" s="15" t="s">
        <v>129</v>
      </c>
      <c r="J21" s="15">
        <v>2500</v>
      </c>
      <c r="K21" s="13">
        <v>12</v>
      </c>
      <c r="L21" s="22">
        <v>30000</v>
      </c>
      <c r="M21" s="22">
        <v>35100</v>
      </c>
      <c r="N21" s="326"/>
      <c r="O21" s="386" t="s">
        <v>116</v>
      </c>
      <c r="P21" s="438" t="s">
        <v>97</v>
      </c>
      <c r="Q21" s="438"/>
      <c r="R21" s="441">
        <f>M21</f>
        <v>35100</v>
      </c>
      <c r="S21" s="420" t="s">
        <v>18</v>
      </c>
      <c r="T21" s="421"/>
      <c r="U21" s="11"/>
    </row>
    <row r="22" spans="1:21" s="419" customFormat="1" ht="12.75" x14ac:dyDescent="0.2">
      <c r="A22" s="580"/>
      <c r="B22" s="581" t="s">
        <v>1282</v>
      </c>
      <c r="C22" s="582"/>
      <c r="D22" s="582"/>
      <c r="E22" s="582"/>
      <c r="F22" s="582"/>
      <c r="G22" s="582"/>
      <c r="H22" s="582"/>
      <c r="I22" s="582"/>
      <c r="J22" s="582"/>
      <c r="K22" s="582"/>
      <c r="L22" s="582"/>
      <c r="M22" s="582"/>
      <c r="N22" s="582"/>
      <c r="O22" s="582"/>
      <c r="P22" s="582"/>
      <c r="Q22" s="582"/>
      <c r="R22" s="582"/>
      <c r="S22" s="583"/>
    </row>
    <row r="23" spans="1:21" s="419" customFormat="1" ht="12.75" x14ac:dyDescent="0.2">
      <c r="A23" s="576" t="s">
        <v>1233</v>
      </c>
      <c r="B23" s="577"/>
      <c r="C23" s="577"/>
      <c r="D23" s="577"/>
      <c r="E23" s="577"/>
      <c r="F23" s="577"/>
      <c r="G23" s="577"/>
      <c r="H23" s="577"/>
      <c r="I23" s="577"/>
      <c r="J23" s="577"/>
      <c r="K23" s="577"/>
      <c r="L23" s="577"/>
      <c r="M23" s="577"/>
      <c r="N23" s="577"/>
      <c r="O23" s="577"/>
      <c r="P23" s="577"/>
      <c r="Q23" s="577"/>
      <c r="R23" s="577"/>
      <c r="S23" s="578"/>
    </row>
    <row r="24" spans="1:21" s="419" customFormat="1" ht="12.75" x14ac:dyDescent="0.2">
      <c r="A24" s="579">
        <v>5</v>
      </c>
      <c r="B24" s="585" t="s">
        <v>1362</v>
      </c>
      <c r="C24" s="585" t="s">
        <v>1237</v>
      </c>
      <c r="D24" s="585">
        <v>25006</v>
      </c>
      <c r="E24" s="641" t="s">
        <v>36</v>
      </c>
      <c r="F24" s="641" t="s">
        <v>54</v>
      </c>
      <c r="G24" s="13" t="s">
        <v>1238</v>
      </c>
      <c r="H24" s="14">
        <v>75</v>
      </c>
      <c r="I24" s="15" t="s">
        <v>14</v>
      </c>
      <c r="J24" s="15">
        <v>31975</v>
      </c>
      <c r="K24" s="13">
        <v>1</v>
      </c>
      <c r="L24" s="22">
        <f>J24*K24</f>
        <v>31975</v>
      </c>
      <c r="M24" s="22">
        <f>L24*1.17</f>
        <v>37410.75</v>
      </c>
      <c r="N24" s="326" t="s">
        <v>13</v>
      </c>
      <c r="O24" s="560" t="s">
        <v>15</v>
      </c>
      <c r="P24" s="560" t="s">
        <v>97</v>
      </c>
      <c r="Q24" s="650"/>
      <c r="R24" s="565">
        <f>M24*(100-Q24)/100</f>
        <v>37410.75</v>
      </c>
      <c r="S24" s="568"/>
    </row>
    <row r="25" spans="1:21" s="419" customFormat="1" ht="25.5" x14ac:dyDescent="0.2">
      <c r="A25" s="584"/>
      <c r="B25" s="586"/>
      <c r="C25" s="586"/>
      <c r="D25" s="586"/>
      <c r="E25" s="642"/>
      <c r="F25" s="642"/>
      <c r="G25" s="367" t="s">
        <v>719</v>
      </c>
      <c r="H25" s="406">
        <v>72</v>
      </c>
      <c r="I25" s="34" t="s">
        <v>846</v>
      </c>
      <c r="J25" s="34">
        <v>33000</v>
      </c>
      <c r="K25" s="403">
        <v>1</v>
      </c>
      <c r="L25" s="198">
        <f t="shared" ref="L25:L27" si="0">J25*K25</f>
        <v>33000</v>
      </c>
      <c r="M25" s="198">
        <f t="shared" ref="M25:M27" si="1">L25*1.17</f>
        <v>38610</v>
      </c>
      <c r="N25" s="407" t="s">
        <v>13</v>
      </c>
      <c r="O25" s="561"/>
      <c r="P25" s="561"/>
      <c r="Q25" s="651"/>
      <c r="R25" s="566"/>
      <c r="S25" s="569"/>
    </row>
    <row r="26" spans="1:21" s="419" customFormat="1" ht="25.5" x14ac:dyDescent="0.2">
      <c r="A26" s="584"/>
      <c r="B26" s="586"/>
      <c r="C26" s="586"/>
      <c r="D26" s="586"/>
      <c r="E26" s="642"/>
      <c r="F26" s="642"/>
      <c r="G26" s="408" t="s">
        <v>1239</v>
      </c>
      <c r="H26" s="416">
        <v>59</v>
      </c>
      <c r="I26" s="417" t="s">
        <v>846</v>
      </c>
      <c r="J26" s="417">
        <v>40000</v>
      </c>
      <c r="K26" s="408">
        <v>1</v>
      </c>
      <c r="L26" s="418">
        <f t="shared" si="0"/>
        <v>40000</v>
      </c>
      <c r="M26" s="418">
        <f t="shared" si="1"/>
        <v>46800</v>
      </c>
      <c r="N26" s="407" t="s">
        <v>13</v>
      </c>
      <c r="O26" s="561"/>
      <c r="P26" s="561"/>
      <c r="Q26" s="651"/>
      <c r="R26" s="566"/>
      <c r="S26" s="569"/>
    </row>
    <row r="27" spans="1:21" s="419" customFormat="1" ht="25.5" x14ac:dyDescent="0.2">
      <c r="A27" s="584"/>
      <c r="B27" s="586"/>
      <c r="C27" s="586"/>
      <c r="D27" s="586"/>
      <c r="E27" s="642"/>
      <c r="F27" s="642"/>
      <c r="G27" s="408" t="s">
        <v>1240</v>
      </c>
      <c r="H27" s="416">
        <v>51</v>
      </c>
      <c r="I27" s="417" t="s">
        <v>846</v>
      </c>
      <c r="J27" s="417">
        <v>46000</v>
      </c>
      <c r="K27" s="408">
        <v>1</v>
      </c>
      <c r="L27" s="418">
        <f t="shared" si="0"/>
        <v>46000</v>
      </c>
      <c r="M27" s="418">
        <f t="shared" si="1"/>
        <v>53820</v>
      </c>
      <c r="N27" s="465" t="s">
        <v>13</v>
      </c>
      <c r="O27" s="561"/>
      <c r="P27" s="561"/>
      <c r="Q27" s="651"/>
      <c r="R27" s="566"/>
      <c r="S27" s="569"/>
    </row>
    <row r="28" spans="1:21" s="419" customFormat="1" ht="12.75" x14ac:dyDescent="0.2">
      <c r="A28" s="580"/>
      <c r="B28" s="581"/>
      <c r="C28" s="582"/>
      <c r="D28" s="582"/>
      <c r="E28" s="582"/>
      <c r="F28" s="582"/>
      <c r="G28" s="582"/>
      <c r="H28" s="582"/>
      <c r="I28" s="582"/>
      <c r="J28" s="582"/>
      <c r="K28" s="582"/>
      <c r="L28" s="582"/>
      <c r="M28" s="582"/>
      <c r="N28" s="582"/>
      <c r="O28" s="582"/>
      <c r="P28" s="582"/>
      <c r="Q28" s="582"/>
      <c r="R28" s="582"/>
      <c r="S28" s="583"/>
    </row>
    <row r="29" spans="1:21" s="419" customFormat="1" ht="12.75" x14ac:dyDescent="0.2">
      <c r="A29" s="576" t="s">
        <v>1256</v>
      </c>
      <c r="B29" s="577"/>
      <c r="C29" s="577"/>
      <c r="D29" s="577"/>
      <c r="E29" s="577"/>
      <c r="F29" s="577"/>
      <c r="G29" s="577"/>
      <c r="H29" s="577"/>
      <c r="I29" s="577"/>
      <c r="J29" s="577"/>
      <c r="K29" s="577"/>
      <c r="L29" s="577"/>
      <c r="M29" s="577"/>
      <c r="N29" s="577"/>
      <c r="O29" s="577"/>
      <c r="P29" s="577"/>
      <c r="Q29" s="577"/>
      <c r="R29" s="577"/>
      <c r="S29" s="578"/>
    </row>
    <row r="30" spans="1:21" s="419" customFormat="1" ht="12.75" x14ac:dyDescent="0.2">
      <c r="A30" s="579">
        <v>6</v>
      </c>
      <c r="B30" s="585" t="s">
        <v>1363</v>
      </c>
      <c r="C30" s="585" t="s">
        <v>1237</v>
      </c>
      <c r="D30" s="585">
        <v>25006</v>
      </c>
      <c r="E30" s="641" t="s">
        <v>36</v>
      </c>
      <c r="F30" s="641" t="s">
        <v>54</v>
      </c>
      <c r="G30" s="13" t="s">
        <v>1238</v>
      </c>
      <c r="H30" s="14">
        <v>74</v>
      </c>
      <c r="I30" s="15" t="s">
        <v>14</v>
      </c>
      <c r="J30" s="15">
        <v>52850.7</v>
      </c>
      <c r="K30" s="13">
        <v>1</v>
      </c>
      <c r="L30" s="22">
        <f>J30*K30</f>
        <v>52850.7</v>
      </c>
      <c r="M30" s="22">
        <f>L30*1.17</f>
        <v>61835.318999999996</v>
      </c>
      <c r="N30" s="326" t="s">
        <v>13</v>
      </c>
      <c r="O30" s="560" t="s">
        <v>15</v>
      </c>
      <c r="P30" s="560" t="s">
        <v>97</v>
      </c>
      <c r="Q30" s="650"/>
      <c r="R30" s="565">
        <f>M30*(100-Q30)/100</f>
        <v>61835.318999999996</v>
      </c>
      <c r="S30" s="568"/>
    </row>
    <row r="31" spans="1:21" s="419" customFormat="1" ht="25.5" x14ac:dyDescent="0.2">
      <c r="A31" s="584"/>
      <c r="B31" s="586"/>
      <c r="C31" s="586"/>
      <c r="D31" s="586"/>
      <c r="E31" s="642"/>
      <c r="F31" s="642"/>
      <c r="G31" s="367" t="s">
        <v>719</v>
      </c>
      <c r="H31" s="406">
        <v>74</v>
      </c>
      <c r="I31" s="34" t="s">
        <v>846</v>
      </c>
      <c r="J31" s="34">
        <v>52000</v>
      </c>
      <c r="K31" s="403">
        <v>1</v>
      </c>
      <c r="L31" s="198">
        <f t="shared" ref="L31:L33" si="2">J31*K31</f>
        <v>52000</v>
      </c>
      <c r="M31" s="198">
        <f t="shared" ref="M31:M33" si="3">L31*1.17</f>
        <v>60839.999999999993</v>
      </c>
      <c r="N31" s="407" t="s">
        <v>13</v>
      </c>
      <c r="O31" s="561"/>
      <c r="P31" s="561"/>
      <c r="Q31" s="651"/>
      <c r="R31" s="566"/>
      <c r="S31" s="569"/>
    </row>
    <row r="32" spans="1:21" s="419" customFormat="1" ht="25.5" x14ac:dyDescent="0.2">
      <c r="A32" s="584"/>
      <c r="B32" s="586"/>
      <c r="C32" s="586"/>
      <c r="D32" s="586"/>
      <c r="E32" s="642"/>
      <c r="F32" s="642"/>
      <c r="G32" s="408" t="s">
        <v>1240</v>
      </c>
      <c r="H32" s="416">
        <v>50</v>
      </c>
      <c r="I32" s="417" t="s">
        <v>846</v>
      </c>
      <c r="J32" s="417">
        <v>78000</v>
      </c>
      <c r="K32" s="408">
        <v>1</v>
      </c>
      <c r="L32" s="418">
        <f t="shared" si="2"/>
        <v>78000</v>
      </c>
      <c r="M32" s="418">
        <f t="shared" si="3"/>
        <v>91260</v>
      </c>
      <c r="N32" s="407" t="s">
        <v>13</v>
      </c>
      <c r="O32" s="561"/>
      <c r="P32" s="561"/>
      <c r="Q32" s="651"/>
      <c r="R32" s="566"/>
      <c r="S32" s="569"/>
    </row>
    <row r="33" spans="1:19" s="419" customFormat="1" ht="25.5" x14ac:dyDescent="0.2">
      <c r="A33" s="584"/>
      <c r="B33" s="586"/>
      <c r="C33" s="586"/>
      <c r="D33" s="586"/>
      <c r="E33" s="642"/>
      <c r="F33" s="642"/>
      <c r="G33" s="408" t="s">
        <v>1239</v>
      </c>
      <c r="H33" s="416">
        <v>42</v>
      </c>
      <c r="I33" s="417" t="s">
        <v>846</v>
      </c>
      <c r="J33" s="417">
        <v>90000</v>
      </c>
      <c r="K33" s="408">
        <v>1</v>
      </c>
      <c r="L33" s="418">
        <f t="shared" si="2"/>
        <v>90000</v>
      </c>
      <c r="M33" s="418">
        <f t="shared" si="3"/>
        <v>105300</v>
      </c>
      <c r="N33" s="407" t="s">
        <v>13</v>
      </c>
      <c r="O33" s="561"/>
      <c r="P33" s="561"/>
      <c r="Q33" s="651"/>
      <c r="R33" s="566"/>
      <c r="S33" s="569"/>
    </row>
    <row r="34" spans="1:19" s="419" customFormat="1" ht="12.75" x14ac:dyDescent="0.2">
      <c r="A34" s="580"/>
      <c r="B34" s="581"/>
      <c r="C34" s="582"/>
      <c r="D34" s="582"/>
      <c r="E34" s="582"/>
      <c r="F34" s="582"/>
      <c r="G34" s="582"/>
      <c r="H34" s="582"/>
      <c r="I34" s="582"/>
      <c r="J34" s="582"/>
      <c r="K34" s="582"/>
      <c r="L34" s="582"/>
      <c r="M34" s="582"/>
      <c r="N34" s="582"/>
      <c r="O34" s="582"/>
      <c r="P34" s="582"/>
      <c r="Q34" s="582"/>
      <c r="R34" s="582"/>
      <c r="S34" s="583"/>
    </row>
    <row r="35" spans="1:19" s="419" customFormat="1" ht="12.75" x14ac:dyDescent="0.2">
      <c r="A35" s="576" t="s">
        <v>1234</v>
      </c>
      <c r="B35" s="577"/>
      <c r="C35" s="577"/>
      <c r="D35" s="577"/>
      <c r="E35" s="577"/>
      <c r="F35" s="577"/>
      <c r="G35" s="577"/>
      <c r="H35" s="577"/>
      <c r="I35" s="577"/>
      <c r="J35" s="577"/>
      <c r="K35" s="577"/>
      <c r="L35" s="577"/>
      <c r="M35" s="577"/>
      <c r="N35" s="577"/>
      <c r="O35" s="577"/>
      <c r="P35" s="577"/>
      <c r="Q35" s="577"/>
      <c r="R35" s="577"/>
      <c r="S35" s="578"/>
    </row>
    <row r="36" spans="1:19" s="419" customFormat="1" ht="12.75" x14ac:dyDescent="0.2">
      <c r="A36" s="579">
        <v>7</v>
      </c>
      <c r="B36" s="585" t="s">
        <v>1364</v>
      </c>
      <c r="C36" s="585" t="s">
        <v>1237</v>
      </c>
      <c r="D36" s="585">
        <v>25006</v>
      </c>
      <c r="E36" s="641" t="s">
        <v>36</v>
      </c>
      <c r="F36" s="641" t="s">
        <v>54</v>
      </c>
      <c r="G36" s="13" t="s">
        <v>1238</v>
      </c>
      <c r="H36" s="14">
        <v>75</v>
      </c>
      <c r="I36" s="15" t="s">
        <v>14</v>
      </c>
      <c r="J36" s="15">
        <v>35477.1</v>
      </c>
      <c r="K36" s="13">
        <v>1</v>
      </c>
      <c r="L36" s="22">
        <f>J36*K36</f>
        <v>35477.1</v>
      </c>
      <c r="M36" s="22">
        <f>L36*1.17</f>
        <v>41508.206999999995</v>
      </c>
      <c r="N36" s="326" t="s">
        <v>13</v>
      </c>
      <c r="O36" s="560" t="s">
        <v>15</v>
      </c>
      <c r="P36" s="560" t="s">
        <v>97</v>
      </c>
      <c r="Q36" s="650"/>
      <c r="R36" s="565">
        <f>M36*(100-Q36)/100</f>
        <v>41508.206999999995</v>
      </c>
      <c r="S36" s="568"/>
    </row>
    <row r="37" spans="1:19" s="419" customFormat="1" ht="25.5" x14ac:dyDescent="0.2">
      <c r="A37" s="584"/>
      <c r="B37" s="586"/>
      <c r="C37" s="586"/>
      <c r="D37" s="586"/>
      <c r="E37" s="642"/>
      <c r="F37" s="642"/>
      <c r="G37" s="367" t="s">
        <v>719</v>
      </c>
      <c r="H37" s="406">
        <v>71</v>
      </c>
      <c r="I37" s="34" t="s">
        <v>846</v>
      </c>
      <c r="J37" s="34">
        <v>37000</v>
      </c>
      <c r="K37" s="403">
        <v>1</v>
      </c>
      <c r="L37" s="198">
        <f t="shared" ref="L37:L39" si="4">J37*K37</f>
        <v>37000</v>
      </c>
      <c r="M37" s="198">
        <f t="shared" ref="M37:M39" si="5">L37*1.17</f>
        <v>43290</v>
      </c>
      <c r="N37" s="407" t="s">
        <v>13</v>
      </c>
      <c r="O37" s="561"/>
      <c r="P37" s="561"/>
      <c r="Q37" s="651"/>
      <c r="R37" s="566"/>
      <c r="S37" s="569"/>
    </row>
    <row r="38" spans="1:19" s="419" customFormat="1" ht="25.5" x14ac:dyDescent="0.2">
      <c r="A38" s="584"/>
      <c r="B38" s="586"/>
      <c r="C38" s="586"/>
      <c r="D38" s="586"/>
      <c r="E38" s="642"/>
      <c r="F38" s="642"/>
      <c r="G38" s="408" t="s">
        <v>1239</v>
      </c>
      <c r="H38" s="416">
        <v>56</v>
      </c>
      <c r="I38" s="417" t="s">
        <v>846</v>
      </c>
      <c r="J38" s="417">
        <v>47000</v>
      </c>
      <c r="K38" s="408">
        <v>1</v>
      </c>
      <c r="L38" s="418">
        <f t="shared" si="4"/>
        <v>47000</v>
      </c>
      <c r="M38" s="418">
        <f t="shared" si="5"/>
        <v>54990</v>
      </c>
      <c r="N38" s="407" t="s">
        <v>13</v>
      </c>
      <c r="O38" s="561"/>
      <c r="P38" s="561"/>
      <c r="Q38" s="651"/>
      <c r="R38" s="566"/>
      <c r="S38" s="569"/>
    </row>
    <row r="39" spans="1:19" s="419" customFormat="1" ht="25.5" x14ac:dyDescent="0.2">
      <c r="A39" s="584"/>
      <c r="B39" s="586"/>
      <c r="C39" s="586"/>
      <c r="D39" s="586"/>
      <c r="E39" s="642"/>
      <c r="F39" s="642"/>
      <c r="G39" s="408" t="s">
        <v>1240</v>
      </c>
      <c r="H39" s="416">
        <v>41</v>
      </c>
      <c r="I39" s="417" t="s">
        <v>846</v>
      </c>
      <c r="J39" s="417">
        <v>64000</v>
      </c>
      <c r="K39" s="408">
        <v>1</v>
      </c>
      <c r="L39" s="418">
        <f t="shared" si="4"/>
        <v>64000</v>
      </c>
      <c r="M39" s="418">
        <f t="shared" si="5"/>
        <v>74880</v>
      </c>
      <c r="N39" s="407" t="s">
        <v>13</v>
      </c>
      <c r="O39" s="561"/>
      <c r="P39" s="561"/>
      <c r="Q39" s="651"/>
      <c r="R39" s="566"/>
      <c r="S39" s="569"/>
    </row>
    <row r="40" spans="1:19" s="419" customFormat="1" ht="12.75" x14ac:dyDescent="0.2">
      <c r="A40" s="580"/>
      <c r="B40" s="581"/>
      <c r="C40" s="582"/>
      <c r="D40" s="582"/>
      <c r="E40" s="582"/>
      <c r="F40" s="582"/>
      <c r="G40" s="582"/>
      <c r="H40" s="582"/>
      <c r="I40" s="582"/>
      <c r="J40" s="582"/>
      <c r="K40" s="582"/>
      <c r="L40" s="582"/>
      <c r="M40" s="582"/>
      <c r="N40" s="582"/>
      <c r="O40" s="582"/>
      <c r="P40" s="582"/>
      <c r="Q40" s="582"/>
      <c r="R40" s="582"/>
      <c r="S40" s="583"/>
    </row>
    <row r="41" spans="1:19" s="419" customFormat="1" ht="12.75" x14ac:dyDescent="0.2">
      <c r="A41" s="576" t="s">
        <v>1241</v>
      </c>
      <c r="B41" s="577"/>
      <c r="C41" s="577"/>
      <c r="D41" s="577"/>
      <c r="E41" s="577"/>
      <c r="F41" s="577"/>
      <c r="G41" s="577"/>
      <c r="H41" s="577"/>
      <c r="I41" s="577"/>
      <c r="J41" s="577"/>
      <c r="K41" s="577"/>
      <c r="L41" s="577"/>
      <c r="M41" s="577"/>
      <c r="N41" s="577"/>
      <c r="O41" s="577"/>
      <c r="P41" s="577"/>
      <c r="Q41" s="577"/>
      <c r="R41" s="577"/>
      <c r="S41" s="578"/>
    </row>
    <row r="42" spans="1:19" s="419" customFormat="1" ht="25.5" x14ac:dyDescent="0.2">
      <c r="A42" s="579">
        <v>8</v>
      </c>
      <c r="B42" s="585" t="s">
        <v>1296</v>
      </c>
      <c r="C42" s="585" t="s">
        <v>1237</v>
      </c>
      <c r="D42" s="585"/>
      <c r="E42" s="641" t="s">
        <v>36</v>
      </c>
      <c r="F42" s="641" t="s">
        <v>54</v>
      </c>
      <c r="G42" s="13" t="s">
        <v>1151</v>
      </c>
      <c r="H42" s="14">
        <v>75</v>
      </c>
      <c r="I42" s="15" t="s">
        <v>847</v>
      </c>
      <c r="J42" s="15">
        <v>29798.400000000001</v>
      </c>
      <c r="K42" s="13">
        <v>1</v>
      </c>
      <c r="L42" s="22">
        <f>J42*K42</f>
        <v>29798.400000000001</v>
      </c>
      <c r="M42" s="22">
        <f>L42*1.17</f>
        <v>34864.127999999997</v>
      </c>
      <c r="N42" s="326" t="s">
        <v>13</v>
      </c>
      <c r="O42" s="560" t="s">
        <v>15</v>
      </c>
      <c r="P42" s="560" t="s">
        <v>97</v>
      </c>
      <c r="Q42" s="650"/>
      <c r="R42" s="565">
        <f>M42*(100-Q42)/100</f>
        <v>34864.127999999997</v>
      </c>
      <c r="S42" s="568"/>
    </row>
    <row r="43" spans="1:19" s="419" customFormat="1" ht="25.5" x14ac:dyDescent="0.2">
      <c r="A43" s="584"/>
      <c r="B43" s="586"/>
      <c r="C43" s="586"/>
      <c r="D43" s="586"/>
      <c r="E43" s="642"/>
      <c r="F43" s="642"/>
      <c r="G43" s="367" t="s">
        <v>1148</v>
      </c>
      <c r="H43" s="406">
        <v>57</v>
      </c>
      <c r="I43" s="34" t="s">
        <v>847</v>
      </c>
      <c r="J43" s="34">
        <v>39466</v>
      </c>
      <c r="K43" s="403">
        <v>1</v>
      </c>
      <c r="L43" s="198">
        <f t="shared" ref="L43:L45" si="6">J43*K43</f>
        <v>39466</v>
      </c>
      <c r="M43" s="198">
        <f t="shared" ref="M43:M45" si="7">L43*1.17</f>
        <v>46175.219999999994</v>
      </c>
      <c r="N43" s="407" t="s">
        <v>13</v>
      </c>
      <c r="O43" s="561"/>
      <c r="P43" s="561"/>
      <c r="Q43" s="651"/>
      <c r="R43" s="566"/>
      <c r="S43" s="569"/>
    </row>
    <row r="44" spans="1:19" s="419" customFormat="1" ht="12.75" x14ac:dyDescent="0.2">
      <c r="A44" s="584"/>
      <c r="B44" s="586"/>
      <c r="C44" s="586"/>
      <c r="D44" s="586"/>
      <c r="E44" s="642"/>
      <c r="F44" s="642"/>
      <c r="G44" s="403" t="s">
        <v>1150</v>
      </c>
      <c r="H44" s="406">
        <v>65</v>
      </c>
      <c r="I44" s="34" t="s">
        <v>847</v>
      </c>
      <c r="J44" s="34">
        <v>33750</v>
      </c>
      <c r="K44" s="403">
        <v>1</v>
      </c>
      <c r="L44" s="198">
        <f t="shared" si="6"/>
        <v>33750</v>
      </c>
      <c r="M44" s="198">
        <f t="shared" si="7"/>
        <v>39487.5</v>
      </c>
      <c r="N44" s="407" t="s">
        <v>13</v>
      </c>
      <c r="O44" s="561"/>
      <c r="P44" s="561"/>
      <c r="Q44" s="651"/>
      <c r="R44" s="566"/>
      <c r="S44" s="569"/>
    </row>
    <row r="45" spans="1:19" s="419" customFormat="1" ht="25.5" x14ac:dyDescent="0.2">
      <c r="A45" s="584"/>
      <c r="B45" s="586"/>
      <c r="C45" s="586"/>
      <c r="D45" s="586"/>
      <c r="E45" s="642"/>
      <c r="F45" s="642"/>
      <c r="G45" s="403" t="s">
        <v>1152</v>
      </c>
      <c r="H45" s="406">
        <v>42</v>
      </c>
      <c r="I45" s="34" t="s">
        <v>847</v>
      </c>
      <c r="J45" s="34">
        <v>51000</v>
      </c>
      <c r="K45" s="403">
        <v>1</v>
      </c>
      <c r="L45" s="198">
        <f t="shared" si="6"/>
        <v>51000</v>
      </c>
      <c r="M45" s="198">
        <f t="shared" si="7"/>
        <v>59670</v>
      </c>
      <c r="N45" s="407" t="s">
        <v>13</v>
      </c>
      <c r="O45" s="561"/>
      <c r="P45" s="561"/>
      <c r="Q45" s="651"/>
      <c r="R45" s="566"/>
      <c r="S45" s="569"/>
    </row>
    <row r="46" spans="1:19" s="419" customFormat="1" ht="12.75" x14ac:dyDescent="0.2">
      <c r="A46" s="580"/>
      <c r="B46" s="581" t="s">
        <v>1297</v>
      </c>
      <c r="C46" s="582"/>
      <c r="D46" s="582"/>
      <c r="E46" s="582"/>
      <c r="F46" s="582"/>
      <c r="G46" s="582"/>
      <c r="H46" s="582"/>
      <c r="I46" s="582"/>
      <c r="J46" s="582"/>
      <c r="K46" s="582"/>
      <c r="L46" s="582"/>
      <c r="M46" s="582"/>
      <c r="N46" s="582"/>
      <c r="O46" s="582"/>
      <c r="P46" s="582"/>
      <c r="Q46" s="582"/>
      <c r="R46" s="582"/>
      <c r="S46" s="583"/>
    </row>
    <row r="47" spans="1:19" s="419" customFormat="1" ht="12.75" x14ac:dyDescent="0.2">
      <c r="A47" s="576" t="s">
        <v>1257</v>
      </c>
      <c r="B47" s="577"/>
      <c r="C47" s="577"/>
      <c r="D47" s="577"/>
      <c r="E47" s="577"/>
      <c r="F47" s="577"/>
      <c r="G47" s="577"/>
      <c r="H47" s="577"/>
      <c r="I47" s="577"/>
      <c r="J47" s="577"/>
      <c r="K47" s="577"/>
      <c r="L47" s="577"/>
      <c r="M47" s="577"/>
      <c r="N47" s="577"/>
      <c r="O47" s="577"/>
      <c r="P47" s="577"/>
      <c r="Q47" s="577"/>
      <c r="R47" s="577"/>
      <c r="S47" s="578"/>
    </row>
    <row r="48" spans="1:19" s="419" customFormat="1" ht="12.75" x14ac:dyDescent="0.2">
      <c r="A48" s="579">
        <v>9</v>
      </c>
      <c r="B48" s="585" t="s">
        <v>1298</v>
      </c>
      <c r="C48" s="585" t="s">
        <v>1201</v>
      </c>
      <c r="D48" s="585" t="s">
        <v>1299</v>
      </c>
      <c r="E48" s="641" t="s">
        <v>53</v>
      </c>
      <c r="F48" s="641" t="s">
        <v>54</v>
      </c>
      <c r="G48" s="13" t="s">
        <v>1300</v>
      </c>
      <c r="H48" s="14">
        <v>93</v>
      </c>
      <c r="I48" s="15" t="s">
        <v>14</v>
      </c>
      <c r="J48" s="15"/>
      <c r="K48" s="15"/>
      <c r="L48" s="381">
        <v>120000</v>
      </c>
      <c r="M48" s="381">
        <f t="shared" ref="M48:M51" si="8">L48*1.17</f>
        <v>140400</v>
      </c>
      <c r="N48" s="326" t="s">
        <v>13</v>
      </c>
      <c r="O48" s="560" t="s">
        <v>15</v>
      </c>
      <c r="P48" s="560" t="s">
        <v>97</v>
      </c>
      <c r="Q48" s="650"/>
      <c r="R48" s="565">
        <f>M48*(100-Q48)/100</f>
        <v>140400</v>
      </c>
      <c r="S48" s="568"/>
    </row>
    <row r="49" spans="1:19" s="419" customFormat="1" ht="12.75" x14ac:dyDescent="0.2">
      <c r="A49" s="584"/>
      <c r="B49" s="586"/>
      <c r="C49" s="586"/>
      <c r="D49" s="586"/>
      <c r="E49" s="642"/>
      <c r="F49" s="642"/>
      <c r="G49" s="367" t="s">
        <v>1301</v>
      </c>
      <c r="H49" s="467">
        <v>88</v>
      </c>
      <c r="I49" s="5" t="s">
        <v>14</v>
      </c>
      <c r="J49" s="5"/>
      <c r="K49" s="5"/>
      <c r="L49" s="372">
        <v>107730</v>
      </c>
      <c r="M49" s="372">
        <f t="shared" si="8"/>
        <v>126044.09999999999</v>
      </c>
      <c r="N49" s="468" t="s">
        <v>13</v>
      </c>
      <c r="O49" s="561"/>
      <c r="P49" s="561"/>
      <c r="Q49" s="651"/>
      <c r="R49" s="566"/>
      <c r="S49" s="569"/>
    </row>
    <row r="50" spans="1:19" s="419" customFormat="1" ht="12.75" x14ac:dyDescent="0.2">
      <c r="A50" s="584"/>
      <c r="B50" s="586"/>
      <c r="C50" s="586"/>
      <c r="D50" s="586"/>
      <c r="E50" s="642"/>
      <c r="F50" s="642"/>
      <c r="G50" s="468" t="s">
        <v>1302</v>
      </c>
      <c r="H50" s="467">
        <v>74</v>
      </c>
      <c r="I50" s="5" t="s">
        <v>14</v>
      </c>
      <c r="J50" s="5"/>
      <c r="K50" s="5"/>
      <c r="L50" s="372">
        <v>170000</v>
      </c>
      <c r="M50" s="372">
        <f t="shared" si="8"/>
        <v>198900</v>
      </c>
      <c r="N50" s="468" t="s">
        <v>13</v>
      </c>
      <c r="O50" s="561"/>
      <c r="P50" s="561"/>
      <c r="Q50" s="651"/>
      <c r="R50" s="566"/>
      <c r="S50" s="569"/>
    </row>
    <row r="51" spans="1:19" s="419" customFormat="1" ht="12.75" x14ac:dyDescent="0.2">
      <c r="A51" s="584"/>
      <c r="B51" s="586"/>
      <c r="C51" s="586"/>
      <c r="D51" s="586"/>
      <c r="E51" s="642"/>
      <c r="F51" s="642"/>
      <c r="G51" s="468" t="s">
        <v>1303</v>
      </c>
      <c r="H51" s="467">
        <v>73</v>
      </c>
      <c r="I51" s="5"/>
      <c r="J51" s="5"/>
      <c r="K51" s="5"/>
      <c r="L51" s="372">
        <v>174000</v>
      </c>
      <c r="M51" s="372">
        <f t="shared" si="8"/>
        <v>203580</v>
      </c>
      <c r="N51" s="468" t="s">
        <v>13</v>
      </c>
      <c r="O51" s="561"/>
      <c r="P51" s="561"/>
      <c r="Q51" s="651"/>
      <c r="R51" s="566"/>
      <c r="S51" s="569"/>
    </row>
    <row r="52" spans="1:19" s="419" customFormat="1" ht="12.75" x14ac:dyDescent="0.2">
      <c r="A52" s="576" t="s">
        <v>1283</v>
      </c>
      <c r="B52" s="577"/>
      <c r="C52" s="577"/>
      <c r="D52" s="577"/>
      <c r="E52" s="577"/>
      <c r="F52" s="577"/>
      <c r="G52" s="577"/>
      <c r="H52" s="577"/>
      <c r="I52" s="577"/>
      <c r="J52" s="577"/>
      <c r="K52" s="577"/>
      <c r="L52" s="577"/>
      <c r="M52" s="577"/>
      <c r="N52" s="577"/>
      <c r="O52" s="577"/>
      <c r="P52" s="577"/>
      <c r="Q52" s="577"/>
      <c r="R52" s="577"/>
      <c r="S52" s="578"/>
    </row>
    <row r="53" spans="1:19" s="419" customFormat="1" ht="12.75" x14ac:dyDescent="0.2">
      <c r="A53" s="579">
        <v>10</v>
      </c>
      <c r="B53" s="585" t="s">
        <v>1304</v>
      </c>
      <c r="C53" s="585" t="s">
        <v>1305</v>
      </c>
      <c r="D53" s="585"/>
      <c r="E53" s="641" t="s">
        <v>49</v>
      </c>
      <c r="F53" s="641" t="s">
        <v>61</v>
      </c>
      <c r="G53" s="468" t="s">
        <v>1306</v>
      </c>
      <c r="H53" s="467">
        <v>94</v>
      </c>
      <c r="I53" s="5" t="s">
        <v>14</v>
      </c>
      <c r="J53" s="5"/>
      <c r="K53" s="374"/>
      <c r="L53" s="198">
        <v>14000</v>
      </c>
      <c r="M53" s="198">
        <v>16380</v>
      </c>
      <c r="N53" s="367" t="s">
        <v>13</v>
      </c>
      <c r="O53" s="560" t="s">
        <v>15</v>
      </c>
      <c r="P53" s="560" t="s">
        <v>97</v>
      </c>
      <c r="Q53" s="650"/>
      <c r="R53" s="565">
        <f>M53*(100-Q53)/100</f>
        <v>16380</v>
      </c>
      <c r="S53" s="568" t="s">
        <v>18</v>
      </c>
    </row>
    <row r="54" spans="1:19" s="419" customFormat="1" ht="12.75" x14ac:dyDescent="0.2">
      <c r="A54" s="584"/>
      <c r="B54" s="586"/>
      <c r="C54" s="586"/>
      <c r="D54" s="586"/>
      <c r="E54" s="642"/>
      <c r="F54" s="642"/>
      <c r="G54" s="326" t="s">
        <v>1307</v>
      </c>
      <c r="H54" s="14">
        <v>100</v>
      </c>
      <c r="I54" s="15" t="s">
        <v>14</v>
      </c>
      <c r="J54" s="15"/>
      <c r="K54" s="469"/>
      <c r="L54" s="22">
        <v>14000</v>
      </c>
      <c r="M54" s="22">
        <v>16380</v>
      </c>
      <c r="N54" s="13" t="s">
        <v>13</v>
      </c>
      <c r="O54" s="561"/>
      <c r="P54" s="561"/>
      <c r="Q54" s="651"/>
      <c r="R54" s="566"/>
      <c r="S54" s="569"/>
    </row>
    <row r="55" spans="1:19" s="419" customFormat="1" ht="12.75" x14ac:dyDescent="0.2">
      <c r="A55" s="584"/>
      <c r="B55" s="586"/>
      <c r="C55" s="586"/>
      <c r="D55" s="586"/>
      <c r="E55" s="642"/>
      <c r="F55" s="642"/>
      <c r="G55" s="468" t="s">
        <v>1308</v>
      </c>
      <c r="H55" s="467" t="s">
        <v>1311</v>
      </c>
      <c r="I55" s="5"/>
      <c r="J55" s="5"/>
      <c r="K55" s="374"/>
      <c r="L55" s="198" t="s">
        <v>1309</v>
      </c>
      <c r="M55" s="198"/>
      <c r="N55" s="468" t="s">
        <v>13</v>
      </c>
      <c r="O55" s="561"/>
      <c r="P55" s="561"/>
      <c r="Q55" s="651"/>
      <c r="R55" s="566"/>
      <c r="S55" s="569"/>
    </row>
    <row r="56" spans="1:19" s="419" customFormat="1" ht="12.75" x14ac:dyDescent="0.2">
      <c r="A56" s="580"/>
      <c r="B56" s="581"/>
      <c r="C56" s="582"/>
      <c r="D56" s="582"/>
      <c r="E56" s="582"/>
      <c r="F56" s="582"/>
      <c r="G56" s="582"/>
      <c r="H56" s="582"/>
      <c r="I56" s="582"/>
      <c r="J56" s="582"/>
      <c r="K56" s="582"/>
      <c r="L56" s="582"/>
      <c r="M56" s="582"/>
      <c r="N56" s="582"/>
      <c r="O56" s="582"/>
      <c r="P56" s="582"/>
      <c r="Q56" s="582"/>
      <c r="R56" s="582"/>
      <c r="S56" s="583"/>
    </row>
    <row r="57" spans="1:19" s="419" customFormat="1" ht="12.75" x14ac:dyDescent="0.2">
      <c r="A57" s="576" t="s">
        <v>1284</v>
      </c>
      <c r="B57" s="577"/>
      <c r="C57" s="577"/>
      <c r="D57" s="577"/>
      <c r="E57" s="577"/>
      <c r="F57" s="577"/>
      <c r="G57" s="577"/>
      <c r="H57" s="577"/>
      <c r="I57" s="577"/>
      <c r="J57" s="577"/>
      <c r="K57" s="577"/>
      <c r="L57" s="577"/>
      <c r="M57" s="577"/>
      <c r="N57" s="577"/>
      <c r="O57" s="577"/>
      <c r="P57" s="577"/>
      <c r="Q57" s="577"/>
      <c r="R57" s="577"/>
      <c r="S57" s="578"/>
    </row>
    <row r="58" spans="1:19" s="419" customFormat="1" ht="12.75" x14ac:dyDescent="0.2">
      <c r="A58" s="579">
        <v>11</v>
      </c>
      <c r="B58" s="585" t="s">
        <v>1242</v>
      </c>
      <c r="C58" s="585" t="s">
        <v>1109</v>
      </c>
      <c r="D58" s="585">
        <v>246019</v>
      </c>
      <c r="E58" s="641" t="s">
        <v>43</v>
      </c>
      <c r="F58" s="641" t="s">
        <v>54</v>
      </c>
      <c r="G58" s="13" t="s">
        <v>1243</v>
      </c>
      <c r="H58" s="14">
        <v>100</v>
      </c>
      <c r="I58" s="15" t="s">
        <v>14</v>
      </c>
      <c r="J58" s="470">
        <v>25000</v>
      </c>
      <c r="K58" s="380">
        <v>1</v>
      </c>
      <c r="L58" s="470">
        <v>25000</v>
      </c>
      <c r="M58" s="470">
        <v>29250</v>
      </c>
      <c r="N58" s="326" t="s">
        <v>13</v>
      </c>
      <c r="O58" s="560" t="s">
        <v>15</v>
      </c>
      <c r="P58" s="560" t="s">
        <v>97</v>
      </c>
      <c r="Q58" s="650"/>
      <c r="R58" s="565">
        <v>29250</v>
      </c>
      <c r="S58" s="568"/>
    </row>
    <row r="59" spans="1:19" s="419" customFormat="1" ht="12.75" x14ac:dyDescent="0.2">
      <c r="A59" s="584"/>
      <c r="B59" s="586"/>
      <c r="C59" s="586"/>
      <c r="D59" s="586"/>
      <c r="E59" s="642"/>
      <c r="F59" s="642"/>
      <c r="G59" s="78" t="s">
        <v>1244</v>
      </c>
      <c r="H59" s="79">
        <v>94</v>
      </c>
      <c r="I59" s="118" t="s">
        <v>14</v>
      </c>
      <c r="J59" s="423">
        <v>25000</v>
      </c>
      <c r="K59" s="425">
        <v>1</v>
      </c>
      <c r="L59" s="423">
        <v>25000</v>
      </c>
      <c r="M59" s="423">
        <v>29250</v>
      </c>
      <c r="N59" s="442" t="s">
        <v>13</v>
      </c>
      <c r="O59" s="561"/>
      <c r="P59" s="561"/>
      <c r="Q59" s="651"/>
      <c r="R59" s="566"/>
      <c r="S59" s="569"/>
    </row>
    <row r="60" spans="1:19" s="419" customFormat="1" ht="12.75" x14ac:dyDescent="0.2">
      <c r="A60" s="584"/>
      <c r="B60" s="586"/>
      <c r="C60" s="586"/>
      <c r="D60" s="586"/>
      <c r="E60" s="642"/>
      <c r="F60" s="642"/>
      <c r="G60" s="78" t="s">
        <v>138</v>
      </c>
      <c r="H60" s="79">
        <v>97</v>
      </c>
      <c r="I60" s="118" t="s">
        <v>14</v>
      </c>
      <c r="J60" s="423">
        <v>26000</v>
      </c>
      <c r="K60" s="425">
        <v>1</v>
      </c>
      <c r="L60" s="423">
        <v>26000</v>
      </c>
      <c r="M60" s="423">
        <v>30420</v>
      </c>
      <c r="N60" s="442" t="s">
        <v>13</v>
      </c>
      <c r="O60" s="561"/>
      <c r="P60" s="561"/>
      <c r="Q60" s="651"/>
      <c r="R60" s="566"/>
      <c r="S60" s="569"/>
    </row>
    <row r="61" spans="1:19" s="419" customFormat="1" ht="12.75" x14ac:dyDescent="0.2">
      <c r="A61" s="584"/>
      <c r="B61" s="586"/>
      <c r="C61" s="586"/>
      <c r="D61" s="586"/>
      <c r="E61" s="642"/>
      <c r="F61" s="642"/>
      <c r="G61" s="426" t="s">
        <v>1245</v>
      </c>
      <c r="H61" s="79">
        <v>60</v>
      </c>
      <c r="I61" s="118" t="s">
        <v>14</v>
      </c>
      <c r="J61" s="423">
        <v>48000</v>
      </c>
      <c r="K61" s="425">
        <v>1</v>
      </c>
      <c r="L61" s="423">
        <v>48000</v>
      </c>
      <c r="M61" s="423">
        <v>56160</v>
      </c>
      <c r="N61" s="442" t="s">
        <v>13</v>
      </c>
      <c r="O61" s="561"/>
      <c r="P61" s="561"/>
      <c r="Q61" s="651"/>
      <c r="R61" s="566"/>
      <c r="S61" s="569"/>
    </row>
    <row r="62" spans="1:19" s="419" customFormat="1" ht="12.75" x14ac:dyDescent="0.2">
      <c r="A62" s="580"/>
      <c r="B62" s="581"/>
      <c r="C62" s="582"/>
      <c r="D62" s="582"/>
      <c r="E62" s="582"/>
      <c r="F62" s="582"/>
      <c r="G62" s="582"/>
      <c r="H62" s="582"/>
      <c r="I62" s="582"/>
      <c r="J62" s="582"/>
      <c r="K62" s="582"/>
      <c r="L62" s="582"/>
      <c r="M62" s="582"/>
      <c r="N62" s="582"/>
      <c r="O62" s="582"/>
      <c r="P62" s="582"/>
      <c r="Q62" s="582"/>
      <c r="R62" s="582"/>
      <c r="S62" s="583"/>
    </row>
    <row r="63" spans="1:19" s="419" customFormat="1" ht="12.75" x14ac:dyDescent="0.2">
      <c r="A63" s="576" t="s">
        <v>1285</v>
      </c>
      <c r="B63" s="577"/>
      <c r="C63" s="577"/>
      <c r="D63" s="577"/>
      <c r="E63" s="577"/>
      <c r="F63" s="577"/>
      <c r="G63" s="577"/>
      <c r="H63" s="577"/>
      <c r="I63" s="577"/>
      <c r="J63" s="577"/>
      <c r="K63" s="577"/>
      <c r="L63" s="577"/>
      <c r="M63" s="577"/>
      <c r="N63" s="577"/>
      <c r="O63" s="577"/>
      <c r="P63" s="577"/>
      <c r="Q63" s="577"/>
      <c r="R63" s="577"/>
      <c r="S63" s="578"/>
    </row>
    <row r="64" spans="1:19" s="419" customFormat="1" ht="26.45" customHeight="1" x14ac:dyDescent="0.2">
      <c r="A64" s="579">
        <v>12</v>
      </c>
      <c r="B64" s="654" t="s">
        <v>1288</v>
      </c>
      <c r="C64" s="585" t="s">
        <v>1109</v>
      </c>
      <c r="D64" s="585" t="s">
        <v>1289</v>
      </c>
      <c r="E64" s="585" t="s">
        <v>46</v>
      </c>
      <c r="F64" s="641" t="s">
        <v>54</v>
      </c>
      <c r="G64" s="471" t="s">
        <v>1290</v>
      </c>
      <c r="H64" s="14">
        <v>100</v>
      </c>
      <c r="I64" s="15" t="s">
        <v>73</v>
      </c>
      <c r="J64" s="470">
        <v>150</v>
      </c>
      <c r="K64" s="364">
        <v>300</v>
      </c>
      <c r="L64" s="470">
        <v>45000</v>
      </c>
      <c r="M64" s="470">
        <v>52650</v>
      </c>
      <c r="N64" s="470" t="s">
        <v>13</v>
      </c>
      <c r="O64" s="560" t="s">
        <v>15</v>
      </c>
      <c r="P64" s="560" t="s">
        <v>97</v>
      </c>
      <c r="Q64" s="560"/>
      <c r="R64" s="565">
        <v>52650</v>
      </c>
      <c r="S64" s="565"/>
    </row>
    <row r="65" spans="1:19" s="419" customFormat="1" ht="25.5" x14ac:dyDescent="0.2">
      <c r="A65" s="584"/>
      <c r="B65" s="655"/>
      <c r="C65" s="586"/>
      <c r="D65" s="586"/>
      <c r="E65" s="586"/>
      <c r="F65" s="642"/>
      <c r="G65" s="463" t="s">
        <v>1291</v>
      </c>
      <c r="H65" s="79">
        <v>75</v>
      </c>
      <c r="I65" s="118" t="s">
        <v>73</v>
      </c>
      <c r="J65" s="423">
        <v>234</v>
      </c>
      <c r="K65" s="464">
        <v>300</v>
      </c>
      <c r="L65" s="423">
        <v>70200</v>
      </c>
      <c r="M65" s="423">
        <v>82134</v>
      </c>
      <c r="N65" s="423" t="s">
        <v>13</v>
      </c>
      <c r="O65" s="561"/>
      <c r="P65" s="561"/>
      <c r="Q65" s="561"/>
      <c r="R65" s="566"/>
      <c r="S65" s="566"/>
    </row>
    <row r="66" spans="1:19" s="419" customFormat="1" ht="12.75" x14ac:dyDescent="0.2">
      <c r="A66" s="584"/>
      <c r="B66" s="655"/>
      <c r="C66" s="586"/>
      <c r="D66" s="586"/>
      <c r="E66" s="586"/>
      <c r="F66" s="642"/>
      <c r="G66" s="463" t="s">
        <v>121</v>
      </c>
      <c r="H66" s="79">
        <v>69</v>
      </c>
      <c r="I66" s="118" t="s">
        <v>73</v>
      </c>
      <c r="J66" s="423">
        <v>270</v>
      </c>
      <c r="K66" s="464">
        <v>300</v>
      </c>
      <c r="L66" s="423">
        <v>81000</v>
      </c>
      <c r="M66" s="423">
        <v>94770</v>
      </c>
      <c r="N66" s="423" t="s">
        <v>13</v>
      </c>
      <c r="O66" s="561"/>
      <c r="P66" s="561"/>
      <c r="Q66" s="561"/>
      <c r="R66" s="566"/>
      <c r="S66" s="566"/>
    </row>
    <row r="67" spans="1:19" s="419" customFormat="1" ht="25.5" x14ac:dyDescent="0.2">
      <c r="A67" s="584"/>
      <c r="B67" s="656"/>
      <c r="C67" s="596"/>
      <c r="D67" s="596"/>
      <c r="E67" s="596"/>
      <c r="F67" s="643"/>
      <c r="G67" s="463" t="s">
        <v>1292</v>
      </c>
      <c r="H67" s="79">
        <v>59</v>
      </c>
      <c r="I67" s="118" t="s">
        <v>73</v>
      </c>
      <c r="J67" s="423">
        <v>360</v>
      </c>
      <c r="K67" s="464">
        <v>300</v>
      </c>
      <c r="L67" s="423">
        <v>108000</v>
      </c>
      <c r="M67" s="423">
        <v>126360</v>
      </c>
      <c r="N67" s="423" t="s">
        <v>13</v>
      </c>
      <c r="O67" s="561"/>
      <c r="P67" s="562"/>
      <c r="Q67" s="562"/>
      <c r="R67" s="567"/>
      <c r="S67" s="567"/>
    </row>
    <row r="68" spans="1:19" s="419" customFormat="1" ht="12.75" customHeight="1" x14ac:dyDescent="0.2">
      <c r="A68" s="580"/>
      <c r="B68" s="581"/>
      <c r="C68" s="582"/>
      <c r="D68" s="582"/>
      <c r="E68" s="582"/>
      <c r="F68" s="582"/>
      <c r="G68" s="582"/>
      <c r="H68" s="582"/>
      <c r="I68" s="582"/>
      <c r="J68" s="582"/>
      <c r="K68" s="582"/>
      <c r="L68" s="582"/>
      <c r="M68" s="582"/>
      <c r="N68" s="582"/>
      <c r="O68" s="582"/>
      <c r="P68" s="582"/>
      <c r="Q68" s="582"/>
      <c r="R68" s="582"/>
      <c r="S68" s="583"/>
    </row>
    <row r="69" spans="1:19" s="419" customFormat="1" ht="12.75" x14ac:dyDescent="0.2">
      <c r="A69" s="576" t="s">
        <v>1286</v>
      </c>
      <c r="B69" s="577"/>
      <c r="C69" s="577"/>
      <c r="D69" s="577"/>
      <c r="E69" s="577"/>
      <c r="F69" s="577"/>
      <c r="G69" s="577"/>
      <c r="H69" s="577"/>
      <c r="I69" s="577"/>
      <c r="J69" s="577"/>
      <c r="K69" s="577"/>
      <c r="L69" s="577"/>
      <c r="M69" s="577"/>
      <c r="N69" s="577"/>
      <c r="O69" s="577"/>
      <c r="P69" s="577"/>
      <c r="Q69" s="577"/>
      <c r="R69" s="577"/>
      <c r="S69" s="578"/>
    </row>
    <row r="70" spans="1:19" s="419" customFormat="1" ht="51" x14ac:dyDescent="0.2">
      <c r="A70" s="579">
        <v>13</v>
      </c>
      <c r="B70" s="432" t="s">
        <v>1293</v>
      </c>
      <c r="C70" s="432" t="s">
        <v>1124</v>
      </c>
      <c r="D70" s="432">
        <v>2440042950</v>
      </c>
      <c r="E70" s="433" t="s">
        <v>43</v>
      </c>
      <c r="F70" s="433" t="s">
        <v>54</v>
      </c>
      <c r="G70" s="13" t="s">
        <v>1287</v>
      </c>
      <c r="H70" s="14">
        <v>75</v>
      </c>
      <c r="I70" s="15" t="s">
        <v>14</v>
      </c>
      <c r="J70" s="15"/>
      <c r="K70" s="15"/>
      <c r="L70" s="22">
        <v>32000</v>
      </c>
      <c r="M70" s="22">
        <f t="shared" ref="M70" si="9">L70*1.17</f>
        <v>37440</v>
      </c>
      <c r="N70" s="326" t="s">
        <v>13</v>
      </c>
      <c r="O70" s="466" t="s">
        <v>116</v>
      </c>
      <c r="P70" s="430" t="s">
        <v>97</v>
      </c>
      <c r="Q70" s="431"/>
      <c r="R70" s="429">
        <f>M70*(100-Q70)/100</f>
        <v>37440</v>
      </c>
      <c r="S70" s="428"/>
    </row>
    <row r="71" spans="1:19" s="419" customFormat="1" ht="12.75" x14ac:dyDescent="0.2">
      <c r="A71" s="580"/>
      <c r="B71" s="581" t="s">
        <v>1294</v>
      </c>
      <c r="C71" s="582"/>
      <c r="D71" s="582"/>
      <c r="E71" s="582"/>
      <c r="F71" s="582"/>
      <c r="G71" s="582"/>
      <c r="H71" s="582"/>
      <c r="I71" s="582"/>
      <c r="J71" s="582"/>
      <c r="K71" s="582"/>
      <c r="L71" s="582"/>
      <c r="M71" s="582"/>
      <c r="N71" s="582"/>
      <c r="O71" s="582"/>
      <c r="P71" s="582"/>
      <c r="Q71" s="582"/>
      <c r="R71" s="582"/>
      <c r="S71" s="582"/>
    </row>
    <row r="72" spans="1:19" s="419" customFormat="1" ht="12.75" x14ac:dyDescent="0.2">
      <c r="A72" s="427"/>
      <c r="B72" s="409"/>
      <c r="C72" s="409"/>
      <c r="D72" s="409"/>
      <c r="E72" s="409"/>
      <c r="F72" s="409"/>
      <c r="G72" s="409"/>
      <c r="H72" s="409"/>
      <c r="I72" s="409"/>
      <c r="J72" s="409"/>
      <c r="K72" s="409"/>
      <c r="L72" s="409"/>
      <c r="M72" s="409"/>
      <c r="N72" s="409"/>
      <c r="O72" s="409"/>
      <c r="P72" s="409"/>
      <c r="Q72" s="409"/>
      <c r="R72" s="409"/>
      <c r="S72" s="415"/>
    </row>
    <row r="73" spans="1:19" s="419" customFormat="1" ht="12.75" x14ac:dyDescent="0.2">
      <c r="A73" s="576" t="s">
        <v>1128</v>
      </c>
      <c r="B73" s="577"/>
      <c r="C73" s="577"/>
      <c r="D73" s="577"/>
      <c r="E73" s="577"/>
      <c r="F73" s="577"/>
      <c r="G73" s="577"/>
      <c r="H73" s="577"/>
      <c r="I73" s="577"/>
      <c r="J73" s="577"/>
      <c r="K73" s="577"/>
      <c r="L73" s="577"/>
      <c r="M73" s="577"/>
      <c r="N73" s="577"/>
      <c r="O73" s="577"/>
      <c r="P73" s="577"/>
      <c r="Q73" s="577"/>
      <c r="R73" s="577"/>
      <c r="S73" s="578"/>
    </row>
    <row r="74" spans="1:19" s="419" customFormat="1" ht="51" x14ac:dyDescent="0.2">
      <c r="A74" s="579">
        <v>4</v>
      </c>
      <c r="B74" s="413" t="s">
        <v>1235</v>
      </c>
      <c r="C74" s="413" t="s">
        <v>1124</v>
      </c>
      <c r="D74" s="413">
        <v>44014</v>
      </c>
      <c r="E74" s="414" t="s">
        <v>53</v>
      </c>
      <c r="F74" s="414" t="s">
        <v>54</v>
      </c>
      <c r="G74" s="13" t="s">
        <v>1255</v>
      </c>
      <c r="H74" s="14">
        <v>100</v>
      </c>
      <c r="I74" s="15" t="s">
        <v>73</v>
      </c>
      <c r="J74" s="472" t="s">
        <v>1131</v>
      </c>
      <c r="K74" s="14">
        <v>400</v>
      </c>
      <c r="L74" s="379">
        <v>72000</v>
      </c>
      <c r="M74" s="379">
        <v>84240</v>
      </c>
      <c r="N74" s="326" t="s">
        <v>13</v>
      </c>
      <c r="O74" s="412" t="s">
        <v>116</v>
      </c>
      <c r="P74" s="412" t="s">
        <v>97</v>
      </c>
      <c r="Q74" s="422"/>
      <c r="R74" s="411">
        <f>M74*(100-Q74)/100</f>
        <v>84240</v>
      </c>
      <c r="S74" s="410"/>
    </row>
    <row r="75" spans="1:19" s="419" customFormat="1" ht="12.75" x14ac:dyDescent="0.2">
      <c r="A75" s="580"/>
      <c r="B75" s="581" t="s">
        <v>1236</v>
      </c>
      <c r="C75" s="582"/>
      <c r="D75" s="582"/>
      <c r="E75" s="582"/>
      <c r="F75" s="582"/>
      <c r="G75" s="582"/>
      <c r="H75" s="582"/>
      <c r="I75" s="582"/>
      <c r="J75" s="582"/>
      <c r="K75" s="582"/>
      <c r="L75" s="582"/>
      <c r="M75" s="582"/>
      <c r="N75" s="582"/>
      <c r="O75" s="582"/>
      <c r="P75" s="582"/>
      <c r="Q75" s="582"/>
      <c r="R75" s="582"/>
      <c r="S75" s="582"/>
    </row>
    <row r="76" spans="1:19" s="419" customFormat="1" ht="14.25" customHeight="1" x14ac:dyDescent="0.2">
      <c r="A76" s="424"/>
      <c r="B76" s="189"/>
      <c r="C76" s="189"/>
      <c r="D76" s="189"/>
      <c r="E76" s="189"/>
      <c r="F76" s="189"/>
      <c r="G76" s="189"/>
      <c r="H76" s="189"/>
      <c r="I76" s="189"/>
      <c r="J76" s="189"/>
      <c r="K76" s="189"/>
      <c r="L76" s="189"/>
      <c r="M76" s="189"/>
      <c r="N76" s="189"/>
      <c r="O76" s="189"/>
      <c r="P76" s="189"/>
      <c r="Q76" s="189"/>
      <c r="R76" s="189"/>
      <c r="S76" s="189"/>
    </row>
    <row r="77" spans="1:19" x14ac:dyDescent="0.2">
      <c r="B77" s="23"/>
    </row>
  </sheetData>
  <autoFilter ref="A1:S9" xr:uid="{0DEADEC1-A3F8-448B-9D16-127802E1B852}">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autoFilter>
  <mergeCells count="147">
    <mergeCell ref="B68:S68"/>
    <mergeCell ref="A30:A34"/>
    <mergeCell ref="B30:B33"/>
    <mergeCell ref="A64:A68"/>
    <mergeCell ref="B64:B67"/>
    <mergeCell ref="C64:C67"/>
    <mergeCell ref="D64:D67"/>
    <mergeCell ref="O30:O33"/>
    <mergeCell ref="P42:P45"/>
    <mergeCell ref="Q42:Q45"/>
    <mergeCell ref="R42:R45"/>
    <mergeCell ref="S42:S45"/>
    <mergeCell ref="A41:S41"/>
    <mergeCell ref="C42:C45"/>
    <mergeCell ref="D42:D45"/>
    <mergeCell ref="E42:E45"/>
    <mergeCell ref="F42:F45"/>
    <mergeCell ref="O42:O45"/>
    <mergeCell ref="A52:S52"/>
    <mergeCell ref="A53:A56"/>
    <mergeCell ref="A57:S57"/>
    <mergeCell ref="A58:A62"/>
    <mergeCell ref="O58:O61"/>
    <mergeCell ref="P58:P61"/>
    <mergeCell ref="A15:S15"/>
    <mergeCell ref="A16:A19"/>
    <mergeCell ref="B16:B18"/>
    <mergeCell ref="B19:S19"/>
    <mergeCell ref="C16:C18"/>
    <mergeCell ref="D16:D18"/>
    <mergeCell ref="S36:S39"/>
    <mergeCell ref="B40:S40"/>
    <mergeCell ref="A21:A22"/>
    <mergeCell ref="E16:E18"/>
    <mergeCell ref="F16:F18"/>
    <mergeCell ref="O16:O18"/>
    <mergeCell ref="P16:P18"/>
    <mergeCell ref="Q16:Q18"/>
    <mergeCell ref="R16:R18"/>
    <mergeCell ref="S16:S18"/>
    <mergeCell ref="A20:S20"/>
    <mergeCell ref="B34:S34"/>
    <mergeCell ref="S24:S27"/>
    <mergeCell ref="B22:S22"/>
    <mergeCell ref="A10:S10"/>
    <mergeCell ref="A11:A14"/>
    <mergeCell ref="B11:B13"/>
    <mergeCell ref="C11:C13"/>
    <mergeCell ref="D11:D13"/>
    <mergeCell ref="E11:E13"/>
    <mergeCell ref="F11:F13"/>
    <mergeCell ref="O11:O13"/>
    <mergeCell ref="P11:P13"/>
    <mergeCell ref="Q11:Q13"/>
    <mergeCell ref="R11:R13"/>
    <mergeCell ref="S11:S13"/>
    <mergeCell ref="B14:S14"/>
    <mergeCell ref="A7:S7"/>
    <mergeCell ref="A8:A9"/>
    <mergeCell ref="B9:S9"/>
    <mergeCell ref="A1:A6"/>
    <mergeCell ref="B1:S1"/>
    <mergeCell ref="B2:S2"/>
    <mergeCell ref="B3:S3"/>
    <mergeCell ref="B4:S4"/>
    <mergeCell ref="B5:S5"/>
    <mergeCell ref="A74:A75"/>
    <mergeCell ref="B75:S75"/>
    <mergeCell ref="A23:S23"/>
    <mergeCell ref="P30:P33"/>
    <mergeCell ref="Q30:Q33"/>
    <mergeCell ref="R30:R33"/>
    <mergeCell ref="S30:S33"/>
    <mergeCell ref="B28:S28"/>
    <mergeCell ref="A29:S29"/>
    <mergeCell ref="C30:C33"/>
    <mergeCell ref="D30:D33"/>
    <mergeCell ref="E30:E33"/>
    <mergeCell ref="F30:F33"/>
    <mergeCell ref="A42:A46"/>
    <mergeCell ref="B42:B45"/>
    <mergeCell ref="F24:F27"/>
    <mergeCell ref="O24:O27"/>
    <mergeCell ref="P24:P27"/>
    <mergeCell ref="Q24:Q27"/>
    <mergeCell ref="R24:R27"/>
    <mergeCell ref="A24:A28"/>
    <mergeCell ref="B24:B27"/>
    <mergeCell ref="C24:C27"/>
    <mergeCell ref="D24:D27"/>
    <mergeCell ref="A69:S69"/>
    <mergeCell ref="A70:A71"/>
    <mergeCell ref="B71:S71"/>
    <mergeCell ref="A73:S73"/>
    <mergeCell ref="E24:E27"/>
    <mergeCell ref="A35:S35"/>
    <mergeCell ref="A36:A40"/>
    <mergeCell ref="B36:B39"/>
    <mergeCell ref="C36:C39"/>
    <mergeCell ref="D36:D39"/>
    <mergeCell ref="E36:E39"/>
    <mergeCell ref="F36:F39"/>
    <mergeCell ref="O36:O39"/>
    <mergeCell ref="P36:P39"/>
    <mergeCell ref="Q36:Q39"/>
    <mergeCell ref="R36:R39"/>
    <mergeCell ref="B46:S46"/>
    <mergeCell ref="E64:E67"/>
    <mergeCell ref="F64:F67"/>
    <mergeCell ref="A47:S47"/>
    <mergeCell ref="A48:A51"/>
    <mergeCell ref="P64:P67"/>
    <mergeCell ref="Q64:Q67"/>
    <mergeCell ref="S48:S51"/>
    <mergeCell ref="B48:B51"/>
    <mergeCell ref="C48:C51"/>
    <mergeCell ref="D48:D51"/>
    <mergeCell ref="E48:E51"/>
    <mergeCell ref="F48:F51"/>
    <mergeCell ref="O48:O51"/>
    <mergeCell ref="P48:P51"/>
    <mergeCell ref="Q48:Q51"/>
    <mergeCell ref="R48:R51"/>
    <mergeCell ref="O64:O67"/>
    <mergeCell ref="D53:D55"/>
    <mergeCell ref="E53:E55"/>
    <mergeCell ref="F53:F55"/>
    <mergeCell ref="O53:O55"/>
    <mergeCell ref="P53:P55"/>
    <mergeCell ref="Q53:Q55"/>
    <mergeCell ref="R53:R55"/>
    <mergeCell ref="S53:S55"/>
    <mergeCell ref="B56:S56"/>
    <mergeCell ref="A63:S63"/>
    <mergeCell ref="B58:B61"/>
    <mergeCell ref="C58:C61"/>
    <mergeCell ref="D58:D61"/>
    <mergeCell ref="E58:E61"/>
    <mergeCell ref="F58:F61"/>
    <mergeCell ref="B62:S62"/>
    <mergeCell ref="R64:R67"/>
    <mergeCell ref="S64:S67"/>
    <mergeCell ref="Q58:Q61"/>
    <mergeCell ref="R58:R61"/>
    <mergeCell ref="S58:S61"/>
    <mergeCell ref="B53:B55"/>
    <mergeCell ref="C53:C55"/>
  </mergeCells>
  <dataValidations count="2">
    <dataValidation type="list" allowBlank="1" showInputMessage="1" showErrorMessage="1" sqref="O8 O24:O27 O30:O33 O36:O39 O42:O45 O21 O48:O51 O53:O55 O58:O61 O64" xr:uid="{C4F71063-C050-4C63-844F-C7DE5B479292}">
      <formula1>#REF!</formula1>
    </dataValidation>
    <dataValidation type="list" allowBlank="1" showInputMessage="1" showErrorMessage="1" sqref="E8:F8 E24:F27 E30:F33 E36:F39 E42:F45 E74:F74 E70:F70 E21:F21 E58:F61 E48:F51 E53:F55" xr:uid="{BC336938-8790-496C-A0FD-400575982C64}">
      <formula1>#REF!</formula1>
    </dataValidation>
  </dataValidations>
  <pageMargins left="0.25" right="0.25" top="0.75" bottom="0.75" header="0.3" footer="0.3"/>
  <pageSetup paperSize="9" scale="53" fitToHeight="0" orientation="landscape" r:id="rId1"/>
  <rowBreaks count="1" manualBreakCount="1">
    <brk id="40" max="1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8ECBD6-38E0-4088-AE1E-449340941C92}">
  <sheetPr>
    <pageSetUpPr fitToPage="1"/>
  </sheetPr>
  <dimension ref="A1:U61"/>
  <sheetViews>
    <sheetView rightToLeft="1" topLeftCell="F1" zoomScale="110" zoomScaleNormal="110" zoomScaleSheetLayoutView="80" workbookViewId="0">
      <pane ySplit="6" topLeftCell="A58" activePane="bottomLeft" state="frozen"/>
      <selection pane="bottomLeft" activeCell="R53" sqref="R53:R55"/>
    </sheetView>
  </sheetViews>
  <sheetFormatPr defaultColWidth="8.75" defaultRowHeight="15" x14ac:dyDescent="0.2"/>
  <cols>
    <col min="1" max="1" width="4.25" customWidth="1"/>
    <col min="2" max="2" width="21.125" bestFit="1" customWidth="1"/>
    <col min="4" max="4" width="12" bestFit="1" customWidth="1"/>
    <col min="5" max="5" width="11.25" customWidth="1"/>
    <col min="7" max="7" width="7.25" customWidth="1"/>
    <col min="8" max="8" width="7.75" customWidth="1"/>
    <col min="9" max="9" width="10.25" bestFit="1" customWidth="1"/>
    <col min="10" max="10" width="14.125" customWidth="1"/>
    <col min="11" max="11" width="10.25" customWidth="1"/>
    <col min="12" max="12" width="12.125" style="7" bestFit="1" customWidth="1"/>
    <col min="13" max="13" width="13.625" style="8" bestFit="1" customWidth="1"/>
    <col min="14" max="14" width="10.875" style="8" customWidth="1"/>
    <col min="15" max="15" width="13.875" customWidth="1"/>
    <col min="16" max="16" width="22.5" style="9" customWidth="1"/>
    <col min="17" max="17" width="12.375" style="9" customWidth="1"/>
    <col min="18" max="18" width="15" style="9" customWidth="1"/>
    <col min="19" max="19" width="14.625" style="247" customWidth="1"/>
  </cols>
  <sheetData>
    <row r="1" spans="1:21" ht="20.25" x14ac:dyDescent="0.2">
      <c r="A1" s="571"/>
      <c r="B1" s="572" t="s">
        <v>1225</v>
      </c>
      <c r="C1" s="572"/>
      <c r="D1" s="572"/>
      <c r="E1" s="572"/>
      <c r="F1" s="572"/>
      <c r="G1" s="572"/>
      <c r="H1" s="572"/>
      <c r="I1" s="572"/>
      <c r="J1" s="572"/>
      <c r="K1" s="572"/>
      <c r="L1" s="572"/>
      <c r="M1" s="572"/>
      <c r="N1" s="572"/>
      <c r="O1" s="572"/>
      <c r="P1" s="572"/>
      <c r="Q1" s="572"/>
      <c r="R1" s="572"/>
      <c r="S1" s="572"/>
    </row>
    <row r="2" spans="1:21" ht="14.25" x14ac:dyDescent="0.2">
      <c r="A2" s="571"/>
      <c r="B2" s="573" t="s">
        <v>792</v>
      </c>
      <c r="C2" s="573"/>
      <c r="D2" s="573"/>
      <c r="E2" s="573"/>
      <c r="F2" s="573"/>
      <c r="G2" s="573"/>
      <c r="H2" s="573"/>
      <c r="I2" s="573"/>
      <c r="J2" s="573"/>
      <c r="K2" s="573"/>
      <c r="L2" s="573"/>
      <c r="M2" s="573"/>
      <c r="N2" s="573"/>
      <c r="O2" s="573"/>
      <c r="P2" s="573"/>
      <c r="Q2" s="573"/>
      <c r="R2" s="573"/>
      <c r="S2" s="573"/>
    </row>
    <row r="3" spans="1:21" ht="15.75" x14ac:dyDescent="0.2">
      <c r="A3" s="571"/>
      <c r="B3" s="574" t="s">
        <v>795</v>
      </c>
      <c r="C3" s="574"/>
      <c r="D3" s="574"/>
      <c r="E3" s="574"/>
      <c r="F3" s="574"/>
      <c r="G3" s="574"/>
      <c r="H3" s="574"/>
      <c r="I3" s="574"/>
      <c r="J3" s="574"/>
      <c r="K3" s="574"/>
      <c r="L3" s="574"/>
      <c r="M3" s="574"/>
      <c r="N3" s="574"/>
      <c r="O3" s="574"/>
      <c r="P3" s="574"/>
      <c r="Q3" s="574"/>
      <c r="R3" s="574"/>
      <c r="S3" s="574"/>
    </row>
    <row r="4" spans="1:21" ht="14.25" x14ac:dyDescent="0.2">
      <c r="A4" s="571"/>
      <c r="B4" s="575" t="s">
        <v>52</v>
      </c>
      <c r="C4" s="575"/>
      <c r="D4" s="575"/>
      <c r="E4" s="575"/>
      <c r="F4" s="575"/>
      <c r="G4" s="575"/>
      <c r="H4" s="575"/>
      <c r="I4" s="575"/>
      <c r="J4" s="575"/>
      <c r="K4" s="575"/>
      <c r="L4" s="575"/>
      <c r="M4" s="575"/>
      <c r="N4" s="575"/>
      <c r="O4" s="575"/>
      <c r="P4" s="575"/>
      <c r="Q4" s="575"/>
      <c r="R4" s="575"/>
      <c r="S4" s="575"/>
    </row>
    <row r="5" spans="1:21" ht="14.25" x14ac:dyDescent="0.2">
      <c r="A5" s="571"/>
      <c r="B5" s="575" t="s">
        <v>51</v>
      </c>
      <c r="C5" s="575"/>
      <c r="D5" s="575"/>
      <c r="E5" s="575"/>
      <c r="F5" s="575"/>
      <c r="G5" s="575"/>
      <c r="H5" s="575"/>
      <c r="I5" s="575"/>
      <c r="J5" s="575"/>
      <c r="K5" s="575"/>
      <c r="L5" s="575"/>
      <c r="M5" s="575"/>
      <c r="N5" s="575"/>
      <c r="O5" s="575"/>
      <c r="P5" s="575"/>
      <c r="Q5" s="575"/>
      <c r="R5" s="575"/>
      <c r="S5" s="575"/>
    </row>
    <row r="6" spans="1:21" s="307" customFormat="1" ht="78.75" x14ac:dyDescent="0.2">
      <c r="A6" s="571"/>
      <c r="B6" s="35" t="s">
        <v>0</v>
      </c>
      <c r="C6" s="35" t="s">
        <v>1</v>
      </c>
      <c r="D6" s="35" t="s">
        <v>830</v>
      </c>
      <c r="E6" s="35" t="s">
        <v>35</v>
      </c>
      <c r="F6" s="35" t="s">
        <v>831</v>
      </c>
      <c r="G6" s="35" t="s">
        <v>2</v>
      </c>
      <c r="H6" s="35" t="s">
        <v>3</v>
      </c>
      <c r="I6" s="35" t="s">
        <v>832</v>
      </c>
      <c r="J6" s="35" t="s">
        <v>833</v>
      </c>
      <c r="K6" s="308" t="s">
        <v>834</v>
      </c>
      <c r="L6" s="309" t="s">
        <v>835</v>
      </c>
      <c r="M6" s="310" t="s">
        <v>836</v>
      </c>
      <c r="N6" s="35" t="s">
        <v>8</v>
      </c>
      <c r="O6" s="35" t="s">
        <v>9</v>
      </c>
      <c r="P6" s="35" t="s">
        <v>95</v>
      </c>
      <c r="Q6" s="35" t="s">
        <v>837</v>
      </c>
      <c r="R6" s="401" t="s">
        <v>729</v>
      </c>
      <c r="S6" s="35" t="s">
        <v>10</v>
      </c>
    </row>
    <row r="7" spans="1:21" ht="15.75" x14ac:dyDescent="0.2">
      <c r="A7" s="556" t="s">
        <v>1177</v>
      </c>
      <c r="B7" s="557"/>
      <c r="C7" s="557"/>
      <c r="D7" s="557"/>
      <c r="E7" s="557"/>
      <c r="F7" s="557"/>
      <c r="G7" s="557"/>
      <c r="H7" s="557"/>
      <c r="I7" s="557"/>
      <c r="J7" s="557"/>
      <c r="K7" s="557"/>
      <c r="L7" s="557"/>
      <c r="M7" s="557"/>
      <c r="N7" s="557"/>
      <c r="O7" s="557"/>
      <c r="P7" s="557"/>
      <c r="Q7" s="557"/>
      <c r="R7" s="557"/>
      <c r="S7" s="661"/>
    </row>
    <row r="8" spans="1:21" ht="76.5" x14ac:dyDescent="0.2">
      <c r="A8" s="593">
        <v>1</v>
      </c>
      <c r="B8" s="394" t="s">
        <v>1173</v>
      </c>
      <c r="C8" s="395" t="s">
        <v>1174</v>
      </c>
      <c r="D8" s="395">
        <v>1752100782</v>
      </c>
      <c r="E8" s="396" t="s">
        <v>66</v>
      </c>
      <c r="F8" s="396" t="s">
        <v>134</v>
      </c>
      <c r="G8" s="13" t="s">
        <v>1175</v>
      </c>
      <c r="H8" s="14">
        <v>100</v>
      </c>
      <c r="I8" s="15" t="s">
        <v>14</v>
      </c>
      <c r="J8" s="18">
        <v>8000</v>
      </c>
      <c r="K8" s="364">
        <v>1</v>
      </c>
      <c r="L8" s="36">
        <f>K8*J8</f>
        <v>8000</v>
      </c>
      <c r="M8" s="18">
        <f>L8*117/100</f>
        <v>9360</v>
      </c>
      <c r="N8" s="13" t="s">
        <v>13</v>
      </c>
      <c r="O8" s="386" t="s">
        <v>116</v>
      </c>
      <c r="P8" s="393" t="s">
        <v>1224</v>
      </c>
      <c r="Q8" s="361"/>
      <c r="R8" s="397">
        <f>(L8-1000)*1.17</f>
        <v>8189.9999999999991</v>
      </c>
      <c r="S8" s="398" t="s">
        <v>18</v>
      </c>
      <c r="T8" s="247"/>
      <c r="U8" s="11"/>
    </row>
    <row r="9" spans="1:21" ht="34.15" customHeight="1" x14ac:dyDescent="0.2">
      <c r="A9" s="595"/>
      <c r="B9" s="581" t="s">
        <v>1176</v>
      </c>
      <c r="C9" s="582"/>
      <c r="D9" s="582"/>
      <c r="E9" s="582"/>
      <c r="F9" s="582"/>
      <c r="G9" s="582"/>
      <c r="H9" s="582"/>
      <c r="I9" s="582"/>
      <c r="J9" s="582"/>
      <c r="K9" s="582"/>
      <c r="L9" s="582"/>
      <c r="M9" s="582"/>
      <c r="N9" s="582"/>
      <c r="O9" s="582"/>
      <c r="P9" s="582"/>
      <c r="Q9" s="582"/>
      <c r="R9" s="582"/>
      <c r="S9" s="583"/>
    </row>
    <row r="10" spans="1:21" ht="15.75" x14ac:dyDescent="0.2">
      <c r="A10" s="556" t="s">
        <v>1178</v>
      </c>
      <c r="B10" s="557"/>
      <c r="C10" s="557"/>
      <c r="D10" s="557"/>
      <c r="E10" s="557"/>
      <c r="F10" s="557"/>
      <c r="G10" s="557"/>
      <c r="H10" s="557"/>
      <c r="I10" s="557"/>
      <c r="J10" s="557"/>
      <c r="K10" s="557"/>
      <c r="L10" s="557"/>
      <c r="M10" s="557"/>
      <c r="N10" s="557"/>
      <c r="O10" s="557"/>
      <c r="P10" s="557"/>
      <c r="Q10" s="557"/>
      <c r="R10" s="557"/>
      <c r="S10" s="661"/>
    </row>
    <row r="11" spans="1:21" ht="25.5" customHeight="1" x14ac:dyDescent="0.2">
      <c r="A11" s="593">
        <v>2</v>
      </c>
      <c r="B11" s="585" t="s">
        <v>1179</v>
      </c>
      <c r="C11" s="585" t="s">
        <v>1103</v>
      </c>
      <c r="D11" s="597">
        <v>2130172753</v>
      </c>
      <c r="E11" s="641" t="s">
        <v>37</v>
      </c>
      <c r="F11" s="641" t="s">
        <v>56</v>
      </c>
      <c r="G11" s="13" t="s">
        <v>1183</v>
      </c>
      <c r="H11" s="14">
        <v>100</v>
      </c>
      <c r="I11" s="15" t="s">
        <v>73</v>
      </c>
      <c r="J11" s="18">
        <v>400</v>
      </c>
      <c r="K11" s="364">
        <v>60</v>
      </c>
      <c r="L11" s="18">
        <f>J11*K11</f>
        <v>24000</v>
      </c>
      <c r="M11" s="18">
        <f>L11*117/100</f>
        <v>28080</v>
      </c>
      <c r="N11" s="13" t="s">
        <v>13</v>
      </c>
      <c r="O11" s="560" t="s">
        <v>15</v>
      </c>
      <c r="P11" s="560" t="s">
        <v>97</v>
      </c>
      <c r="Q11" s="647"/>
      <c r="R11" s="565">
        <f>M11*(100-Q11)/100</f>
        <v>28080</v>
      </c>
      <c r="S11" s="568" t="s">
        <v>18</v>
      </c>
    </row>
    <row r="12" spans="1:21" ht="26.45" customHeight="1" x14ac:dyDescent="0.2">
      <c r="A12" s="594"/>
      <c r="B12" s="586"/>
      <c r="C12" s="586"/>
      <c r="D12" s="598"/>
      <c r="E12" s="642"/>
      <c r="F12" s="642"/>
      <c r="G12" s="19" t="s">
        <v>1180</v>
      </c>
      <c r="H12" s="24">
        <v>88</v>
      </c>
      <c r="I12" s="5" t="s">
        <v>73</v>
      </c>
      <c r="J12" s="12">
        <v>400</v>
      </c>
      <c r="K12" s="365">
        <v>60</v>
      </c>
      <c r="L12" s="12">
        <f>J12*K12</f>
        <v>24000</v>
      </c>
      <c r="M12" s="12">
        <f t="shared" ref="M12:M14" si="0">L12*117/100</f>
        <v>28080</v>
      </c>
      <c r="N12" s="19" t="s">
        <v>13</v>
      </c>
      <c r="O12" s="561"/>
      <c r="P12" s="561"/>
      <c r="Q12" s="648"/>
      <c r="R12" s="566"/>
      <c r="S12" s="569"/>
    </row>
    <row r="13" spans="1:21" ht="26.45" customHeight="1" x14ac:dyDescent="0.2">
      <c r="A13" s="594"/>
      <c r="B13" s="586"/>
      <c r="C13" s="586"/>
      <c r="D13" s="598"/>
      <c r="E13" s="642"/>
      <c r="F13" s="642"/>
      <c r="G13" s="78" t="s">
        <v>1181</v>
      </c>
      <c r="H13" s="79">
        <v>84</v>
      </c>
      <c r="I13" s="5" t="s">
        <v>73</v>
      </c>
      <c r="J13" s="12">
        <v>450</v>
      </c>
      <c r="K13" s="365">
        <v>60</v>
      </c>
      <c r="L13" s="12">
        <f t="shared" ref="L13:L14" si="1">J13*K13</f>
        <v>27000</v>
      </c>
      <c r="M13" s="12">
        <f t="shared" si="0"/>
        <v>31590</v>
      </c>
      <c r="N13" s="394" t="s">
        <v>13</v>
      </c>
      <c r="O13" s="561"/>
      <c r="P13" s="561"/>
      <c r="Q13" s="648"/>
      <c r="R13" s="566"/>
      <c r="S13" s="569"/>
    </row>
    <row r="14" spans="1:21" ht="26.45" customHeight="1" x14ac:dyDescent="0.2">
      <c r="A14" s="594"/>
      <c r="B14" s="596"/>
      <c r="C14" s="596"/>
      <c r="D14" s="599"/>
      <c r="E14" s="643"/>
      <c r="F14" s="643"/>
      <c r="G14" s="78" t="s">
        <v>1182</v>
      </c>
      <c r="H14" s="79">
        <v>84</v>
      </c>
      <c r="I14" s="5" t="s">
        <v>73</v>
      </c>
      <c r="J14" s="12">
        <v>450</v>
      </c>
      <c r="K14" s="365">
        <v>60</v>
      </c>
      <c r="L14" s="12">
        <f t="shared" si="1"/>
        <v>27000</v>
      </c>
      <c r="M14" s="12">
        <f t="shared" si="0"/>
        <v>31590</v>
      </c>
      <c r="N14" s="394" t="s">
        <v>13</v>
      </c>
      <c r="O14" s="562"/>
      <c r="P14" s="562"/>
      <c r="Q14" s="649"/>
      <c r="R14" s="567"/>
      <c r="S14" s="570"/>
    </row>
    <row r="15" spans="1:21" ht="14.25" customHeight="1" x14ac:dyDescent="0.2">
      <c r="A15" s="595"/>
      <c r="B15" s="581" t="s">
        <v>1184</v>
      </c>
      <c r="C15" s="582"/>
      <c r="D15" s="582"/>
      <c r="E15" s="582"/>
      <c r="F15" s="582"/>
      <c r="G15" s="582"/>
      <c r="H15" s="582"/>
      <c r="I15" s="582"/>
      <c r="J15" s="582"/>
      <c r="K15" s="582"/>
      <c r="L15" s="582"/>
      <c r="M15" s="582"/>
      <c r="N15" s="582"/>
      <c r="O15" s="582"/>
      <c r="P15" s="582"/>
      <c r="Q15" s="582"/>
      <c r="R15" s="582"/>
      <c r="S15" s="583"/>
    </row>
    <row r="16" spans="1:21" ht="15.75" x14ac:dyDescent="0.2">
      <c r="A16" s="556" t="s">
        <v>1185</v>
      </c>
      <c r="B16" s="557"/>
      <c r="C16" s="557"/>
      <c r="D16" s="557"/>
      <c r="E16" s="557"/>
      <c r="F16" s="557"/>
      <c r="G16" s="557"/>
      <c r="H16" s="557"/>
      <c r="I16" s="557"/>
      <c r="J16" s="557"/>
      <c r="K16" s="557"/>
      <c r="L16" s="557"/>
      <c r="M16" s="557"/>
      <c r="N16" s="557"/>
      <c r="O16" s="557"/>
      <c r="P16" s="557"/>
      <c r="Q16" s="557"/>
      <c r="R16" s="557"/>
      <c r="S16" s="661"/>
    </row>
    <row r="17" spans="1:19" ht="25.5" customHeight="1" x14ac:dyDescent="0.2">
      <c r="A17" s="593">
        <v>3</v>
      </c>
      <c r="B17" s="585" t="s">
        <v>1186</v>
      </c>
      <c r="C17" s="585" t="s">
        <v>1187</v>
      </c>
      <c r="D17" s="597">
        <v>1744100750</v>
      </c>
      <c r="E17" s="641" t="s">
        <v>41</v>
      </c>
      <c r="F17" s="641" t="s">
        <v>107</v>
      </c>
      <c r="G17" s="13" t="s">
        <v>1188</v>
      </c>
      <c r="H17" s="14">
        <v>94</v>
      </c>
      <c r="I17" s="15" t="s">
        <v>14</v>
      </c>
      <c r="J17" s="18">
        <v>13000</v>
      </c>
      <c r="K17" s="364">
        <v>1</v>
      </c>
      <c r="L17" s="18">
        <v>13000</v>
      </c>
      <c r="M17" s="18">
        <v>15209.999999999998</v>
      </c>
      <c r="N17" s="13" t="s">
        <v>13</v>
      </c>
      <c r="O17" s="560" t="s">
        <v>15</v>
      </c>
      <c r="P17" s="560" t="s">
        <v>97</v>
      </c>
      <c r="Q17" s="647"/>
      <c r="R17" s="565">
        <f>M17*(100-Q17)/100</f>
        <v>15209.999999999998</v>
      </c>
      <c r="S17" s="568" t="s">
        <v>18</v>
      </c>
    </row>
    <row r="18" spans="1:19" ht="25.5" customHeight="1" x14ac:dyDescent="0.2">
      <c r="A18" s="594"/>
      <c r="B18" s="586"/>
      <c r="C18" s="586"/>
      <c r="D18" s="598"/>
      <c r="E18" s="642"/>
      <c r="F18" s="642"/>
      <c r="G18" s="400" t="s">
        <v>1189</v>
      </c>
      <c r="H18" s="396">
        <v>75</v>
      </c>
      <c r="I18" s="5" t="s">
        <v>14</v>
      </c>
      <c r="J18" s="12">
        <v>18000</v>
      </c>
      <c r="K18" s="365">
        <v>1</v>
      </c>
      <c r="L18" s="12">
        <v>18000</v>
      </c>
      <c r="M18" s="12">
        <v>21060</v>
      </c>
      <c r="N18" s="400" t="s">
        <v>13</v>
      </c>
      <c r="O18" s="561"/>
      <c r="P18" s="561"/>
      <c r="Q18" s="648"/>
      <c r="R18" s="566"/>
      <c r="S18" s="569"/>
    </row>
    <row r="19" spans="1:19" ht="26.45" customHeight="1" x14ac:dyDescent="0.2">
      <c r="A19" s="594"/>
      <c r="B19" s="586"/>
      <c r="C19" s="586"/>
      <c r="D19" s="598"/>
      <c r="E19" s="642"/>
      <c r="F19" s="642"/>
      <c r="G19" s="19" t="s">
        <v>1190</v>
      </c>
      <c r="H19" s="24">
        <v>48</v>
      </c>
      <c r="I19" s="5" t="s">
        <v>14</v>
      </c>
      <c r="J19" s="12">
        <v>38000</v>
      </c>
      <c r="K19" s="365">
        <v>1</v>
      </c>
      <c r="L19" s="12">
        <v>38000</v>
      </c>
      <c r="M19" s="12">
        <v>44460</v>
      </c>
      <c r="N19" s="19" t="s">
        <v>13</v>
      </c>
      <c r="O19" s="561"/>
      <c r="P19" s="561"/>
      <c r="Q19" s="648"/>
      <c r="R19" s="566"/>
      <c r="S19" s="569"/>
    </row>
    <row r="20" spans="1:19" ht="26.45" customHeight="1" x14ac:dyDescent="0.2">
      <c r="A20" s="594"/>
      <c r="B20" s="596"/>
      <c r="C20" s="596"/>
      <c r="D20" s="599"/>
      <c r="E20" s="643"/>
      <c r="F20" s="643"/>
      <c r="G20" s="78" t="s">
        <v>1191</v>
      </c>
      <c r="H20" s="79">
        <v>60</v>
      </c>
      <c r="I20" s="5" t="s">
        <v>14</v>
      </c>
      <c r="J20" s="12">
        <v>25000</v>
      </c>
      <c r="K20" s="365">
        <v>1</v>
      </c>
      <c r="L20" s="12">
        <v>25000</v>
      </c>
      <c r="M20" s="12">
        <v>29250</v>
      </c>
      <c r="N20" s="394" t="s">
        <v>13</v>
      </c>
      <c r="O20" s="562"/>
      <c r="P20" s="562"/>
      <c r="Q20" s="649"/>
      <c r="R20" s="567"/>
      <c r="S20" s="570"/>
    </row>
    <row r="21" spans="1:19" ht="14.25" customHeight="1" x14ac:dyDescent="0.2">
      <c r="A21" s="595"/>
      <c r="B21" s="581"/>
      <c r="C21" s="582"/>
      <c r="D21" s="582"/>
      <c r="E21" s="582"/>
      <c r="F21" s="582"/>
      <c r="G21" s="582"/>
      <c r="H21" s="582"/>
      <c r="I21" s="582"/>
      <c r="J21" s="582"/>
      <c r="K21" s="582"/>
      <c r="L21" s="582"/>
      <c r="M21" s="582"/>
      <c r="N21" s="582"/>
      <c r="O21" s="582"/>
      <c r="P21" s="582"/>
      <c r="Q21" s="582"/>
      <c r="R21" s="582"/>
      <c r="S21" s="583"/>
    </row>
    <row r="22" spans="1:19" ht="15.75" x14ac:dyDescent="0.2">
      <c r="A22" s="665" t="s">
        <v>1192</v>
      </c>
      <c r="B22" s="665"/>
      <c r="C22" s="665"/>
      <c r="D22" s="665"/>
      <c r="E22" s="665"/>
      <c r="F22" s="665"/>
      <c r="G22" s="665"/>
      <c r="H22" s="665"/>
      <c r="I22" s="665"/>
      <c r="J22" s="665"/>
      <c r="K22" s="665"/>
      <c r="L22" s="665"/>
      <c r="M22" s="665"/>
      <c r="N22" s="665"/>
      <c r="O22" s="665"/>
      <c r="P22" s="665"/>
      <c r="Q22" s="665"/>
      <c r="R22" s="665"/>
      <c r="S22" s="665"/>
    </row>
    <row r="23" spans="1:19" ht="25.5" customHeight="1" x14ac:dyDescent="0.2">
      <c r="A23" s="558">
        <v>4</v>
      </c>
      <c r="B23" s="559" t="s">
        <v>1193</v>
      </c>
      <c r="C23" s="559" t="s">
        <v>1187</v>
      </c>
      <c r="D23" s="666">
        <v>2530182754</v>
      </c>
      <c r="E23" s="667" t="s">
        <v>41</v>
      </c>
      <c r="F23" s="667" t="s">
        <v>107</v>
      </c>
      <c r="G23" s="16" t="s">
        <v>1188</v>
      </c>
      <c r="H23" s="17">
        <v>94</v>
      </c>
      <c r="I23" s="15" t="s">
        <v>14</v>
      </c>
      <c r="J23" s="18">
        <v>13000</v>
      </c>
      <c r="K23" s="364">
        <v>1</v>
      </c>
      <c r="L23" s="18">
        <v>13000</v>
      </c>
      <c r="M23" s="18">
        <v>15209.999999999998</v>
      </c>
      <c r="N23" s="16" t="s">
        <v>13</v>
      </c>
      <c r="O23" s="563" t="s">
        <v>15</v>
      </c>
      <c r="P23" s="563" t="s">
        <v>97</v>
      </c>
      <c r="Q23" s="564"/>
      <c r="R23" s="662">
        <f>M23*(100-Q23)/100</f>
        <v>15209.999999999998</v>
      </c>
      <c r="S23" s="663" t="s">
        <v>18</v>
      </c>
    </row>
    <row r="24" spans="1:19" ht="25.5" customHeight="1" x14ac:dyDescent="0.2">
      <c r="A24" s="558"/>
      <c r="B24" s="559"/>
      <c r="C24" s="559"/>
      <c r="D24" s="666"/>
      <c r="E24" s="667"/>
      <c r="F24" s="667"/>
      <c r="G24" s="400" t="s">
        <v>1189</v>
      </c>
      <c r="H24" s="396">
        <v>75</v>
      </c>
      <c r="I24" s="5" t="s">
        <v>14</v>
      </c>
      <c r="J24" s="12">
        <v>18000</v>
      </c>
      <c r="K24" s="365">
        <v>1</v>
      </c>
      <c r="L24" s="12">
        <v>18000</v>
      </c>
      <c r="M24" s="12">
        <v>21060</v>
      </c>
      <c r="N24" s="400" t="s">
        <v>13</v>
      </c>
      <c r="O24" s="563"/>
      <c r="P24" s="563"/>
      <c r="Q24" s="564"/>
      <c r="R24" s="662"/>
      <c r="S24" s="663"/>
    </row>
    <row r="25" spans="1:19" ht="25.5" customHeight="1" x14ac:dyDescent="0.2">
      <c r="A25" s="558"/>
      <c r="B25" s="559"/>
      <c r="C25" s="559"/>
      <c r="D25" s="666"/>
      <c r="E25" s="667"/>
      <c r="F25" s="667"/>
      <c r="G25" s="400" t="s">
        <v>1190</v>
      </c>
      <c r="H25" s="396">
        <v>65</v>
      </c>
      <c r="I25" s="5" t="s">
        <v>14</v>
      </c>
      <c r="J25" s="12">
        <v>22000</v>
      </c>
      <c r="K25" s="365">
        <v>1</v>
      </c>
      <c r="L25" s="12">
        <v>22000</v>
      </c>
      <c r="M25" s="12">
        <v>25740</v>
      </c>
      <c r="N25" s="400" t="s">
        <v>13</v>
      </c>
      <c r="O25" s="563"/>
      <c r="P25" s="563"/>
      <c r="Q25" s="564"/>
      <c r="R25" s="662"/>
      <c r="S25" s="663"/>
    </row>
    <row r="26" spans="1:19" ht="26.45" customHeight="1" x14ac:dyDescent="0.2">
      <c r="A26" s="558"/>
      <c r="B26" s="559"/>
      <c r="C26" s="559"/>
      <c r="D26" s="666"/>
      <c r="E26" s="667"/>
      <c r="F26" s="667"/>
      <c r="G26" s="78" t="s">
        <v>1191</v>
      </c>
      <c r="H26" s="79">
        <v>48</v>
      </c>
      <c r="I26" s="5" t="s">
        <v>14</v>
      </c>
      <c r="J26" s="12">
        <v>37500</v>
      </c>
      <c r="K26" s="365">
        <v>1</v>
      </c>
      <c r="L26" s="12">
        <v>37500</v>
      </c>
      <c r="M26" s="12">
        <v>43875</v>
      </c>
      <c r="N26" s="394" t="s">
        <v>13</v>
      </c>
      <c r="O26" s="563"/>
      <c r="P26" s="563"/>
      <c r="Q26" s="564"/>
      <c r="R26" s="662"/>
      <c r="S26" s="663"/>
    </row>
    <row r="27" spans="1:19" ht="14.25" customHeight="1" x14ac:dyDescent="0.2">
      <c r="A27" s="558"/>
      <c r="B27" s="664"/>
      <c r="C27" s="664"/>
      <c r="D27" s="664"/>
      <c r="E27" s="664"/>
      <c r="F27" s="664"/>
      <c r="G27" s="664"/>
      <c r="H27" s="664"/>
      <c r="I27" s="664"/>
      <c r="J27" s="664"/>
      <c r="K27" s="664"/>
      <c r="L27" s="664"/>
      <c r="M27" s="664"/>
      <c r="N27" s="664"/>
      <c r="O27" s="664"/>
      <c r="P27" s="664"/>
      <c r="Q27" s="664"/>
      <c r="R27" s="664"/>
      <c r="S27" s="664"/>
    </row>
    <row r="28" spans="1:19" ht="15.75" x14ac:dyDescent="0.2">
      <c r="A28" s="556" t="s">
        <v>1196</v>
      </c>
      <c r="B28" s="557"/>
      <c r="C28" s="557"/>
      <c r="D28" s="557"/>
      <c r="E28" s="557"/>
      <c r="F28" s="557"/>
      <c r="G28" s="557"/>
      <c r="H28" s="557"/>
      <c r="I28" s="557"/>
      <c r="J28" s="557"/>
      <c r="K28" s="557"/>
      <c r="L28" s="557"/>
      <c r="M28" s="557"/>
      <c r="N28" s="557"/>
      <c r="O28" s="557"/>
      <c r="P28" s="557"/>
      <c r="Q28" s="557"/>
      <c r="R28" s="557"/>
      <c r="S28" s="661"/>
    </row>
    <row r="29" spans="1:19" ht="25.5" customHeight="1" x14ac:dyDescent="0.2">
      <c r="A29" s="593">
        <v>5</v>
      </c>
      <c r="B29" s="585" t="s">
        <v>1200</v>
      </c>
      <c r="C29" s="585" t="s">
        <v>1201</v>
      </c>
      <c r="D29" s="597"/>
      <c r="E29" s="641" t="s">
        <v>42</v>
      </c>
      <c r="F29" s="641" t="s">
        <v>54</v>
      </c>
      <c r="G29" s="13" t="s">
        <v>1202</v>
      </c>
      <c r="H29" s="14">
        <v>100</v>
      </c>
      <c r="I29" s="15" t="s">
        <v>847</v>
      </c>
      <c r="J29" s="378">
        <v>9000</v>
      </c>
      <c r="K29" s="14">
        <v>1</v>
      </c>
      <c r="L29" s="379">
        <f t="shared" ref="L29:L33" si="2">J29*K29</f>
        <v>9000</v>
      </c>
      <c r="M29" s="379">
        <f t="shared" ref="M29:M33" si="3">L29*1.17</f>
        <v>10530</v>
      </c>
      <c r="N29" s="326" t="s">
        <v>13</v>
      </c>
      <c r="O29" s="560" t="s">
        <v>15</v>
      </c>
      <c r="P29" s="560" t="s">
        <v>97</v>
      </c>
      <c r="Q29" s="647"/>
      <c r="R29" s="565">
        <f>M29*(100-Q29)/100</f>
        <v>10530</v>
      </c>
      <c r="S29" s="568" t="s">
        <v>18</v>
      </c>
    </row>
    <row r="30" spans="1:19" ht="25.5" customHeight="1" x14ac:dyDescent="0.2">
      <c r="A30" s="594"/>
      <c r="B30" s="586"/>
      <c r="C30" s="586"/>
      <c r="D30" s="598"/>
      <c r="E30" s="642"/>
      <c r="F30" s="642"/>
      <c r="G30" s="367" t="s">
        <v>194</v>
      </c>
      <c r="H30" s="396">
        <v>83</v>
      </c>
      <c r="I30" s="5" t="s">
        <v>847</v>
      </c>
      <c r="J30" s="368">
        <v>11800</v>
      </c>
      <c r="K30" s="396">
        <v>1</v>
      </c>
      <c r="L30" s="369">
        <f t="shared" si="2"/>
        <v>11800</v>
      </c>
      <c r="M30" s="369">
        <f t="shared" si="3"/>
        <v>13806</v>
      </c>
      <c r="N30" s="400" t="s">
        <v>13</v>
      </c>
      <c r="O30" s="561"/>
      <c r="P30" s="561"/>
      <c r="Q30" s="648"/>
      <c r="R30" s="566"/>
      <c r="S30" s="569"/>
    </row>
    <row r="31" spans="1:19" ht="25.5" customHeight="1" x14ac:dyDescent="0.2">
      <c r="A31" s="594"/>
      <c r="B31" s="586"/>
      <c r="C31" s="586"/>
      <c r="D31" s="598"/>
      <c r="E31" s="642"/>
      <c r="F31" s="642"/>
      <c r="G31" s="400" t="s">
        <v>1203</v>
      </c>
      <c r="H31" s="396">
        <v>83</v>
      </c>
      <c r="I31" s="5" t="s">
        <v>847</v>
      </c>
      <c r="J31" s="368">
        <v>12000</v>
      </c>
      <c r="K31" s="396">
        <v>1</v>
      </c>
      <c r="L31" s="369">
        <f t="shared" si="2"/>
        <v>12000</v>
      </c>
      <c r="M31" s="369">
        <f t="shared" si="3"/>
        <v>14040</v>
      </c>
      <c r="N31" s="400" t="s">
        <v>13</v>
      </c>
      <c r="O31" s="561"/>
      <c r="P31" s="561"/>
      <c r="Q31" s="648"/>
      <c r="R31" s="566"/>
      <c r="S31" s="569"/>
    </row>
    <row r="32" spans="1:19" ht="25.5" customHeight="1" x14ac:dyDescent="0.2">
      <c r="A32" s="594"/>
      <c r="B32" s="586"/>
      <c r="C32" s="586"/>
      <c r="D32" s="598"/>
      <c r="E32" s="642"/>
      <c r="F32" s="642"/>
      <c r="G32" s="400" t="s">
        <v>1204</v>
      </c>
      <c r="H32" s="396">
        <v>89</v>
      </c>
      <c r="I32" s="5" t="s">
        <v>847</v>
      </c>
      <c r="J32" s="368">
        <v>10600</v>
      </c>
      <c r="K32" s="396">
        <v>1</v>
      </c>
      <c r="L32" s="369">
        <f t="shared" si="2"/>
        <v>10600</v>
      </c>
      <c r="M32" s="369">
        <f t="shared" si="3"/>
        <v>12402</v>
      </c>
      <c r="N32" s="400"/>
      <c r="O32" s="561"/>
      <c r="P32" s="561"/>
      <c r="Q32" s="648"/>
      <c r="R32" s="566"/>
      <c r="S32" s="569"/>
    </row>
    <row r="33" spans="1:19" ht="26.45" customHeight="1" x14ac:dyDescent="0.2">
      <c r="A33" s="594"/>
      <c r="B33" s="596"/>
      <c r="C33" s="596"/>
      <c r="D33" s="599"/>
      <c r="E33" s="643"/>
      <c r="F33" s="643"/>
      <c r="G33" s="400" t="s">
        <v>1205</v>
      </c>
      <c r="H33" s="396">
        <v>66</v>
      </c>
      <c r="I33" s="5" t="s">
        <v>847</v>
      </c>
      <c r="J33" s="368">
        <v>17500</v>
      </c>
      <c r="K33" s="396">
        <v>1</v>
      </c>
      <c r="L33" s="369">
        <f t="shared" si="2"/>
        <v>17500</v>
      </c>
      <c r="M33" s="369">
        <f t="shared" si="3"/>
        <v>20475</v>
      </c>
      <c r="N33" s="400" t="s">
        <v>13</v>
      </c>
      <c r="O33" s="562"/>
      <c r="P33" s="562"/>
      <c r="Q33" s="649"/>
      <c r="R33" s="567"/>
      <c r="S33" s="570"/>
    </row>
    <row r="34" spans="1:19" ht="14.25" customHeight="1" x14ac:dyDescent="0.2">
      <c r="A34" s="595"/>
      <c r="B34" s="581"/>
      <c r="C34" s="582"/>
      <c r="D34" s="582"/>
      <c r="E34" s="582"/>
      <c r="F34" s="582"/>
      <c r="G34" s="582"/>
      <c r="H34" s="582"/>
      <c r="I34" s="582"/>
      <c r="J34" s="582"/>
      <c r="K34" s="582"/>
      <c r="L34" s="582"/>
      <c r="M34" s="582"/>
      <c r="N34" s="582"/>
      <c r="O34" s="582"/>
      <c r="P34" s="582"/>
      <c r="Q34" s="582"/>
      <c r="R34" s="582"/>
      <c r="S34" s="583"/>
    </row>
    <row r="35" spans="1:19" ht="15.75" x14ac:dyDescent="0.2">
      <c r="A35" s="556" t="s">
        <v>1197</v>
      </c>
      <c r="B35" s="557"/>
      <c r="C35" s="557"/>
      <c r="D35" s="557"/>
      <c r="E35" s="557"/>
      <c r="F35" s="557"/>
      <c r="G35" s="557"/>
      <c r="H35" s="557"/>
      <c r="I35" s="557"/>
      <c r="J35" s="557"/>
      <c r="K35" s="557"/>
      <c r="L35" s="557"/>
      <c r="M35" s="557"/>
      <c r="N35" s="557"/>
      <c r="O35" s="557"/>
      <c r="P35" s="557"/>
      <c r="Q35" s="557"/>
      <c r="R35" s="557"/>
      <c r="S35" s="661"/>
    </row>
    <row r="36" spans="1:19" ht="25.5" customHeight="1" x14ac:dyDescent="0.2">
      <c r="A36" s="593">
        <v>6</v>
      </c>
      <c r="B36" s="585" t="s">
        <v>1214</v>
      </c>
      <c r="C36" s="585" t="s">
        <v>1201</v>
      </c>
      <c r="D36" s="597">
        <v>2250062951</v>
      </c>
      <c r="E36" s="641" t="s">
        <v>41</v>
      </c>
      <c r="F36" s="641" t="s">
        <v>54</v>
      </c>
      <c r="G36" s="13" t="s">
        <v>1206</v>
      </c>
      <c r="H36" s="14">
        <v>100</v>
      </c>
      <c r="I36" s="15" t="s">
        <v>14</v>
      </c>
      <c r="J36" s="15">
        <v>26000</v>
      </c>
      <c r="K36" s="380">
        <v>1</v>
      </c>
      <c r="L36" s="381">
        <v>26000</v>
      </c>
      <c r="M36" s="381">
        <f t="shared" ref="M36:M39" si="4">L36*1.17</f>
        <v>30419.999999999996</v>
      </c>
      <c r="N36" s="326" t="s">
        <v>13</v>
      </c>
      <c r="O36" s="560" t="s">
        <v>15</v>
      </c>
      <c r="P36" s="560" t="s">
        <v>97</v>
      </c>
      <c r="Q36" s="647"/>
      <c r="R36" s="565">
        <f>M36*(100-Q36)/100</f>
        <v>30419.999999999996</v>
      </c>
      <c r="S36" s="568" t="s">
        <v>18</v>
      </c>
    </row>
    <row r="37" spans="1:19" ht="25.5" customHeight="1" x14ac:dyDescent="0.2">
      <c r="A37" s="594"/>
      <c r="B37" s="586"/>
      <c r="C37" s="586"/>
      <c r="D37" s="598"/>
      <c r="E37" s="642"/>
      <c r="F37" s="642"/>
      <c r="G37" s="367" t="s">
        <v>1207</v>
      </c>
      <c r="H37" s="396">
        <v>74</v>
      </c>
      <c r="I37" s="5" t="s">
        <v>14</v>
      </c>
      <c r="J37" s="5">
        <v>41820</v>
      </c>
      <c r="K37" s="371">
        <v>1</v>
      </c>
      <c r="L37" s="372">
        <v>41820</v>
      </c>
      <c r="M37" s="372">
        <f t="shared" si="4"/>
        <v>48929.399999999994</v>
      </c>
      <c r="N37" s="400" t="s">
        <v>13</v>
      </c>
      <c r="O37" s="561"/>
      <c r="P37" s="561"/>
      <c r="Q37" s="648"/>
      <c r="R37" s="566"/>
      <c r="S37" s="569"/>
    </row>
    <row r="38" spans="1:19" ht="25.5" customHeight="1" x14ac:dyDescent="0.2">
      <c r="A38" s="594"/>
      <c r="B38" s="586"/>
      <c r="C38" s="586"/>
      <c r="D38" s="598"/>
      <c r="E38" s="642"/>
      <c r="F38" s="642"/>
      <c r="G38" s="400" t="s">
        <v>91</v>
      </c>
      <c r="H38" s="396">
        <v>72</v>
      </c>
      <c r="I38" s="5" t="s">
        <v>14</v>
      </c>
      <c r="J38" s="5">
        <v>42850</v>
      </c>
      <c r="K38" s="371">
        <v>1</v>
      </c>
      <c r="L38" s="372">
        <v>42850</v>
      </c>
      <c r="M38" s="372">
        <f t="shared" si="4"/>
        <v>50134.5</v>
      </c>
      <c r="N38" s="400" t="s">
        <v>13</v>
      </c>
      <c r="O38" s="561"/>
      <c r="P38" s="561"/>
      <c r="Q38" s="648"/>
      <c r="R38" s="566"/>
      <c r="S38" s="569"/>
    </row>
    <row r="39" spans="1:19" ht="26.45" customHeight="1" x14ac:dyDescent="0.2">
      <c r="A39" s="594"/>
      <c r="B39" s="596"/>
      <c r="C39" s="596"/>
      <c r="D39" s="599"/>
      <c r="E39" s="643"/>
      <c r="F39" s="643"/>
      <c r="G39" s="400" t="s">
        <v>1208</v>
      </c>
      <c r="H39" s="396">
        <v>59</v>
      </c>
      <c r="I39" s="5" t="s">
        <v>14</v>
      </c>
      <c r="J39" s="5">
        <v>62678</v>
      </c>
      <c r="K39" s="371">
        <v>1</v>
      </c>
      <c r="L39" s="372">
        <v>62678</v>
      </c>
      <c r="M39" s="372">
        <f t="shared" si="4"/>
        <v>73333.259999999995</v>
      </c>
      <c r="N39" s="400" t="s">
        <v>13</v>
      </c>
      <c r="O39" s="562"/>
      <c r="P39" s="562"/>
      <c r="Q39" s="649"/>
      <c r="R39" s="567"/>
      <c r="S39" s="570"/>
    </row>
    <row r="40" spans="1:19" ht="14.25" customHeight="1" x14ac:dyDescent="0.2">
      <c r="A40" s="595"/>
      <c r="B40" s="581"/>
      <c r="C40" s="582"/>
      <c r="D40" s="582"/>
      <c r="E40" s="582"/>
      <c r="F40" s="582"/>
      <c r="G40" s="582"/>
      <c r="H40" s="582"/>
      <c r="I40" s="582"/>
      <c r="J40" s="582"/>
      <c r="K40" s="582"/>
      <c r="L40" s="582"/>
      <c r="M40" s="582"/>
      <c r="N40" s="582"/>
      <c r="O40" s="582"/>
      <c r="P40" s="582"/>
      <c r="Q40" s="582"/>
      <c r="R40" s="582"/>
      <c r="S40" s="583"/>
    </row>
    <row r="41" spans="1:19" ht="15.75" x14ac:dyDescent="0.2">
      <c r="A41" s="556" t="s">
        <v>1198</v>
      </c>
      <c r="B41" s="557"/>
      <c r="C41" s="557"/>
      <c r="D41" s="557"/>
      <c r="E41" s="557"/>
      <c r="F41" s="557"/>
      <c r="G41" s="557"/>
      <c r="H41" s="557"/>
      <c r="I41" s="557"/>
      <c r="J41" s="557"/>
      <c r="K41" s="557"/>
      <c r="L41" s="557"/>
      <c r="M41" s="557"/>
      <c r="N41" s="557"/>
      <c r="O41" s="557"/>
      <c r="P41" s="557"/>
      <c r="Q41" s="557"/>
      <c r="R41" s="557"/>
      <c r="S41" s="661"/>
    </row>
    <row r="42" spans="1:19" ht="25.5" customHeight="1" x14ac:dyDescent="0.2">
      <c r="A42" s="593">
        <v>7</v>
      </c>
      <c r="B42" s="585" t="s">
        <v>1215</v>
      </c>
      <c r="C42" s="585" t="s">
        <v>1201</v>
      </c>
      <c r="D42" s="597"/>
      <c r="E42" s="641" t="s">
        <v>39</v>
      </c>
      <c r="F42" s="641" t="s">
        <v>54</v>
      </c>
      <c r="G42" s="304" t="s">
        <v>232</v>
      </c>
      <c r="H42" s="305">
        <v>100</v>
      </c>
      <c r="I42" s="306" t="s">
        <v>846</v>
      </c>
      <c r="J42" s="375">
        <v>3000000</v>
      </c>
      <c r="K42" s="376">
        <v>2.9000000000000001E-2</v>
      </c>
      <c r="L42" s="370">
        <f t="shared" ref="L42:L45" si="5">J42*K42</f>
        <v>87000</v>
      </c>
      <c r="M42" s="370">
        <f t="shared" ref="M42:M45" si="6">L42*1.17</f>
        <v>101790</v>
      </c>
      <c r="N42" s="366" t="s">
        <v>13</v>
      </c>
      <c r="O42" s="560"/>
      <c r="P42" s="560" t="s">
        <v>1223</v>
      </c>
      <c r="Q42" s="647"/>
      <c r="R42" s="565">
        <f>M42*(100-Q42)/100</f>
        <v>101790</v>
      </c>
      <c r="S42" s="568" t="s">
        <v>18</v>
      </c>
    </row>
    <row r="43" spans="1:19" ht="25.5" customHeight="1" x14ac:dyDescent="0.2">
      <c r="A43" s="594"/>
      <c r="B43" s="586"/>
      <c r="C43" s="586"/>
      <c r="D43" s="598"/>
      <c r="E43" s="642"/>
      <c r="F43" s="642"/>
      <c r="G43" s="367" t="s">
        <v>1209</v>
      </c>
      <c r="H43" s="396">
        <v>81</v>
      </c>
      <c r="I43" s="5" t="s">
        <v>846</v>
      </c>
      <c r="J43" s="373">
        <v>3000000</v>
      </c>
      <c r="K43" s="374">
        <v>0.04</v>
      </c>
      <c r="L43" s="372">
        <f t="shared" si="5"/>
        <v>120000</v>
      </c>
      <c r="M43" s="372">
        <f t="shared" si="6"/>
        <v>140400</v>
      </c>
      <c r="N43" s="400" t="s">
        <v>13</v>
      </c>
      <c r="O43" s="561"/>
      <c r="P43" s="561"/>
      <c r="Q43" s="648"/>
      <c r="R43" s="566"/>
      <c r="S43" s="569"/>
    </row>
    <row r="44" spans="1:19" ht="25.5" customHeight="1" x14ac:dyDescent="0.2">
      <c r="A44" s="594"/>
      <c r="B44" s="586"/>
      <c r="C44" s="586"/>
      <c r="D44" s="598"/>
      <c r="E44" s="642"/>
      <c r="F44" s="642"/>
      <c r="G44" s="400" t="s">
        <v>1210</v>
      </c>
      <c r="H44" s="396">
        <v>81</v>
      </c>
      <c r="I44" s="5" t="s">
        <v>846</v>
      </c>
      <c r="J44" s="373">
        <v>3000000</v>
      </c>
      <c r="K44" s="374">
        <v>0.04</v>
      </c>
      <c r="L44" s="372">
        <f t="shared" si="5"/>
        <v>120000</v>
      </c>
      <c r="M44" s="372">
        <f t="shared" si="6"/>
        <v>140400</v>
      </c>
      <c r="N44" s="400" t="s">
        <v>13</v>
      </c>
      <c r="O44" s="561"/>
      <c r="P44" s="561"/>
      <c r="Q44" s="648"/>
      <c r="R44" s="566"/>
      <c r="S44" s="569"/>
    </row>
    <row r="45" spans="1:19" ht="26.45" customHeight="1" x14ac:dyDescent="0.2">
      <c r="A45" s="594"/>
      <c r="B45" s="596"/>
      <c r="C45" s="596"/>
      <c r="D45" s="599"/>
      <c r="E45" s="643"/>
      <c r="F45" s="643"/>
      <c r="G45" s="400" t="s">
        <v>522</v>
      </c>
      <c r="H45" s="396">
        <v>82</v>
      </c>
      <c r="I45" s="5" t="s">
        <v>846</v>
      </c>
      <c r="J45" s="373">
        <v>3000000</v>
      </c>
      <c r="K45" s="374">
        <v>3.8899999999999997E-2</v>
      </c>
      <c r="L45" s="372">
        <f t="shared" si="5"/>
        <v>116699.99999999999</v>
      </c>
      <c r="M45" s="372">
        <f t="shared" si="6"/>
        <v>136538.99999999997</v>
      </c>
      <c r="N45" s="400" t="s">
        <v>13</v>
      </c>
      <c r="O45" s="562"/>
      <c r="P45" s="562"/>
      <c r="Q45" s="649"/>
      <c r="R45" s="567"/>
      <c r="S45" s="570"/>
    </row>
    <row r="46" spans="1:19" ht="14.25" customHeight="1" x14ac:dyDescent="0.2">
      <c r="A46" s="595"/>
      <c r="B46" s="581"/>
      <c r="C46" s="582"/>
      <c r="D46" s="582"/>
      <c r="E46" s="582"/>
      <c r="F46" s="582"/>
      <c r="G46" s="582"/>
      <c r="H46" s="582"/>
      <c r="I46" s="582"/>
      <c r="J46" s="582"/>
      <c r="K46" s="582"/>
      <c r="L46" s="582"/>
      <c r="M46" s="582"/>
      <c r="N46" s="582"/>
      <c r="O46" s="582"/>
      <c r="P46" s="582"/>
      <c r="Q46" s="582"/>
      <c r="R46" s="582"/>
      <c r="S46" s="583"/>
    </row>
    <row r="47" spans="1:19" ht="15.75" x14ac:dyDescent="0.2">
      <c r="A47" s="556" t="s">
        <v>1199</v>
      </c>
      <c r="B47" s="557"/>
      <c r="C47" s="557"/>
      <c r="D47" s="557"/>
      <c r="E47" s="557"/>
      <c r="F47" s="557"/>
      <c r="G47" s="557"/>
      <c r="H47" s="557"/>
      <c r="I47" s="557"/>
      <c r="J47" s="557"/>
      <c r="K47" s="557"/>
      <c r="L47" s="557"/>
      <c r="M47" s="557"/>
      <c r="N47" s="557"/>
      <c r="O47" s="557"/>
      <c r="P47" s="557"/>
      <c r="Q47" s="557"/>
      <c r="R47" s="557"/>
      <c r="S47" s="661"/>
    </row>
    <row r="48" spans="1:19" ht="36" customHeight="1" x14ac:dyDescent="0.2">
      <c r="A48" s="593">
        <v>8</v>
      </c>
      <c r="B48" s="585" t="s">
        <v>1216</v>
      </c>
      <c r="C48" s="585" t="s">
        <v>1201</v>
      </c>
      <c r="D48" s="597"/>
      <c r="E48" s="641" t="s">
        <v>47</v>
      </c>
      <c r="F48" s="641" t="s">
        <v>54</v>
      </c>
      <c r="G48" s="13" t="s">
        <v>1211</v>
      </c>
      <c r="H48" s="14">
        <v>88</v>
      </c>
      <c r="I48" s="15" t="s">
        <v>846</v>
      </c>
      <c r="J48" s="378">
        <v>500000</v>
      </c>
      <c r="K48" s="469">
        <v>0.04</v>
      </c>
      <c r="L48" s="379">
        <f t="shared" ref="L48:L50" si="7">J48*K48</f>
        <v>20000</v>
      </c>
      <c r="M48" s="379">
        <f t="shared" ref="M48:M50" si="8">L48*1.17</f>
        <v>23400</v>
      </c>
      <c r="N48" s="326" t="s">
        <v>13</v>
      </c>
      <c r="O48" s="560" t="s">
        <v>15</v>
      </c>
      <c r="P48" s="560" t="s">
        <v>1314</v>
      </c>
      <c r="Q48" s="560"/>
      <c r="R48" s="565">
        <f>J48*3.5%*1.17</f>
        <v>20475</v>
      </c>
      <c r="S48" s="568" t="s">
        <v>18</v>
      </c>
    </row>
    <row r="49" spans="1:19" ht="27" customHeight="1" x14ac:dyDescent="0.2">
      <c r="A49" s="594"/>
      <c r="B49" s="586"/>
      <c r="C49" s="586"/>
      <c r="D49" s="598"/>
      <c r="E49" s="642"/>
      <c r="F49" s="642"/>
      <c r="G49" s="367" t="s">
        <v>1212</v>
      </c>
      <c r="H49" s="396">
        <v>65</v>
      </c>
      <c r="I49" s="5" t="s">
        <v>846</v>
      </c>
      <c r="J49" s="368">
        <v>500000</v>
      </c>
      <c r="K49" s="374">
        <v>0.08</v>
      </c>
      <c r="L49" s="369">
        <f t="shared" si="7"/>
        <v>40000</v>
      </c>
      <c r="M49" s="369">
        <f t="shared" si="8"/>
        <v>46800</v>
      </c>
      <c r="N49" s="400" t="s">
        <v>13</v>
      </c>
      <c r="O49" s="561"/>
      <c r="P49" s="561"/>
      <c r="Q49" s="561"/>
      <c r="R49" s="566"/>
      <c r="S49" s="569"/>
    </row>
    <row r="50" spans="1:19" ht="25.5" customHeight="1" x14ac:dyDescent="0.2">
      <c r="A50" s="594"/>
      <c r="B50" s="596"/>
      <c r="C50" s="596"/>
      <c r="D50" s="599"/>
      <c r="E50" s="643"/>
      <c r="F50" s="643"/>
      <c r="G50" s="400" t="s">
        <v>1213</v>
      </c>
      <c r="H50" s="396">
        <v>58</v>
      </c>
      <c r="I50" s="5" t="s">
        <v>846</v>
      </c>
      <c r="J50" s="368">
        <v>500000</v>
      </c>
      <c r="K50" s="374">
        <v>0.1</v>
      </c>
      <c r="L50" s="369">
        <f t="shared" si="7"/>
        <v>50000</v>
      </c>
      <c r="M50" s="369">
        <f t="shared" si="8"/>
        <v>58500</v>
      </c>
      <c r="N50" s="400" t="s">
        <v>13</v>
      </c>
      <c r="O50" s="562"/>
      <c r="P50" s="562"/>
      <c r="Q50" s="562"/>
      <c r="R50" s="567"/>
      <c r="S50" s="570"/>
    </row>
    <row r="51" spans="1:19" ht="14.25" customHeight="1" x14ac:dyDescent="0.2">
      <c r="A51" s="595"/>
      <c r="B51" s="581"/>
      <c r="C51" s="582"/>
      <c r="D51" s="582"/>
      <c r="E51" s="582"/>
      <c r="F51" s="582"/>
      <c r="G51" s="582"/>
      <c r="H51" s="582"/>
      <c r="I51" s="582"/>
      <c r="J51" s="582"/>
      <c r="K51" s="582"/>
      <c r="L51" s="582"/>
      <c r="M51" s="582"/>
      <c r="N51" s="582"/>
      <c r="O51" s="582"/>
      <c r="P51" s="582"/>
      <c r="Q51" s="582"/>
      <c r="R51" s="582"/>
      <c r="S51" s="583"/>
    </row>
    <row r="52" spans="1:19" ht="15.75" x14ac:dyDescent="0.2">
      <c r="A52" s="556" t="s">
        <v>1218</v>
      </c>
      <c r="B52" s="557"/>
      <c r="C52" s="557"/>
      <c r="D52" s="557"/>
      <c r="E52" s="557"/>
      <c r="F52" s="557"/>
      <c r="G52" s="557"/>
      <c r="H52" s="557"/>
      <c r="I52" s="557"/>
      <c r="J52" s="557"/>
      <c r="K52" s="557"/>
      <c r="L52" s="557"/>
      <c r="M52" s="557"/>
      <c r="N52" s="557"/>
      <c r="O52" s="557"/>
      <c r="P52" s="557"/>
      <c r="Q52" s="557"/>
      <c r="R52" s="557"/>
      <c r="S52" s="661"/>
    </row>
    <row r="53" spans="1:19" ht="25.5" customHeight="1" x14ac:dyDescent="0.2">
      <c r="A53" s="593">
        <v>9</v>
      </c>
      <c r="B53" s="585" t="s">
        <v>1219</v>
      </c>
      <c r="C53" s="585" t="s">
        <v>1201</v>
      </c>
      <c r="D53" s="597"/>
      <c r="E53" s="641" t="s">
        <v>53</v>
      </c>
      <c r="F53" s="641" t="s">
        <v>54</v>
      </c>
      <c r="G53" s="13" t="s">
        <v>1220</v>
      </c>
      <c r="H53" s="14">
        <v>94</v>
      </c>
      <c r="I53" s="15" t="s">
        <v>847</v>
      </c>
      <c r="J53" s="378">
        <v>18350</v>
      </c>
      <c r="K53" s="380">
        <v>1</v>
      </c>
      <c r="L53" s="379">
        <v>18350</v>
      </c>
      <c r="M53" s="379">
        <v>21469.5</v>
      </c>
      <c r="N53" s="326" t="s">
        <v>13</v>
      </c>
      <c r="O53" s="560" t="s">
        <v>15</v>
      </c>
      <c r="P53" s="560" t="s">
        <v>97</v>
      </c>
      <c r="Q53" s="647"/>
      <c r="R53" s="565">
        <f>M53</f>
        <v>21469.5</v>
      </c>
      <c r="S53" s="568" t="s">
        <v>18</v>
      </c>
    </row>
    <row r="54" spans="1:19" ht="25.5" customHeight="1" x14ac:dyDescent="0.2">
      <c r="A54" s="594"/>
      <c r="B54" s="586"/>
      <c r="C54" s="586"/>
      <c r="D54" s="598"/>
      <c r="E54" s="642"/>
      <c r="F54" s="642"/>
      <c r="G54" s="367" t="s">
        <v>414</v>
      </c>
      <c r="H54" s="396">
        <v>58</v>
      </c>
      <c r="I54" s="5" t="s">
        <v>847</v>
      </c>
      <c r="J54" s="368">
        <v>38000</v>
      </c>
      <c r="K54" s="371">
        <v>1</v>
      </c>
      <c r="L54" s="369">
        <v>38000</v>
      </c>
      <c r="M54" s="369">
        <v>44460</v>
      </c>
      <c r="N54" s="400" t="s">
        <v>13</v>
      </c>
      <c r="O54" s="561"/>
      <c r="P54" s="561"/>
      <c r="Q54" s="648"/>
      <c r="R54" s="566"/>
      <c r="S54" s="569"/>
    </row>
    <row r="55" spans="1:19" ht="25.5" customHeight="1" x14ac:dyDescent="0.2">
      <c r="A55" s="594"/>
      <c r="B55" s="596"/>
      <c r="C55" s="596"/>
      <c r="D55" s="599"/>
      <c r="E55" s="643"/>
      <c r="F55" s="643"/>
      <c r="G55" s="400" t="s">
        <v>1221</v>
      </c>
      <c r="H55" s="396">
        <v>51</v>
      </c>
      <c r="I55" s="5" t="s">
        <v>847</v>
      </c>
      <c r="J55" s="368">
        <v>62000</v>
      </c>
      <c r="K55" s="371">
        <v>1</v>
      </c>
      <c r="L55" s="369">
        <v>62000</v>
      </c>
      <c r="M55" s="369">
        <v>72540</v>
      </c>
      <c r="N55" s="400" t="s">
        <v>13</v>
      </c>
      <c r="O55" s="562"/>
      <c r="P55" s="562"/>
      <c r="Q55" s="649"/>
      <c r="R55" s="567"/>
      <c r="S55" s="570"/>
    </row>
    <row r="56" spans="1:19" ht="14.25" customHeight="1" x14ac:dyDescent="0.2">
      <c r="A56" s="595"/>
      <c r="B56" s="581" t="s">
        <v>1222</v>
      </c>
      <c r="C56" s="582"/>
      <c r="D56" s="582"/>
      <c r="E56" s="582"/>
      <c r="F56" s="582"/>
      <c r="G56" s="582"/>
      <c r="H56" s="582"/>
      <c r="I56" s="582"/>
      <c r="J56" s="582"/>
      <c r="K56" s="582"/>
      <c r="L56" s="582"/>
      <c r="M56" s="582"/>
      <c r="N56" s="582"/>
      <c r="O56" s="582"/>
      <c r="P56" s="582"/>
      <c r="Q56" s="582"/>
      <c r="R56" s="582"/>
      <c r="S56" s="583"/>
    </row>
    <row r="57" spans="1:19" x14ac:dyDescent="0.2">
      <c r="A57" s="387"/>
      <c r="B57" s="388"/>
      <c r="C57" s="388"/>
      <c r="D57" s="388"/>
      <c r="E57" s="388"/>
      <c r="F57" s="388"/>
      <c r="G57" s="388"/>
      <c r="H57" s="388"/>
      <c r="I57" s="388"/>
      <c r="J57" s="388"/>
      <c r="K57" s="388"/>
      <c r="L57" s="389"/>
      <c r="M57" s="390"/>
      <c r="N57" s="390"/>
      <c r="O57" s="388"/>
      <c r="P57" s="391"/>
      <c r="Q57" s="391"/>
      <c r="R57" s="391"/>
      <c r="S57" s="392"/>
    </row>
    <row r="58" spans="1:19" ht="15.75" x14ac:dyDescent="0.2">
      <c r="A58" s="556" t="s">
        <v>1158</v>
      </c>
      <c r="B58" s="557"/>
      <c r="C58" s="557"/>
      <c r="D58" s="557"/>
      <c r="E58" s="557"/>
      <c r="F58" s="557"/>
      <c r="G58" s="557"/>
      <c r="H58" s="557"/>
      <c r="I58" s="557"/>
      <c r="J58" s="557"/>
      <c r="K58" s="557"/>
      <c r="L58" s="557"/>
      <c r="M58" s="557"/>
      <c r="N58" s="557"/>
      <c r="O58" s="557"/>
      <c r="P58" s="557"/>
      <c r="Q58" s="557"/>
      <c r="R58" s="557"/>
      <c r="S58" s="661"/>
    </row>
    <row r="59" spans="1:19" ht="24" customHeight="1" x14ac:dyDescent="0.2">
      <c r="A59" s="593">
        <v>9</v>
      </c>
      <c r="B59" s="585" t="s">
        <v>1194</v>
      </c>
      <c r="C59" s="597" t="s">
        <v>1147</v>
      </c>
      <c r="D59" s="597" t="s">
        <v>1154</v>
      </c>
      <c r="E59" s="597" t="s">
        <v>36</v>
      </c>
      <c r="F59" s="597" t="s">
        <v>54</v>
      </c>
      <c r="G59" s="382" t="s">
        <v>1155</v>
      </c>
      <c r="H59" s="383">
        <v>75</v>
      </c>
      <c r="I59" s="384" t="s">
        <v>73</v>
      </c>
      <c r="J59" s="384">
        <v>240</v>
      </c>
      <c r="K59" s="385">
        <v>480</v>
      </c>
      <c r="L59" s="384">
        <v>115200</v>
      </c>
      <c r="M59" s="384">
        <v>134784</v>
      </c>
      <c r="N59" s="251" t="s">
        <v>1111</v>
      </c>
      <c r="O59" s="560" t="s">
        <v>15</v>
      </c>
      <c r="P59" s="560" t="s">
        <v>1217</v>
      </c>
      <c r="Q59" s="560"/>
      <c r="R59" s="657">
        <f>M59</f>
        <v>134784</v>
      </c>
      <c r="S59" s="659" t="s">
        <v>18</v>
      </c>
    </row>
    <row r="60" spans="1:19" ht="19.149999999999999" customHeight="1" x14ac:dyDescent="0.2">
      <c r="A60" s="594"/>
      <c r="B60" s="596"/>
      <c r="C60" s="599"/>
      <c r="D60" s="599"/>
      <c r="E60" s="599"/>
      <c r="F60" s="599"/>
      <c r="G60" s="394" t="s">
        <v>1157</v>
      </c>
      <c r="H60" s="399">
        <v>62</v>
      </c>
      <c r="I60" s="34" t="s">
        <v>73</v>
      </c>
      <c r="J60" s="34">
        <v>289</v>
      </c>
      <c r="K60" s="394">
        <v>480</v>
      </c>
      <c r="L60" s="34">
        <v>138720</v>
      </c>
      <c r="M60" s="34">
        <v>162302.39999999999</v>
      </c>
      <c r="N60" s="394" t="s">
        <v>1143</v>
      </c>
      <c r="O60" s="562"/>
      <c r="P60" s="562"/>
      <c r="Q60" s="562"/>
      <c r="R60" s="658"/>
      <c r="S60" s="660"/>
    </row>
    <row r="61" spans="1:19" ht="14.25" x14ac:dyDescent="0.2">
      <c r="A61" s="595"/>
      <c r="B61" s="581" t="s">
        <v>1195</v>
      </c>
      <c r="C61" s="582"/>
      <c r="D61" s="582"/>
      <c r="E61" s="582"/>
      <c r="F61" s="582"/>
      <c r="G61" s="582"/>
      <c r="H61" s="582"/>
      <c r="I61" s="582"/>
      <c r="J61" s="582"/>
      <c r="K61" s="582"/>
      <c r="L61" s="582"/>
      <c r="M61" s="582"/>
      <c r="N61" s="582"/>
      <c r="O61" s="582"/>
      <c r="P61" s="582"/>
      <c r="Q61" s="582"/>
      <c r="R61" s="582"/>
      <c r="S61" s="583"/>
    </row>
  </sheetData>
  <autoFilter ref="A1:S51" xr:uid="{0DEADEC1-A3F8-448B-9D16-127802E1B852}">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autoFilter>
  <mergeCells count="126">
    <mergeCell ref="A1:A6"/>
    <mergeCell ref="B1:S1"/>
    <mergeCell ref="B2:S2"/>
    <mergeCell ref="B3:S3"/>
    <mergeCell ref="B4:S4"/>
    <mergeCell ref="B5:S5"/>
    <mergeCell ref="O11:O14"/>
    <mergeCell ref="P11:P14"/>
    <mergeCell ref="Q11:Q14"/>
    <mergeCell ref="R11:R14"/>
    <mergeCell ref="S11:S14"/>
    <mergeCell ref="B15:S15"/>
    <mergeCell ref="A7:S7"/>
    <mergeCell ref="A8:A9"/>
    <mergeCell ref="B9:S9"/>
    <mergeCell ref="A10:S10"/>
    <mergeCell ref="A11:A15"/>
    <mergeCell ref="B11:B14"/>
    <mergeCell ref="C11:C14"/>
    <mergeCell ref="D11:D14"/>
    <mergeCell ref="E11:E14"/>
    <mergeCell ref="F11:F14"/>
    <mergeCell ref="A16:S16"/>
    <mergeCell ref="A17:A21"/>
    <mergeCell ref="B17:B20"/>
    <mergeCell ref="C17:C20"/>
    <mergeCell ref="D17:D20"/>
    <mergeCell ref="E17:E20"/>
    <mergeCell ref="F17:F20"/>
    <mergeCell ref="O17:O20"/>
    <mergeCell ref="P17:P20"/>
    <mergeCell ref="Q17:Q20"/>
    <mergeCell ref="O23:O26"/>
    <mergeCell ref="P23:P26"/>
    <mergeCell ref="Q23:Q26"/>
    <mergeCell ref="R23:R26"/>
    <mergeCell ref="S23:S26"/>
    <mergeCell ref="B27:S27"/>
    <mergeCell ref="R17:R20"/>
    <mergeCell ref="S17:S20"/>
    <mergeCell ref="B21:S21"/>
    <mergeCell ref="A22:S22"/>
    <mergeCell ref="A23:A27"/>
    <mergeCell ref="B23:B26"/>
    <mergeCell ref="C23:C26"/>
    <mergeCell ref="D23:D26"/>
    <mergeCell ref="E23:E26"/>
    <mergeCell ref="F23:F26"/>
    <mergeCell ref="A28:S28"/>
    <mergeCell ref="A29:A34"/>
    <mergeCell ref="B29:B33"/>
    <mergeCell ref="C29:C33"/>
    <mergeCell ref="D29:D33"/>
    <mergeCell ref="E29:E33"/>
    <mergeCell ref="F29:F33"/>
    <mergeCell ref="O29:O33"/>
    <mergeCell ref="P29:P33"/>
    <mergeCell ref="Q29:Q33"/>
    <mergeCell ref="O36:O39"/>
    <mergeCell ref="P36:P39"/>
    <mergeCell ref="Q36:Q39"/>
    <mergeCell ref="R36:R39"/>
    <mergeCell ref="S36:S39"/>
    <mergeCell ref="B40:S40"/>
    <mergeCell ref="R29:R33"/>
    <mergeCell ref="S29:S33"/>
    <mergeCell ref="B34:S34"/>
    <mergeCell ref="A35:S35"/>
    <mergeCell ref="A36:A40"/>
    <mergeCell ref="B36:B39"/>
    <mergeCell ref="C36:C39"/>
    <mergeCell ref="D36:D39"/>
    <mergeCell ref="E36:E39"/>
    <mergeCell ref="F36:F39"/>
    <mergeCell ref="A41:S41"/>
    <mergeCell ref="A42:A46"/>
    <mergeCell ref="B42:B45"/>
    <mergeCell ref="C42:C45"/>
    <mergeCell ref="D42:D45"/>
    <mergeCell ref="E42:E45"/>
    <mergeCell ref="F42:F45"/>
    <mergeCell ref="O42:O45"/>
    <mergeCell ref="P42:P45"/>
    <mergeCell ref="Q42:Q45"/>
    <mergeCell ref="O48:O50"/>
    <mergeCell ref="P48:P50"/>
    <mergeCell ref="Q48:Q50"/>
    <mergeCell ref="R48:R50"/>
    <mergeCell ref="S48:S50"/>
    <mergeCell ref="B51:S51"/>
    <mergeCell ref="R42:R45"/>
    <mergeCell ref="S42:S45"/>
    <mergeCell ref="B46:S46"/>
    <mergeCell ref="A47:S47"/>
    <mergeCell ref="A48:A51"/>
    <mergeCell ref="B48:B50"/>
    <mergeCell ref="C48:C50"/>
    <mergeCell ref="D48:D50"/>
    <mergeCell ref="E48:E50"/>
    <mergeCell ref="F48:F50"/>
    <mergeCell ref="A52:S52"/>
    <mergeCell ref="A53:A56"/>
    <mergeCell ref="B53:B55"/>
    <mergeCell ref="C53:C55"/>
    <mergeCell ref="D53:D55"/>
    <mergeCell ref="E53:E55"/>
    <mergeCell ref="F53:F55"/>
    <mergeCell ref="O53:O55"/>
    <mergeCell ref="P53:P55"/>
    <mergeCell ref="Q53:Q55"/>
    <mergeCell ref="O59:O60"/>
    <mergeCell ref="P59:P60"/>
    <mergeCell ref="Q59:Q60"/>
    <mergeCell ref="R59:R60"/>
    <mergeCell ref="S59:S60"/>
    <mergeCell ref="B61:S61"/>
    <mergeCell ref="R53:R55"/>
    <mergeCell ref="S53:S55"/>
    <mergeCell ref="B56:S56"/>
    <mergeCell ref="A58:S58"/>
    <mergeCell ref="A59:A61"/>
    <mergeCell ref="B59:B60"/>
    <mergeCell ref="C59:C60"/>
    <mergeCell ref="D59:D60"/>
    <mergeCell ref="E59:E60"/>
    <mergeCell ref="F59:F60"/>
  </mergeCells>
  <dataValidations count="2">
    <dataValidation type="list" allowBlank="1" showInputMessage="1" showErrorMessage="1" sqref="I11:I14 I17:I20 I23:I26" xr:uid="{9008E1FE-E1C2-4106-8437-EED17D9DE4B7}">
      <formula1>#REF!</formula1>
    </dataValidation>
    <dataValidation type="list" allowBlank="1" showInputMessage="1" showErrorMessage="1" sqref="E36:E37 O8 O11:O14 O17:O20 O23:O26 O29:O33 O36:O39 O42:O45 O48:O50 O53:O55 E8:F8 E11:F11 E17:F18 E23:F25 E29:F32 F36:F38 E42:F44 E48:F50 E53:F55" xr:uid="{6280639F-F05B-4B88-92F8-F6F6883F9C49}">
      <formula1>#REF!</formula1>
    </dataValidation>
  </dataValidations>
  <pageMargins left="0.25" right="0.25" top="0.75" bottom="0.75" header="0.3" footer="0.3"/>
  <pageSetup paperSize="9" scale="57" fitToHeight="0" orientation="landscape" r:id="rId1"/>
  <rowBreaks count="1" manualBreakCount="1">
    <brk id="34"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205594-A09E-41A9-929A-01E90FED9C98}">
  <dimension ref="A1:T37"/>
  <sheetViews>
    <sheetView rightToLeft="1" topLeftCell="A19" workbookViewId="0">
      <selection activeCell="B5" sqref="A5:XFD5"/>
    </sheetView>
  </sheetViews>
  <sheetFormatPr defaultColWidth="8.75" defaultRowHeight="15" x14ac:dyDescent="0.2"/>
  <cols>
    <col min="1" max="1" width="4.25" customWidth="1"/>
    <col min="2" max="2" width="21.125" bestFit="1" customWidth="1"/>
    <col min="4" max="4" width="11.375" bestFit="1" customWidth="1"/>
    <col min="5" max="5" width="14.25" bestFit="1" customWidth="1"/>
    <col min="6" max="6" width="12" customWidth="1"/>
    <col min="7" max="7" width="18.75" bestFit="1" customWidth="1"/>
    <col min="8" max="8" width="9.875" customWidth="1"/>
    <col min="9" max="9" width="10.25" bestFit="1" customWidth="1"/>
    <col min="10" max="10" width="15.25" style="7" bestFit="1" customWidth="1"/>
    <col min="11" max="11" width="13.625" style="8" bestFit="1" customWidth="1"/>
    <col min="12" max="12" width="13.625" style="8" customWidth="1"/>
    <col min="13" max="13" width="16" style="8" bestFit="1" customWidth="1"/>
    <col min="14" max="14" width="9" customWidth="1"/>
    <col min="15" max="15" width="12.875" style="9" customWidth="1"/>
    <col min="16" max="16" width="28" style="9" customWidth="1"/>
    <col min="17" max="17" width="9.875" style="9" customWidth="1"/>
    <col min="18" max="18" width="15" style="9" customWidth="1"/>
    <col min="19" max="19" width="13" style="247" bestFit="1" customWidth="1"/>
    <col min="20" max="20" width="13" style="11" customWidth="1"/>
  </cols>
  <sheetData>
    <row r="1" spans="1:20" ht="20.25" x14ac:dyDescent="0.2">
      <c r="A1" s="571"/>
      <c r="B1" s="572" t="s">
        <v>1498</v>
      </c>
      <c r="C1" s="572"/>
      <c r="D1" s="572"/>
      <c r="E1" s="572"/>
      <c r="F1" s="572"/>
      <c r="G1" s="572"/>
      <c r="H1" s="572"/>
      <c r="I1" s="572"/>
      <c r="J1" s="572"/>
      <c r="K1" s="572"/>
      <c r="L1" s="572"/>
      <c r="M1" s="572"/>
      <c r="N1" s="572"/>
      <c r="O1" s="572"/>
      <c r="P1" s="572"/>
      <c r="Q1" s="572"/>
      <c r="R1" s="572"/>
      <c r="S1" s="572"/>
      <c r="T1" s="572"/>
    </row>
    <row r="2" spans="1:20" ht="14.25" x14ac:dyDescent="0.2">
      <c r="A2" s="571"/>
      <c r="B2" s="573" t="s">
        <v>1106</v>
      </c>
      <c r="C2" s="573"/>
      <c r="D2" s="573"/>
      <c r="E2" s="573"/>
      <c r="F2" s="573"/>
      <c r="G2" s="573"/>
      <c r="H2" s="573"/>
      <c r="I2" s="573"/>
      <c r="J2" s="573"/>
      <c r="K2" s="573"/>
      <c r="L2" s="573"/>
      <c r="M2" s="573"/>
      <c r="N2" s="573"/>
      <c r="O2" s="573"/>
      <c r="P2" s="573"/>
      <c r="Q2" s="573"/>
      <c r="R2" s="573"/>
      <c r="S2" s="573"/>
      <c r="T2" s="573"/>
    </row>
    <row r="3" spans="1:20" ht="14.25" x14ac:dyDescent="0.2">
      <c r="A3" s="571"/>
      <c r="B3" s="575" t="s">
        <v>52</v>
      </c>
      <c r="C3" s="575"/>
      <c r="D3" s="575"/>
      <c r="E3" s="575"/>
      <c r="F3" s="575"/>
      <c r="G3" s="575"/>
      <c r="H3" s="575"/>
      <c r="I3" s="575"/>
      <c r="J3" s="575"/>
      <c r="K3" s="575"/>
      <c r="L3" s="575"/>
      <c r="M3" s="575"/>
      <c r="N3" s="575"/>
      <c r="O3" s="575"/>
      <c r="P3" s="575"/>
      <c r="Q3" s="575"/>
      <c r="R3" s="575"/>
      <c r="S3" s="575"/>
      <c r="T3" s="575"/>
    </row>
    <row r="4" spans="1:20" ht="14.25" x14ac:dyDescent="0.2">
      <c r="A4" s="571"/>
      <c r="B4" s="575" t="s">
        <v>51</v>
      </c>
      <c r="C4" s="575"/>
      <c r="D4" s="575"/>
      <c r="E4" s="575"/>
      <c r="F4" s="575"/>
      <c r="G4" s="575"/>
      <c r="H4" s="575"/>
      <c r="I4" s="575"/>
      <c r="J4" s="575"/>
      <c r="K4" s="575"/>
      <c r="L4" s="575"/>
      <c r="M4" s="575"/>
      <c r="N4" s="575"/>
      <c r="O4" s="575"/>
      <c r="P4" s="575"/>
      <c r="Q4" s="575"/>
      <c r="R4" s="575"/>
      <c r="S4" s="575"/>
      <c r="T4" s="575"/>
    </row>
    <row r="5" spans="1:20" ht="46.5" customHeight="1" x14ac:dyDescent="0.2">
      <c r="A5" s="571"/>
      <c r="B5" s="443" t="s">
        <v>0</v>
      </c>
      <c r="C5" s="443" t="s">
        <v>1</v>
      </c>
      <c r="D5" s="443" t="s">
        <v>830</v>
      </c>
      <c r="E5" s="443" t="s">
        <v>35</v>
      </c>
      <c r="F5" s="443" t="s">
        <v>831</v>
      </c>
      <c r="G5" s="444" t="s">
        <v>2</v>
      </c>
      <c r="H5" s="444" t="s">
        <v>3</v>
      </c>
      <c r="I5" s="444" t="s">
        <v>832</v>
      </c>
      <c r="J5" s="444" t="s">
        <v>833</v>
      </c>
      <c r="K5" s="445" t="s">
        <v>834</v>
      </c>
      <c r="L5" s="445" t="s">
        <v>835</v>
      </c>
      <c r="M5" s="446" t="s">
        <v>836</v>
      </c>
      <c r="N5" s="444" t="s">
        <v>8</v>
      </c>
      <c r="O5" s="444" t="s">
        <v>9</v>
      </c>
      <c r="P5" s="444" t="s">
        <v>95</v>
      </c>
      <c r="Q5" s="444" t="s">
        <v>837</v>
      </c>
      <c r="R5" s="447" t="s">
        <v>729</v>
      </c>
      <c r="S5" s="444" t="s">
        <v>10</v>
      </c>
      <c r="T5" s="444" t="s">
        <v>11</v>
      </c>
    </row>
    <row r="6" spans="1:20" ht="15.75" x14ac:dyDescent="0.2">
      <c r="A6" s="668" t="s">
        <v>1258</v>
      </c>
      <c r="B6" s="669"/>
      <c r="C6" s="669"/>
      <c r="D6" s="669"/>
      <c r="E6" s="669"/>
      <c r="F6" s="669"/>
      <c r="G6" s="669"/>
      <c r="H6" s="669"/>
      <c r="I6" s="669"/>
      <c r="J6" s="669"/>
      <c r="K6" s="669"/>
      <c r="L6" s="669"/>
      <c r="M6" s="669"/>
      <c r="N6" s="669"/>
      <c r="O6" s="669"/>
      <c r="P6" s="669"/>
      <c r="Q6" s="669"/>
      <c r="R6" s="669"/>
      <c r="S6" s="669"/>
      <c r="T6" s="670"/>
    </row>
    <row r="7" spans="1:20" s="350" customFormat="1" ht="14.25" x14ac:dyDescent="0.2">
      <c r="A7" s="593">
        <v>1</v>
      </c>
      <c r="B7" s="585" t="s">
        <v>1200</v>
      </c>
      <c r="C7" s="597" t="s">
        <v>1201</v>
      </c>
      <c r="D7" s="597"/>
      <c r="E7" s="597" t="s">
        <v>42</v>
      </c>
      <c r="F7" s="597" t="s">
        <v>54</v>
      </c>
      <c r="G7" s="448" t="s">
        <v>1202</v>
      </c>
      <c r="H7" s="449">
        <v>100</v>
      </c>
      <c r="I7" s="450" t="s">
        <v>14</v>
      </c>
      <c r="J7" s="450">
        <v>9000</v>
      </c>
      <c r="K7" s="451">
        <v>1</v>
      </c>
      <c r="L7" s="450">
        <v>9000</v>
      </c>
      <c r="M7" s="450">
        <v>10530</v>
      </c>
      <c r="N7" s="448"/>
      <c r="O7" s="560" t="s">
        <v>722</v>
      </c>
      <c r="P7" s="560"/>
      <c r="Q7" s="560"/>
      <c r="R7" s="657">
        <f>M7*(100-Q7)/100</f>
        <v>10530</v>
      </c>
      <c r="S7" s="659"/>
      <c r="T7" s="671"/>
    </row>
    <row r="8" spans="1:20" ht="14.25" x14ac:dyDescent="0.2">
      <c r="A8" s="594"/>
      <c r="B8" s="586"/>
      <c r="C8" s="598"/>
      <c r="D8" s="598"/>
      <c r="E8" s="598"/>
      <c r="F8" s="598"/>
      <c r="G8" s="434" t="s">
        <v>194</v>
      </c>
      <c r="H8" s="437">
        <v>83</v>
      </c>
      <c r="I8" s="34" t="s">
        <v>14</v>
      </c>
      <c r="J8" s="34">
        <v>11800</v>
      </c>
      <c r="K8" s="434">
        <v>1</v>
      </c>
      <c r="L8" s="34">
        <v>11800</v>
      </c>
      <c r="M8" s="34">
        <v>13806</v>
      </c>
      <c r="N8" s="434" t="s">
        <v>13</v>
      </c>
      <c r="O8" s="561"/>
      <c r="P8" s="561"/>
      <c r="Q8" s="561"/>
      <c r="R8" s="673"/>
      <c r="S8" s="674"/>
      <c r="T8" s="672"/>
    </row>
    <row r="9" spans="1:20" ht="14.25" x14ac:dyDescent="0.2">
      <c r="A9" s="594"/>
      <c r="B9" s="586"/>
      <c r="C9" s="598"/>
      <c r="D9" s="598"/>
      <c r="E9" s="598"/>
      <c r="F9" s="598"/>
      <c r="G9" s="434" t="s">
        <v>1203</v>
      </c>
      <c r="H9" s="437">
        <v>83</v>
      </c>
      <c r="I9" s="34" t="s">
        <v>14</v>
      </c>
      <c r="J9" s="34">
        <v>12000</v>
      </c>
      <c r="K9" s="434">
        <v>1</v>
      </c>
      <c r="L9" s="34">
        <v>12000</v>
      </c>
      <c r="M9" s="34">
        <v>14040</v>
      </c>
      <c r="N9" s="434" t="s">
        <v>13</v>
      </c>
      <c r="O9" s="561"/>
      <c r="P9" s="561"/>
      <c r="Q9" s="561"/>
      <c r="R9" s="673"/>
      <c r="S9" s="674"/>
      <c r="T9" s="672"/>
    </row>
    <row r="10" spans="1:20" ht="14.25" x14ac:dyDescent="0.2">
      <c r="A10" s="594"/>
      <c r="B10" s="586"/>
      <c r="C10" s="598"/>
      <c r="D10" s="598"/>
      <c r="E10" s="598"/>
      <c r="F10" s="598"/>
      <c r="G10" s="434" t="s">
        <v>1204</v>
      </c>
      <c r="H10" s="437">
        <v>89</v>
      </c>
      <c r="I10" s="34" t="s">
        <v>14</v>
      </c>
      <c r="J10" s="34">
        <v>10600</v>
      </c>
      <c r="K10" s="434">
        <v>1</v>
      </c>
      <c r="L10" s="34">
        <v>10600</v>
      </c>
      <c r="M10" s="34">
        <v>12402</v>
      </c>
      <c r="N10" s="434" t="s">
        <v>13</v>
      </c>
      <c r="O10" s="561"/>
      <c r="P10" s="561"/>
      <c r="Q10" s="561"/>
      <c r="R10" s="673"/>
      <c r="S10" s="674"/>
      <c r="T10" s="672"/>
    </row>
    <row r="11" spans="1:20" ht="14.25" x14ac:dyDescent="0.2">
      <c r="A11" s="594"/>
      <c r="B11" s="586"/>
      <c r="C11" s="598"/>
      <c r="D11" s="599"/>
      <c r="E11" s="599"/>
      <c r="F11" s="599"/>
      <c r="G11" s="434" t="s">
        <v>1205</v>
      </c>
      <c r="H11" s="437">
        <v>66</v>
      </c>
      <c r="I11" s="34" t="s">
        <v>14</v>
      </c>
      <c r="J11" s="34">
        <v>17500</v>
      </c>
      <c r="K11" s="434">
        <v>1</v>
      </c>
      <c r="L11" s="34">
        <v>17500</v>
      </c>
      <c r="M11" s="34">
        <v>20475</v>
      </c>
      <c r="N11" s="434" t="s">
        <v>13</v>
      </c>
      <c r="O11" s="562"/>
      <c r="P11" s="561"/>
      <c r="Q11" s="562"/>
      <c r="R11" s="673"/>
      <c r="S11" s="674"/>
      <c r="T11" s="672"/>
    </row>
    <row r="12" spans="1:20" ht="13.9" customHeight="1" x14ac:dyDescent="0.2">
      <c r="A12" s="595"/>
      <c r="B12" s="581"/>
      <c r="C12" s="582"/>
      <c r="D12" s="582"/>
      <c r="E12" s="582"/>
      <c r="F12" s="582"/>
      <c r="G12" s="582"/>
      <c r="H12" s="582"/>
      <c r="I12" s="582"/>
      <c r="J12" s="582"/>
      <c r="K12" s="582"/>
      <c r="L12" s="582"/>
      <c r="M12" s="582"/>
      <c r="N12" s="582"/>
      <c r="O12" s="582"/>
      <c r="P12" s="582"/>
      <c r="Q12" s="582"/>
      <c r="R12" s="582"/>
      <c r="S12" s="582"/>
      <c r="T12" s="583"/>
    </row>
    <row r="13" spans="1:20" ht="15.75" x14ac:dyDescent="0.2">
      <c r="A13" s="668" t="s">
        <v>1259</v>
      </c>
      <c r="B13" s="669"/>
      <c r="C13" s="669"/>
      <c r="D13" s="669"/>
      <c r="E13" s="669"/>
      <c r="F13" s="669"/>
      <c r="G13" s="669"/>
      <c r="H13" s="669"/>
      <c r="I13" s="669"/>
      <c r="J13" s="669"/>
      <c r="K13" s="669"/>
      <c r="L13" s="669"/>
      <c r="M13" s="669"/>
      <c r="N13" s="669"/>
      <c r="O13" s="669"/>
      <c r="P13" s="669"/>
      <c r="Q13" s="669"/>
      <c r="R13" s="669"/>
      <c r="S13" s="669"/>
      <c r="T13" s="670"/>
    </row>
    <row r="14" spans="1:20" ht="42" customHeight="1" x14ac:dyDescent="0.2">
      <c r="A14" s="593">
        <v>2</v>
      </c>
      <c r="B14" s="585" t="s">
        <v>1260</v>
      </c>
      <c r="C14" s="597" t="s">
        <v>1201</v>
      </c>
      <c r="D14" s="597"/>
      <c r="E14" s="597" t="s">
        <v>39</v>
      </c>
      <c r="F14" s="597" t="s">
        <v>54</v>
      </c>
      <c r="G14" s="452" t="s">
        <v>1261</v>
      </c>
      <c r="H14" s="453">
        <v>100</v>
      </c>
      <c r="I14" s="454" t="s">
        <v>846</v>
      </c>
      <c r="J14" s="454">
        <v>15000000</v>
      </c>
      <c r="K14" s="455">
        <v>3.4000000000000002E-2</v>
      </c>
      <c r="L14" s="454">
        <v>510000</v>
      </c>
      <c r="M14" s="454">
        <v>596700</v>
      </c>
      <c r="N14" s="452"/>
      <c r="O14" s="560" t="s">
        <v>15</v>
      </c>
      <c r="P14" s="560" t="s">
        <v>1262</v>
      </c>
      <c r="Q14" s="435"/>
      <c r="R14" s="657">
        <v>495000</v>
      </c>
      <c r="S14" s="659"/>
      <c r="T14" s="671"/>
    </row>
    <row r="15" spans="1:20" ht="29.25" customHeight="1" x14ac:dyDescent="0.2">
      <c r="A15" s="594"/>
      <c r="B15" s="586"/>
      <c r="C15" s="598"/>
      <c r="D15" s="598"/>
      <c r="E15" s="598"/>
      <c r="F15" s="598"/>
      <c r="G15" s="434" t="s">
        <v>521</v>
      </c>
      <c r="H15" s="437">
        <v>92</v>
      </c>
      <c r="I15" s="34" t="s">
        <v>846</v>
      </c>
      <c r="J15" s="34">
        <v>15000000</v>
      </c>
      <c r="K15" s="456">
        <v>3.8300000000000001E-2</v>
      </c>
      <c r="L15" s="34">
        <v>574500</v>
      </c>
      <c r="M15" s="34">
        <v>672165</v>
      </c>
      <c r="N15" s="434"/>
      <c r="O15" s="561"/>
      <c r="P15" s="561"/>
      <c r="Q15" s="436"/>
      <c r="R15" s="673"/>
      <c r="S15" s="674"/>
      <c r="T15" s="672"/>
    </row>
    <row r="16" spans="1:20" ht="46.5" customHeight="1" x14ac:dyDescent="0.2">
      <c r="A16" s="594"/>
      <c r="B16" s="586"/>
      <c r="C16" s="598"/>
      <c r="D16" s="598"/>
      <c r="E16" s="598"/>
      <c r="F16" s="598"/>
      <c r="G16" s="434" t="s">
        <v>519</v>
      </c>
      <c r="H16" s="437">
        <v>98</v>
      </c>
      <c r="I16" s="34" t="s">
        <v>846</v>
      </c>
      <c r="J16" s="34">
        <v>15000000</v>
      </c>
      <c r="K16" s="456">
        <v>3.5000000000000003E-2</v>
      </c>
      <c r="L16" s="34">
        <v>525000</v>
      </c>
      <c r="M16" s="34">
        <v>614250</v>
      </c>
      <c r="N16" s="434" t="s">
        <v>13</v>
      </c>
      <c r="O16" s="561"/>
      <c r="P16" s="561"/>
      <c r="Q16" s="436"/>
      <c r="R16" s="673"/>
      <c r="S16" s="674"/>
      <c r="T16" s="672"/>
    </row>
    <row r="17" spans="1:20" ht="39" customHeight="1" x14ac:dyDescent="0.2">
      <c r="A17" s="594"/>
      <c r="B17" s="586"/>
      <c r="C17" s="598"/>
      <c r="D17" s="598"/>
      <c r="E17" s="598"/>
      <c r="F17" s="598"/>
      <c r="G17" s="434" t="s">
        <v>1263</v>
      </c>
      <c r="H17" s="437">
        <v>97</v>
      </c>
      <c r="I17" s="34" t="s">
        <v>846</v>
      </c>
      <c r="J17" s="34">
        <v>15000000</v>
      </c>
      <c r="K17" s="456">
        <v>3.5499999999999997E-2</v>
      </c>
      <c r="L17" s="34">
        <v>532500</v>
      </c>
      <c r="M17" s="34">
        <v>623025</v>
      </c>
      <c r="N17" s="434"/>
      <c r="O17" s="561"/>
      <c r="P17" s="561"/>
      <c r="Q17" s="436"/>
      <c r="R17" s="673"/>
      <c r="S17" s="674"/>
      <c r="T17" s="672"/>
    </row>
    <row r="18" spans="1:20" ht="18" customHeight="1" x14ac:dyDescent="0.2">
      <c r="A18" s="594"/>
      <c r="B18" s="586"/>
      <c r="C18" s="598"/>
      <c r="D18" s="599"/>
      <c r="E18" s="599"/>
      <c r="F18" s="599"/>
      <c r="G18" s="434"/>
      <c r="H18" s="437"/>
      <c r="I18" s="34"/>
      <c r="J18" s="34"/>
      <c r="K18" s="34"/>
      <c r="L18" s="34"/>
      <c r="M18" s="34"/>
      <c r="N18" s="434"/>
      <c r="O18" s="562"/>
      <c r="P18" s="562"/>
      <c r="Q18" s="436"/>
      <c r="R18" s="658"/>
      <c r="S18" s="660"/>
      <c r="T18" s="672"/>
    </row>
    <row r="19" spans="1:20" ht="17.25" customHeight="1" x14ac:dyDescent="0.2">
      <c r="A19" s="595"/>
      <c r="B19" s="581"/>
      <c r="C19" s="582"/>
      <c r="D19" s="582"/>
      <c r="E19" s="582"/>
      <c r="F19" s="582"/>
      <c r="G19" s="582"/>
      <c r="H19" s="582"/>
      <c r="I19" s="582"/>
      <c r="J19" s="582"/>
      <c r="K19" s="582"/>
      <c r="L19" s="582"/>
      <c r="M19" s="582"/>
      <c r="N19" s="582"/>
      <c r="O19" s="582"/>
      <c r="P19" s="582"/>
      <c r="Q19" s="582"/>
      <c r="R19" s="582"/>
      <c r="S19" s="582"/>
      <c r="T19" s="583"/>
    </row>
    <row r="20" spans="1:20" ht="15.75" x14ac:dyDescent="0.2">
      <c r="A20" s="668" t="s">
        <v>1264</v>
      </c>
      <c r="B20" s="669"/>
      <c r="C20" s="669"/>
      <c r="D20" s="669"/>
      <c r="E20" s="669"/>
      <c r="F20" s="669"/>
      <c r="G20" s="669"/>
      <c r="H20" s="669"/>
      <c r="I20" s="669"/>
      <c r="J20" s="669"/>
      <c r="K20" s="669"/>
      <c r="L20" s="669"/>
      <c r="M20" s="669"/>
      <c r="N20" s="669"/>
      <c r="O20" s="669"/>
      <c r="P20" s="669"/>
      <c r="Q20" s="669"/>
      <c r="R20" s="669"/>
      <c r="S20" s="669"/>
      <c r="T20" s="670"/>
    </row>
    <row r="21" spans="1:20" ht="14.25" x14ac:dyDescent="0.2">
      <c r="A21" s="593">
        <v>3</v>
      </c>
      <c r="B21" s="585" t="s">
        <v>1265</v>
      </c>
      <c r="C21" s="597" t="s">
        <v>1266</v>
      </c>
      <c r="D21" s="597">
        <v>44013</v>
      </c>
      <c r="E21" s="597" t="s">
        <v>42</v>
      </c>
      <c r="F21" s="597" t="s">
        <v>54</v>
      </c>
      <c r="G21" s="452" t="s">
        <v>1267</v>
      </c>
      <c r="H21" s="453">
        <v>75</v>
      </c>
      <c r="I21" s="454" t="s">
        <v>73</v>
      </c>
      <c r="J21" s="454">
        <v>240</v>
      </c>
      <c r="K21" s="457">
        <v>280</v>
      </c>
      <c r="L21" s="454">
        <v>67200</v>
      </c>
      <c r="M21" s="454">
        <v>78624</v>
      </c>
      <c r="N21" s="452"/>
      <c r="O21" s="560" t="s">
        <v>15</v>
      </c>
      <c r="P21" s="560" t="s">
        <v>1268</v>
      </c>
      <c r="Q21" s="435"/>
      <c r="R21" s="657">
        <f>95000*80/100*117/100</f>
        <v>88920</v>
      </c>
      <c r="S21" s="659"/>
      <c r="T21" s="671"/>
    </row>
    <row r="22" spans="1:20" ht="14.25" x14ac:dyDescent="0.2">
      <c r="A22" s="594"/>
      <c r="B22" s="586"/>
      <c r="C22" s="598"/>
      <c r="D22" s="598"/>
      <c r="E22" s="598"/>
      <c r="F22" s="598"/>
      <c r="G22" s="434" t="s">
        <v>1269</v>
      </c>
      <c r="H22" s="437">
        <v>68</v>
      </c>
      <c r="I22" s="34" t="s">
        <v>847</v>
      </c>
      <c r="J22" s="34">
        <v>73062</v>
      </c>
      <c r="K22" s="434">
        <v>1</v>
      </c>
      <c r="L22" s="34">
        <v>73062</v>
      </c>
      <c r="M22" s="34">
        <v>85482.54</v>
      </c>
      <c r="N22" s="434"/>
      <c r="O22" s="561"/>
      <c r="P22" s="561"/>
      <c r="Q22" s="436"/>
      <c r="R22" s="673"/>
      <c r="S22" s="674"/>
      <c r="T22" s="672"/>
    </row>
    <row r="23" spans="1:20" ht="14.25" x14ac:dyDescent="0.2">
      <c r="A23" s="594"/>
      <c r="B23" s="586"/>
      <c r="C23" s="598"/>
      <c r="D23" s="598"/>
      <c r="E23" s="598"/>
      <c r="F23" s="598"/>
      <c r="G23" s="434" t="s">
        <v>92</v>
      </c>
      <c r="H23" s="437">
        <v>73</v>
      </c>
      <c r="I23" s="34" t="s">
        <v>847</v>
      </c>
      <c r="J23" s="34">
        <v>66720</v>
      </c>
      <c r="K23" s="434">
        <v>1</v>
      </c>
      <c r="L23" s="34">
        <v>66720</v>
      </c>
      <c r="M23" s="34">
        <v>78062.399999999994</v>
      </c>
      <c r="N23" s="434" t="s">
        <v>13</v>
      </c>
      <c r="O23" s="561"/>
      <c r="P23" s="561"/>
      <c r="Q23" s="436"/>
      <c r="R23" s="673"/>
      <c r="S23" s="674"/>
      <c r="T23" s="672"/>
    </row>
    <row r="24" spans="1:20" ht="14.25" x14ac:dyDescent="0.2">
      <c r="A24" s="594"/>
      <c r="B24" s="586"/>
      <c r="C24" s="598"/>
      <c r="D24" s="598"/>
      <c r="E24" s="598"/>
      <c r="F24" s="598"/>
      <c r="G24" s="434" t="s">
        <v>1270</v>
      </c>
      <c r="H24" s="437">
        <v>0</v>
      </c>
      <c r="I24" s="34">
        <v>0</v>
      </c>
      <c r="J24" s="34">
        <v>0</v>
      </c>
      <c r="K24" s="34">
        <v>0</v>
      </c>
      <c r="L24" s="34">
        <v>0</v>
      </c>
      <c r="M24" s="34">
        <v>0</v>
      </c>
      <c r="N24" s="434"/>
      <c r="O24" s="561"/>
      <c r="P24" s="561"/>
      <c r="Q24" s="436"/>
      <c r="R24" s="673"/>
      <c r="S24" s="674"/>
      <c r="T24" s="672"/>
    </row>
    <row r="25" spans="1:20" ht="14.25" x14ac:dyDescent="0.2">
      <c r="A25" s="594"/>
      <c r="B25" s="586"/>
      <c r="C25" s="598"/>
      <c r="D25" s="599"/>
      <c r="E25" s="599"/>
      <c r="F25" s="599"/>
      <c r="G25" s="434"/>
      <c r="H25" s="437"/>
      <c r="I25" s="34"/>
      <c r="J25" s="34"/>
      <c r="K25" s="34"/>
      <c r="L25" s="34"/>
      <c r="M25" s="34"/>
      <c r="N25" s="434"/>
      <c r="O25" s="562"/>
      <c r="P25" s="561"/>
      <c r="Q25" s="436"/>
      <c r="R25" s="673"/>
      <c r="S25" s="674"/>
      <c r="T25" s="672"/>
    </row>
    <row r="26" spans="1:20" ht="14.25" x14ac:dyDescent="0.2">
      <c r="A26" s="595"/>
      <c r="B26" s="581" t="s">
        <v>1271</v>
      </c>
      <c r="C26" s="582"/>
      <c r="D26" s="582"/>
      <c r="E26" s="582"/>
      <c r="F26" s="582"/>
      <c r="G26" s="582"/>
      <c r="H26" s="582"/>
      <c r="I26" s="582"/>
      <c r="J26" s="582"/>
      <c r="K26" s="582"/>
      <c r="L26" s="582"/>
      <c r="M26" s="582"/>
      <c r="N26" s="582"/>
      <c r="O26" s="582"/>
      <c r="P26" s="582"/>
      <c r="Q26" s="582"/>
      <c r="R26" s="582"/>
      <c r="S26" s="582"/>
      <c r="T26" s="583"/>
    </row>
    <row r="27" spans="1:20" ht="15.75" x14ac:dyDescent="0.2">
      <c r="A27" s="668" t="s">
        <v>1272</v>
      </c>
      <c r="B27" s="669"/>
      <c r="C27" s="669"/>
      <c r="D27" s="669"/>
      <c r="E27" s="669"/>
      <c r="F27" s="669"/>
      <c r="G27" s="669"/>
      <c r="H27" s="669"/>
      <c r="I27" s="669"/>
      <c r="J27" s="669"/>
      <c r="K27" s="669"/>
      <c r="L27" s="669"/>
      <c r="M27" s="669"/>
      <c r="N27" s="669"/>
      <c r="O27" s="669"/>
      <c r="P27" s="669"/>
      <c r="Q27" s="669"/>
      <c r="R27" s="669"/>
      <c r="S27" s="669"/>
      <c r="T27" s="670"/>
    </row>
    <row r="28" spans="1:20" ht="15" customHeight="1" x14ac:dyDescent="0.2">
      <c r="A28" s="593">
        <v>4</v>
      </c>
      <c r="B28" s="585" t="s">
        <v>1273</v>
      </c>
      <c r="C28" s="597" t="s">
        <v>1274</v>
      </c>
      <c r="D28" s="597"/>
      <c r="E28" s="597" t="s">
        <v>58</v>
      </c>
      <c r="F28" s="597" t="s">
        <v>54</v>
      </c>
      <c r="G28" s="452" t="s">
        <v>1275</v>
      </c>
      <c r="H28" s="453">
        <v>75</v>
      </c>
      <c r="I28" s="454" t="s">
        <v>14</v>
      </c>
      <c r="J28" s="454">
        <v>40000</v>
      </c>
      <c r="K28" s="457">
        <v>1</v>
      </c>
      <c r="L28" s="454">
        <v>40000</v>
      </c>
      <c r="M28" s="454">
        <f>L28*1.17</f>
        <v>46800</v>
      </c>
      <c r="N28" s="452"/>
      <c r="O28" s="560" t="s">
        <v>15</v>
      </c>
      <c r="P28" s="560" t="s">
        <v>1276</v>
      </c>
      <c r="Q28" s="435"/>
      <c r="R28" s="657">
        <v>46800</v>
      </c>
      <c r="S28" s="659"/>
      <c r="T28" s="671"/>
    </row>
    <row r="29" spans="1:20" ht="15" customHeight="1" x14ac:dyDescent="0.2">
      <c r="A29" s="594"/>
      <c r="B29" s="586"/>
      <c r="C29" s="598"/>
      <c r="D29" s="598"/>
      <c r="E29" s="598"/>
      <c r="F29" s="598"/>
      <c r="G29" s="458" t="s">
        <v>1277</v>
      </c>
      <c r="H29" s="459">
        <v>55</v>
      </c>
      <c r="I29" s="460" t="s">
        <v>14</v>
      </c>
      <c r="J29" s="460">
        <v>55000</v>
      </c>
      <c r="K29" s="434">
        <v>1</v>
      </c>
      <c r="L29" s="460">
        <v>55000</v>
      </c>
      <c r="M29" s="461">
        <f t="shared" ref="M29:M30" si="0">L29*1.17</f>
        <v>64349.999999999993</v>
      </c>
      <c r="N29" s="462"/>
      <c r="O29" s="561"/>
      <c r="P29" s="561"/>
      <c r="Q29" s="436"/>
      <c r="R29" s="673"/>
      <c r="S29" s="674"/>
      <c r="T29" s="672"/>
    </row>
    <row r="30" spans="1:20" ht="15" customHeight="1" x14ac:dyDescent="0.2">
      <c r="A30" s="594"/>
      <c r="B30" s="586"/>
      <c r="C30" s="598"/>
      <c r="D30" s="598"/>
      <c r="E30" s="598"/>
      <c r="F30" s="598"/>
      <c r="G30" s="462" t="s">
        <v>1278</v>
      </c>
      <c r="H30" s="459">
        <v>47</v>
      </c>
      <c r="I30" s="460" t="s">
        <v>14</v>
      </c>
      <c r="J30" s="460">
        <v>65000</v>
      </c>
      <c r="K30" s="434">
        <v>1</v>
      </c>
      <c r="L30" s="460">
        <v>65000</v>
      </c>
      <c r="M30" s="461">
        <f t="shared" si="0"/>
        <v>76050</v>
      </c>
      <c r="N30" s="462"/>
      <c r="O30" s="561"/>
      <c r="P30" s="561"/>
      <c r="Q30" s="436"/>
      <c r="R30" s="673"/>
      <c r="S30" s="674"/>
      <c r="T30" s="672"/>
    </row>
    <row r="31" spans="1:20" ht="15" customHeight="1" x14ac:dyDescent="0.2">
      <c r="A31" s="594"/>
      <c r="B31" s="586"/>
      <c r="C31" s="598"/>
      <c r="D31" s="598"/>
      <c r="E31" s="598"/>
      <c r="F31" s="598"/>
      <c r="G31" s="434"/>
      <c r="H31" s="437"/>
      <c r="I31" s="34"/>
      <c r="J31" s="34"/>
      <c r="K31" s="34"/>
      <c r="L31" s="34"/>
      <c r="M31" s="34"/>
      <c r="N31" s="434"/>
      <c r="O31" s="561"/>
      <c r="P31" s="561"/>
      <c r="Q31" s="436"/>
      <c r="R31" s="673"/>
      <c r="S31" s="674"/>
      <c r="T31" s="672"/>
    </row>
    <row r="32" spans="1:20" ht="15" customHeight="1" x14ac:dyDescent="0.2">
      <c r="A32" s="594"/>
      <c r="B32" s="586"/>
      <c r="C32" s="599"/>
      <c r="D32" s="599"/>
      <c r="E32" s="599"/>
      <c r="F32" s="599"/>
      <c r="G32" s="434"/>
      <c r="H32" s="437"/>
      <c r="I32" s="34"/>
      <c r="J32" s="34"/>
      <c r="K32" s="34"/>
      <c r="L32" s="34"/>
      <c r="M32" s="34"/>
      <c r="N32" s="434"/>
      <c r="O32" s="562"/>
      <c r="P32" s="561"/>
      <c r="Q32" s="436"/>
      <c r="R32" s="673"/>
      <c r="S32" s="674"/>
      <c r="T32" s="672"/>
    </row>
    <row r="33" spans="1:20" ht="14.25" x14ac:dyDescent="0.2">
      <c r="A33" s="595"/>
      <c r="B33" s="581"/>
      <c r="C33" s="582"/>
      <c r="D33" s="582"/>
      <c r="E33" s="582"/>
      <c r="F33" s="582"/>
      <c r="G33" s="582"/>
      <c r="H33" s="582"/>
      <c r="I33" s="582"/>
      <c r="J33" s="582"/>
      <c r="K33" s="582"/>
      <c r="L33" s="582"/>
      <c r="M33" s="582"/>
      <c r="N33" s="582"/>
      <c r="O33" s="582"/>
      <c r="P33" s="582"/>
      <c r="Q33" s="582"/>
      <c r="R33" s="582"/>
      <c r="S33" s="582"/>
      <c r="T33" s="583"/>
    </row>
    <row r="37" spans="1:20" x14ac:dyDescent="0.2">
      <c r="B37" s="23"/>
      <c r="K37" s="7"/>
      <c r="T37"/>
    </row>
  </sheetData>
  <mergeCells count="58">
    <mergeCell ref="S28:S32"/>
    <mergeCell ref="T28:T32"/>
    <mergeCell ref="B33:T33"/>
    <mergeCell ref="A27:T27"/>
    <mergeCell ref="A28:A33"/>
    <mergeCell ref="B28:B32"/>
    <mergeCell ref="C28:C32"/>
    <mergeCell ref="D28:D32"/>
    <mergeCell ref="E28:E32"/>
    <mergeCell ref="F28:F32"/>
    <mergeCell ref="O28:O32"/>
    <mergeCell ref="P28:P32"/>
    <mergeCell ref="R28:R32"/>
    <mergeCell ref="B26:T26"/>
    <mergeCell ref="S14:S18"/>
    <mergeCell ref="T14:T18"/>
    <mergeCell ref="B19:T19"/>
    <mergeCell ref="A20:T20"/>
    <mergeCell ref="A21:A26"/>
    <mergeCell ref="B21:B25"/>
    <mergeCell ref="C21:C25"/>
    <mergeCell ref="D21:D25"/>
    <mergeCell ref="E21:E25"/>
    <mergeCell ref="F21:F25"/>
    <mergeCell ref="O21:O25"/>
    <mergeCell ref="P21:P25"/>
    <mergeCell ref="R21:R25"/>
    <mergeCell ref="S21:S25"/>
    <mergeCell ref="T21:T25"/>
    <mergeCell ref="A13:T13"/>
    <mergeCell ref="A14:A19"/>
    <mergeCell ref="B14:B18"/>
    <mergeCell ref="C14:C18"/>
    <mergeCell ref="D14:D18"/>
    <mergeCell ref="E14:E18"/>
    <mergeCell ref="F14:F18"/>
    <mergeCell ref="O14:O18"/>
    <mergeCell ref="P14:P18"/>
    <mergeCell ref="R14:R18"/>
    <mergeCell ref="T7:T11"/>
    <mergeCell ref="A7:A12"/>
    <mergeCell ref="B7:B11"/>
    <mergeCell ref="C7:C11"/>
    <mergeCell ref="D7:D11"/>
    <mergeCell ref="E7:E11"/>
    <mergeCell ref="F7:F11"/>
    <mergeCell ref="B12:T12"/>
    <mergeCell ref="O7:O11"/>
    <mergeCell ref="P7:P11"/>
    <mergeCell ref="Q7:Q11"/>
    <mergeCell ref="R7:R11"/>
    <mergeCell ref="S7:S11"/>
    <mergeCell ref="A6:T6"/>
    <mergeCell ref="A1:A5"/>
    <mergeCell ref="B1:T1"/>
    <mergeCell ref="B2:T2"/>
    <mergeCell ref="B3:T3"/>
    <mergeCell ref="B4:T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60D587-1605-42B8-BD64-032BC78AA89F}">
  <sheetPr>
    <pageSetUpPr fitToPage="1"/>
  </sheetPr>
  <dimension ref="A1:U22"/>
  <sheetViews>
    <sheetView rightToLeft="1" zoomScale="96" zoomScaleNormal="96" zoomScaleSheetLayoutView="80" workbookViewId="0">
      <pane ySplit="6" topLeftCell="A16" activePane="bottomLeft" state="frozen"/>
      <selection pane="bottomLeft" activeCell="I15" sqref="I15"/>
    </sheetView>
  </sheetViews>
  <sheetFormatPr defaultColWidth="8.75" defaultRowHeight="15" x14ac:dyDescent="0.2"/>
  <cols>
    <col min="1" max="1" width="4.25" customWidth="1"/>
    <col min="2" max="2" width="21.125" bestFit="1" customWidth="1"/>
    <col min="4" max="4" width="12" bestFit="1" customWidth="1"/>
    <col min="5" max="5" width="11.25" customWidth="1"/>
    <col min="7" max="7" width="7.25" customWidth="1"/>
    <col min="8" max="8" width="7.75" customWidth="1"/>
    <col min="9" max="9" width="10.25" bestFit="1" customWidth="1"/>
    <col min="10" max="11" width="10.25" customWidth="1"/>
    <col min="12" max="12" width="12.125" style="7" bestFit="1" customWidth="1"/>
    <col min="13" max="13" width="13.625" style="8" bestFit="1" customWidth="1"/>
    <col min="14" max="14" width="10.875" style="8" customWidth="1"/>
    <col min="15" max="15" width="13.875" customWidth="1"/>
    <col min="16" max="16" width="22.5" style="9" customWidth="1"/>
    <col min="17" max="17" width="19.375" style="9" customWidth="1"/>
    <col min="18" max="18" width="15" style="9" customWidth="1"/>
    <col min="19" max="19" width="10.875" style="247" customWidth="1"/>
  </cols>
  <sheetData>
    <row r="1" spans="1:21" ht="20.25" x14ac:dyDescent="0.2">
      <c r="A1" s="571"/>
      <c r="B1" s="572" t="s">
        <v>840</v>
      </c>
      <c r="C1" s="572"/>
      <c r="D1" s="572"/>
      <c r="E1" s="572"/>
      <c r="F1" s="572"/>
      <c r="G1" s="572"/>
      <c r="H1" s="572"/>
      <c r="I1" s="572"/>
      <c r="J1" s="572"/>
      <c r="K1" s="572"/>
      <c r="L1" s="572"/>
      <c r="M1" s="572"/>
      <c r="N1" s="572"/>
      <c r="O1" s="572"/>
      <c r="P1" s="572"/>
      <c r="Q1" s="572"/>
      <c r="R1" s="572"/>
      <c r="S1" s="572"/>
    </row>
    <row r="2" spans="1:21" ht="14.25" x14ac:dyDescent="0.2">
      <c r="A2" s="571"/>
      <c r="B2" s="573" t="s">
        <v>792</v>
      </c>
      <c r="C2" s="573"/>
      <c r="D2" s="573"/>
      <c r="E2" s="573"/>
      <c r="F2" s="573"/>
      <c r="G2" s="573"/>
      <c r="H2" s="573"/>
      <c r="I2" s="573"/>
      <c r="J2" s="573"/>
      <c r="K2" s="573"/>
      <c r="L2" s="573"/>
      <c r="M2" s="573"/>
      <c r="N2" s="573"/>
      <c r="O2" s="573"/>
      <c r="P2" s="573"/>
      <c r="Q2" s="573"/>
      <c r="R2" s="573"/>
      <c r="S2" s="573"/>
    </row>
    <row r="3" spans="1:21" ht="15.75" x14ac:dyDescent="0.2">
      <c r="A3" s="571"/>
      <c r="B3" s="574" t="s">
        <v>795</v>
      </c>
      <c r="C3" s="574"/>
      <c r="D3" s="574"/>
      <c r="E3" s="574"/>
      <c r="F3" s="574"/>
      <c r="G3" s="574"/>
      <c r="H3" s="574"/>
      <c r="I3" s="574"/>
      <c r="J3" s="574"/>
      <c r="K3" s="574"/>
      <c r="L3" s="574"/>
      <c r="M3" s="574"/>
      <c r="N3" s="574"/>
      <c r="O3" s="574"/>
      <c r="P3" s="574"/>
      <c r="Q3" s="574"/>
      <c r="R3" s="574"/>
      <c r="S3" s="574"/>
    </row>
    <row r="4" spans="1:21" ht="14.25" x14ac:dyDescent="0.2">
      <c r="A4" s="571"/>
      <c r="B4" s="575" t="s">
        <v>52</v>
      </c>
      <c r="C4" s="575"/>
      <c r="D4" s="575"/>
      <c r="E4" s="575"/>
      <c r="F4" s="575"/>
      <c r="G4" s="575"/>
      <c r="H4" s="575"/>
      <c r="I4" s="575"/>
      <c r="J4" s="575"/>
      <c r="K4" s="575"/>
      <c r="L4" s="575"/>
      <c r="M4" s="575"/>
      <c r="N4" s="575"/>
      <c r="O4" s="575"/>
      <c r="P4" s="575"/>
      <c r="Q4" s="575"/>
      <c r="R4" s="575"/>
      <c r="S4" s="575"/>
    </row>
    <row r="5" spans="1:21" ht="14.25" x14ac:dyDescent="0.2">
      <c r="A5" s="571"/>
      <c r="B5" s="575" t="s">
        <v>51</v>
      </c>
      <c r="C5" s="575"/>
      <c r="D5" s="575"/>
      <c r="E5" s="575"/>
      <c r="F5" s="575"/>
      <c r="G5" s="575"/>
      <c r="H5" s="575"/>
      <c r="I5" s="575"/>
      <c r="J5" s="575"/>
      <c r="K5" s="575"/>
      <c r="L5" s="575"/>
      <c r="M5" s="575"/>
      <c r="N5" s="575"/>
      <c r="O5" s="575"/>
      <c r="P5" s="575"/>
      <c r="Q5" s="575"/>
      <c r="R5" s="575"/>
      <c r="S5" s="575"/>
    </row>
    <row r="6" spans="1:21" s="307" customFormat="1" ht="78.75" x14ac:dyDescent="0.2">
      <c r="A6" s="571"/>
      <c r="B6" s="35" t="s">
        <v>0</v>
      </c>
      <c r="C6" s="35" t="s">
        <v>1</v>
      </c>
      <c r="D6" s="35" t="s">
        <v>830</v>
      </c>
      <c r="E6" s="35" t="s">
        <v>35</v>
      </c>
      <c r="F6" s="35" t="s">
        <v>831</v>
      </c>
      <c r="G6" s="35" t="s">
        <v>2</v>
      </c>
      <c r="H6" s="35" t="s">
        <v>3</v>
      </c>
      <c r="I6" s="35" t="s">
        <v>832</v>
      </c>
      <c r="J6" s="35" t="s">
        <v>833</v>
      </c>
      <c r="K6" s="308" t="s">
        <v>834</v>
      </c>
      <c r="L6" s="309" t="s">
        <v>835</v>
      </c>
      <c r="M6" s="310" t="s">
        <v>836</v>
      </c>
      <c r="N6" s="35" t="s">
        <v>8</v>
      </c>
      <c r="O6" s="35" t="s">
        <v>9</v>
      </c>
      <c r="P6" s="35" t="s">
        <v>95</v>
      </c>
      <c r="Q6" s="35" t="s">
        <v>837</v>
      </c>
      <c r="R6" s="339" t="s">
        <v>729</v>
      </c>
      <c r="S6" s="35" t="s">
        <v>10</v>
      </c>
    </row>
    <row r="7" spans="1:21" ht="15.75" x14ac:dyDescent="0.2">
      <c r="A7" s="665" t="s">
        <v>841</v>
      </c>
      <c r="B7" s="665"/>
      <c r="C7" s="665"/>
      <c r="D7" s="665"/>
      <c r="E7" s="665"/>
      <c r="F7" s="665"/>
      <c r="G7" s="665"/>
      <c r="H7" s="665"/>
      <c r="I7" s="665"/>
      <c r="J7" s="665"/>
      <c r="K7" s="665"/>
      <c r="L7" s="665"/>
      <c r="M7" s="665"/>
      <c r="N7" s="665"/>
      <c r="O7" s="665"/>
      <c r="P7" s="665"/>
      <c r="Q7" s="665"/>
      <c r="R7" s="665"/>
      <c r="S7" s="665"/>
    </row>
    <row r="8" spans="1:21" ht="51" x14ac:dyDescent="0.2">
      <c r="A8" s="558">
        <v>1</v>
      </c>
      <c r="B8" s="334" t="s">
        <v>842</v>
      </c>
      <c r="C8" s="338" t="s">
        <v>843</v>
      </c>
      <c r="D8" s="338">
        <v>17310000750</v>
      </c>
      <c r="E8" s="4" t="s">
        <v>63</v>
      </c>
      <c r="F8" s="4" t="s">
        <v>109</v>
      </c>
      <c r="G8" s="13" t="s">
        <v>844</v>
      </c>
      <c r="H8" s="14">
        <v>87</v>
      </c>
      <c r="I8" s="15" t="s">
        <v>73</v>
      </c>
      <c r="J8" s="18">
        <v>250</v>
      </c>
      <c r="K8" s="364">
        <v>90</v>
      </c>
      <c r="L8" s="36">
        <f>K8*J8</f>
        <v>22500</v>
      </c>
      <c r="M8" s="18">
        <f>L8*117/100</f>
        <v>26325</v>
      </c>
      <c r="N8" s="13" t="s">
        <v>13</v>
      </c>
      <c r="O8" s="363" t="s">
        <v>116</v>
      </c>
      <c r="P8" s="333" t="s">
        <v>97</v>
      </c>
      <c r="Q8" s="361"/>
      <c r="R8" s="336">
        <f>M8*(100-Q8)/100</f>
        <v>26325</v>
      </c>
      <c r="S8" s="337"/>
      <c r="T8" s="247"/>
      <c r="U8" s="11"/>
    </row>
    <row r="9" spans="1:21" ht="15" customHeight="1" x14ac:dyDescent="0.2">
      <c r="A9" s="558"/>
      <c r="B9" s="664" t="s">
        <v>845</v>
      </c>
      <c r="C9" s="664"/>
      <c r="D9" s="664"/>
      <c r="E9" s="664"/>
      <c r="F9" s="664"/>
      <c r="G9" s="664"/>
      <c r="H9" s="664"/>
      <c r="I9" s="664"/>
      <c r="J9" s="664"/>
      <c r="K9" s="664"/>
      <c r="L9" s="664"/>
      <c r="M9" s="664"/>
      <c r="N9" s="664"/>
      <c r="O9" s="664"/>
      <c r="P9" s="664"/>
      <c r="Q9" s="664"/>
      <c r="R9" s="664"/>
      <c r="S9" s="664"/>
    </row>
    <row r="10" spans="1:21" ht="15.75" x14ac:dyDescent="0.2">
      <c r="A10" s="665" t="s">
        <v>848</v>
      </c>
      <c r="B10" s="665"/>
      <c r="C10" s="665"/>
      <c r="D10" s="665"/>
      <c r="E10" s="665"/>
      <c r="F10" s="665"/>
      <c r="G10" s="665"/>
      <c r="H10" s="665"/>
      <c r="I10" s="665"/>
      <c r="J10" s="665"/>
      <c r="K10" s="665"/>
      <c r="L10" s="665"/>
      <c r="M10" s="665"/>
      <c r="N10" s="665"/>
      <c r="O10" s="665"/>
      <c r="P10" s="665"/>
      <c r="Q10" s="665"/>
      <c r="R10" s="665"/>
      <c r="S10" s="665"/>
    </row>
    <row r="11" spans="1:21" ht="38.25" x14ac:dyDescent="0.2">
      <c r="A11" s="558">
        <v>2</v>
      </c>
      <c r="B11" s="334" t="s">
        <v>849</v>
      </c>
      <c r="C11" s="338" t="s">
        <v>850</v>
      </c>
      <c r="D11" s="338">
        <v>2710062750</v>
      </c>
      <c r="E11" s="4" t="s">
        <v>65</v>
      </c>
      <c r="F11" s="4" t="s">
        <v>60</v>
      </c>
      <c r="G11" s="13" t="s">
        <v>851</v>
      </c>
      <c r="H11" s="14">
        <v>100</v>
      </c>
      <c r="I11" s="15" t="s">
        <v>73</v>
      </c>
      <c r="J11" s="18">
        <v>190</v>
      </c>
      <c r="K11" s="364">
        <v>180</v>
      </c>
      <c r="L11" s="36">
        <f>K11*J11</f>
        <v>34200</v>
      </c>
      <c r="M11" s="18">
        <f>L11*117/100</f>
        <v>40014</v>
      </c>
      <c r="N11" s="13" t="s">
        <v>13</v>
      </c>
      <c r="O11" s="363" t="s">
        <v>116</v>
      </c>
      <c r="P11" s="333" t="s">
        <v>97</v>
      </c>
      <c r="Q11" s="361"/>
      <c r="R11" s="336">
        <f>M11*(100-Q11)/100</f>
        <v>40014</v>
      </c>
      <c r="S11" s="337"/>
      <c r="T11" s="247"/>
      <c r="U11" s="11"/>
    </row>
    <row r="12" spans="1:21" ht="15" customHeight="1" x14ac:dyDescent="0.2">
      <c r="A12" s="558"/>
      <c r="B12" s="664" t="s">
        <v>852</v>
      </c>
      <c r="C12" s="664"/>
      <c r="D12" s="664"/>
      <c r="E12" s="664"/>
      <c r="F12" s="664"/>
      <c r="G12" s="664"/>
      <c r="H12" s="664"/>
      <c r="I12" s="664"/>
      <c r="J12" s="664"/>
      <c r="K12" s="664"/>
      <c r="L12" s="664"/>
      <c r="M12" s="664"/>
      <c r="N12" s="664"/>
      <c r="O12" s="664"/>
      <c r="P12" s="664"/>
      <c r="Q12" s="664"/>
      <c r="R12" s="664"/>
      <c r="S12" s="664"/>
    </row>
    <row r="13" spans="1:21" ht="15.75" x14ac:dyDescent="0.2">
      <c r="A13" s="665" t="s">
        <v>1100</v>
      </c>
      <c r="B13" s="665"/>
      <c r="C13" s="665"/>
      <c r="D13" s="665"/>
      <c r="E13" s="665"/>
      <c r="F13" s="665"/>
      <c r="G13" s="665"/>
      <c r="H13" s="665"/>
      <c r="I13" s="665"/>
      <c r="J13" s="665"/>
      <c r="K13" s="665"/>
      <c r="L13" s="665"/>
      <c r="M13" s="665"/>
      <c r="N13" s="665"/>
      <c r="O13" s="665"/>
      <c r="P13" s="665"/>
      <c r="Q13" s="665"/>
      <c r="R13" s="665"/>
      <c r="S13" s="665"/>
    </row>
    <row r="14" spans="1:21" ht="25.5" customHeight="1" x14ac:dyDescent="0.2">
      <c r="A14" s="558">
        <v>3</v>
      </c>
      <c r="B14" s="559" t="s">
        <v>1102</v>
      </c>
      <c r="C14" s="559" t="s">
        <v>1103</v>
      </c>
      <c r="D14" s="675">
        <v>1711000750</v>
      </c>
      <c r="E14" s="676" t="s">
        <v>57</v>
      </c>
      <c r="F14" s="677" t="s">
        <v>56</v>
      </c>
      <c r="G14" s="26" t="s">
        <v>1101</v>
      </c>
      <c r="H14" s="27">
        <v>90</v>
      </c>
      <c r="I14" s="28" t="s">
        <v>14</v>
      </c>
      <c r="J14" s="551">
        <v>59120</v>
      </c>
      <c r="K14" s="552">
        <v>1</v>
      </c>
      <c r="L14" s="551">
        <f>J14*K14</f>
        <v>59120</v>
      </c>
      <c r="M14" s="551">
        <f>L14*117/100</f>
        <v>69170.399999999994</v>
      </c>
      <c r="N14" s="26" t="s">
        <v>13</v>
      </c>
      <c r="O14" s="563" t="s">
        <v>15</v>
      </c>
      <c r="P14" s="563" t="s">
        <v>1170</v>
      </c>
      <c r="Q14" s="564"/>
      <c r="R14" s="662">
        <f>24120*117/100</f>
        <v>28220.400000000001</v>
      </c>
      <c r="S14" s="663"/>
    </row>
    <row r="15" spans="1:21" ht="26.45" customHeight="1" x14ac:dyDescent="0.2">
      <c r="A15" s="558"/>
      <c r="B15" s="559"/>
      <c r="C15" s="559"/>
      <c r="D15" s="675"/>
      <c r="E15" s="676"/>
      <c r="F15" s="677"/>
      <c r="G15" s="19" t="s">
        <v>106</v>
      </c>
      <c r="H15" s="24">
        <v>82</v>
      </c>
      <c r="I15" s="5" t="s">
        <v>14</v>
      </c>
      <c r="J15" s="12">
        <v>50000</v>
      </c>
      <c r="K15" s="335">
        <v>1</v>
      </c>
      <c r="L15" s="12">
        <f>J15*K15</f>
        <v>50000</v>
      </c>
      <c r="M15" s="12">
        <f t="shared" ref="M15" si="0">L15*117/100</f>
        <v>58500</v>
      </c>
      <c r="N15" s="19" t="s">
        <v>13</v>
      </c>
      <c r="O15" s="563"/>
      <c r="P15" s="563"/>
      <c r="Q15" s="564"/>
      <c r="R15" s="662"/>
      <c r="S15" s="663"/>
    </row>
    <row r="16" spans="1:21" ht="26.45" customHeight="1" x14ac:dyDescent="0.2">
      <c r="A16" s="558"/>
      <c r="B16" s="559"/>
      <c r="C16" s="559"/>
      <c r="D16" s="675"/>
      <c r="E16" s="676"/>
      <c r="F16" s="677"/>
      <c r="G16" s="78" t="s">
        <v>1104</v>
      </c>
      <c r="H16" s="79">
        <v>70</v>
      </c>
      <c r="I16" s="5" t="s">
        <v>14</v>
      </c>
      <c r="J16" s="12">
        <v>50000</v>
      </c>
      <c r="K16" s="335">
        <v>1</v>
      </c>
      <c r="L16" s="12">
        <f t="shared" ref="L16" si="1">J16*K16</f>
        <v>50000</v>
      </c>
      <c r="M16" s="12">
        <f>L16*117/100</f>
        <v>58500</v>
      </c>
      <c r="N16" s="334"/>
      <c r="O16" s="563"/>
      <c r="P16" s="563"/>
      <c r="Q16" s="564"/>
      <c r="R16" s="662"/>
      <c r="S16" s="663"/>
    </row>
    <row r="17" spans="1:21" ht="14.25" customHeight="1" x14ac:dyDescent="0.2">
      <c r="A17" s="558"/>
      <c r="B17" s="664" t="s">
        <v>1169</v>
      </c>
      <c r="C17" s="664"/>
      <c r="D17" s="664"/>
      <c r="E17" s="664"/>
      <c r="F17" s="664"/>
      <c r="G17" s="664"/>
      <c r="H17" s="664"/>
      <c r="I17" s="664"/>
      <c r="J17" s="664"/>
      <c r="K17" s="664"/>
      <c r="L17" s="664"/>
      <c r="M17" s="664"/>
      <c r="N17" s="664"/>
      <c r="O17" s="664"/>
      <c r="P17" s="664"/>
      <c r="Q17" s="664"/>
      <c r="R17" s="664"/>
      <c r="S17" s="664"/>
    </row>
    <row r="18" spans="1:21" ht="15.75" x14ac:dyDescent="0.2">
      <c r="A18" s="665" t="s">
        <v>1167</v>
      </c>
      <c r="B18" s="665"/>
      <c r="C18" s="665"/>
      <c r="D18" s="665"/>
      <c r="E18" s="665"/>
      <c r="F18" s="665"/>
      <c r="G18" s="665"/>
      <c r="H18" s="665"/>
      <c r="I18" s="665"/>
      <c r="J18" s="665"/>
      <c r="K18" s="665"/>
      <c r="L18" s="665"/>
      <c r="M18" s="665"/>
      <c r="N18" s="665"/>
      <c r="O18" s="665"/>
      <c r="P18" s="665"/>
      <c r="Q18" s="665"/>
      <c r="R18" s="665"/>
      <c r="S18" s="665"/>
    </row>
    <row r="19" spans="1:21" ht="38.25" x14ac:dyDescent="0.2">
      <c r="A19" s="558">
        <v>4</v>
      </c>
      <c r="B19" s="334" t="s">
        <v>1168</v>
      </c>
      <c r="C19" s="362" t="s">
        <v>204</v>
      </c>
      <c r="D19" s="338">
        <v>17310000750</v>
      </c>
      <c r="E19" s="4" t="s">
        <v>37</v>
      </c>
      <c r="F19" s="4" t="s">
        <v>64</v>
      </c>
      <c r="G19" s="549" t="s">
        <v>135</v>
      </c>
      <c r="H19" s="550">
        <v>88</v>
      </c>
      <c r="I19" s="28" t="s">
        <v>73</v>
      </c>
      <c r="J19" s="551">
        <v>180</v>
      </c>
      <c r="K19" s="488">
        <f>150</f>
        <v>150</v>
      </c>
      <c r="L19" s="553">
        <f>K19*J19</f>
        <v>27000</v>
      </c>
      <c r="M19" s="551">
        <f>L19*117/100</f>
        <v>31590</v>
      </c>
      <c r="N19" s="26" t="s">
        <v>13</v>
      </c>
      <c r="O19" s="363" t="s">
        <v>116</v>
      </c>
      <c r="P19" s="333" t="s">
        <v>1171</v>
      </c>
      <c r="Q19" s="361"/>
      <c r="R19" s="336">
        <f>M19*(100-Q19)/100</f>
        <v>31590</v>
      </c>
      <c r="S19" s="337"/>
      <c r="T19" s="247"/>
      <c r="U19" s="11"/>
    </row>
    <row r="20" spans="1:21" ht="15" customHeight="1" x14ac:dyDescent="0.2">
      <c r="A20" s="558"/>
      <c r="B20" s="664" t="s">
        <v>1172</v>
      </c>
      <c r="C20" s="664"/>
      <c r="D20" s="664"/>
      <c r="E20" s="664"/>
      <c r="F20" s="664"/>
      <c r="G20" s="664"/>
      <c r="H20" s="664"/>
      <c r="I20" s="664"/>
      <c r="J20" s="664"/>
      <c r="K20" s="664"/>
      <c r="L20" s="664"/>
      <c r="M20" s="664"/>
      <c r="N20" s="664"/>
      <c r="O20" s="664"/>
      <c r="P20" s="664"/>
      <c r="Q20" s="664"/>
      <c r="R20" s="664"/>
      <c r="S20" s="664"/>
    </row>
    <row r="22" spans="1:21" x14ac:dyDescent="0.2">
      <c r="B22" s="23"/>
    </row>
  </sheetData>
  <mergeCells count="28">
    <mergeCell ref="A10:S10"/>
    <mergeCell ref="A11:A12"/>
    <mergeCell ref="B12:S12"/>
    <mergeCell ref="A7:S7"/>
    <mergeCell ref="A8:A9"/>
    <mergeCell ref="B9:S9"/>
    <mergeCell ref="A1:A6"/>
    <mergeCell ref="B1:S1"/>
    <mergeCell ref="B2:S2"/>
    <mergeCell ref="B3:S3"/>
    <mergeCell ref="B4:S4"/>
    <mergeCell ref="B5:S5"/>
    <mergeCell ref="A18:S18"/>
    <mergeCell ref="A19:A20"/>
    <mergeCell ref="B20:S20"/>
    <mergeCell ref="A13:S13"/>
    <mergeCell ref="A14:A17"/>
    <mergeCell ref="B14:B16"/>
    <mergeCell ref="C14:C16"/>
    <mergeCell ref="D14:D16"/>
    <mergeCell ref="E14:E16"/>
    <mergeCell ref="F14:F16"/>
    <mergeCell ref="O14:O16"/>
    <mergeCell ref="P14:P16"/>
    <mergeCell ref="Q14:Q16"/>
    <mergeCell ref="R14:R16"/>
    <mergeCell ref="S14:S16"/>
    <mergeCell ref="B17:S17"/>
  </mergeCells>
  <dataValidations count="2">
    <dataValidation type="list" allowBlank="1" showInputMessage="1" showErrorMessage="1" sqref="E8 E11 E14:E16 E19" xr:uid="{A9902894-8C68-471A-9D64-7971DF63F002}">
      <formula1>#REF!</formula1>
    </dataValidation>
    <dataValidation type="list" allowBlank="1" showInputMessage="1" showErrorMessage="1" sqref="F8 F11 F14:F16 F19 I14:I16 O14:O16 O8 O11 O19" xr:uid="{6977EAB3-CF42-4034-A471-704F54395D20}">
      <formula1>#REF!</formula1>
    </dataValidation>
  </dataValidations>
  <pageMargins left="0.25" right="0.25" top="0.75" bottom="0.75" header="0.3" footer="0.3"/>
  <pageSetup paperSize="9" scale="57"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23</vt:i4>
      </vt:variant>
      <vt:variant>
        <vt:lpstr>טווחים בעלי שם</vt:lpstr>
      </vt:variant>
      <vt:variant>
        <vt:i4>9</vt:i4>
      </vt:variant>
    </vt:vector>
  </HeadingPairs>
  <TitlesOfParts>
    <vt:vector size="32" baseType="lpstr">
      <vt:lpstr>2021-19</vt:lpstr>
      <vt:lpstr>2021-18</vt:lpstr>
      <vt:lpstr>2021-18-1 הנדסה בלבד</vt:lpstr>
      <vt:lpstr>2021-17</vt:lpstr>
      <vt:lpstr>2021-16</vt:lpstr>
      <vt:lpstr>2021-15</vt:lpstr>
      <vt:lpstr>2021-14</vt:lpstr>
      <vt:lpstr>2021-13.1</vt:lpstr>
      <vt:lpstr>2021-13</vt:lpstr>
      <vt:lpstr>2021-12.1</vt:lpstr>
      <vt:lpstr>2021-12</vt:lpstr>
      <vt:lpstr>2021-11</vt:lpstr>
      <vt:lpstr>2021-10.1</vt:lpstr>
      <vt:lpstr>2021-10</vt:lpstr>
      <vt:lpstr>2021-09</vt:lpstr>
      <vt:lpstr>2021-08</vt:lpstr>
      <vt:lpstr>2021-07</vt:lpstr>
      <vt:lpstr>2021-06</vt:lpstr>
      <vt:lpstr>2021-05</vt:lpstr>
      <vt:lpstr>2021-04</vt:lpstr>
      <vt:lpstr>2021-03</vt:lpstr>
      <vt:lpstr>2021-02</vt:lpstr>
      <vt:lpstr>2021-01</vt:lpstr>
      <vt:lpstr>'2021-15'!WPrint_Area_W</vt:lpstr>
      <vt:lpstr>'2021-08'!WPrint_TitlesW</vt:lpstr>
      <vt:lpstr>'2021-09'!WPrint_TitlesW</vt:lpstr>
      <vt:lpstr>'2021-10'!WPrint_TitlesW</vt:lpstr>
      <vt:lpstr>'2021-11'!WPrint_TitlesW</vt:lpstr>
      <vt:lpstr>'2021-12'!WPrint_TitlesW</vt:lpstr>
      <vt:lpstr>'2021-13'!WPrint_TitlesW</vt:lpstr>
      <vt:lpstr>'2021-14'!WPrint_TitlesW</vt:lpstr>
      <vt:lpstr>'2021-15'!WPrint_TitlesW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ועדת התקשרויות 2021</dc:title>
  <dc:subject>554711</dc:subject>
  <dc:creator>reuts</dc:creator>
  <cp:keywords/>
  <dc:description/>
  <cp:lastModifiedBy>ksuser</cp:lastModifiedBy>
  <cp:lastPrinted>2022-01-19T10:08:58Z</cp:lastPrinted>
  <dcterms:created xsi:type="dcterms:W3CDTF">2019-01-03T09:46:04Z</dcterms:created>
  <dcterms:modified xsi:type="dcterms:W3CDTF">2022-01-20T13:52:05Z</dcterms:modified>
</cp:coreProperties>
</file>